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3078F248-7A9F-49EF-BDB5-7699ABC740B8}" xr6:coauthVersionLast="47" xr6:coauthVersionMax="47" xr10:uidLastSave="{00000000-0000-0000-0000-000000000000}"/>
  <bookViews>
    <workbookView xWindow="3612" yWindow="0" windowWidth="19524" windowHeight="12336" xr2:uid="{00000000-000D-0000-FFFF-FFFF00000000}"/>
  </bookViews>
  <sheets>
    <sheet name="All project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2" i="1" l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S23" i="1" s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24" i="1"/>
  <c r="S48" i="1"/>
  <c r="S120" i="1"/>
  <c r="Z348" i="1"/>
  <c r="Z344" i="1"/>
  <c r="Z343" i="1"/>
  <c r="Z342" i="1"/>
  <c r="Z341" i="1"/>
  <c r="Z340" i="1"/>
  <c r="Z339" i="1"/>
  <c r="Z338" i="1"/>
  <c r="Z126" i="1"/>
  <c r="Z125" i="1"/>
  <c r="Z124" i="1"/>
  <c r="Z119" i="1"/>
  <c r="Z115" i="1"/>
  <c r="Z114" i="1"/>
  <c r="Z113" i="1"/>
  <c r="Z112" i="1"/>
  <c r="Z111" i="1"/>
  <c r="Z110" i="1"/>
  <c r="Z109" i="1"/>
  <c r="Z108" i="1"/>
  <c r="Z107" i="1"/>
  <c r="Z104" i="1"/>
  <c r="Z103" i="1"/>
  <c r="Z102" i="1"/>
  <c r="Z84" i="1"/>
  <c r="Z50" i="1"/>
  <c r="Z49" i="1"/>
  <c r="Z47" i="1"/>
  <c r="Z46" i="1"/>
  <c r="Z45" i="1"/>
  <c r="Z4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348" i="1"/>
  <c r="X344" i="1"/>
  <c r="X343" i="1"/>
  <c r="X342" i="1"/>
  <c r="X341" i="1"/>
  <c r="X340" i="1"/>
  <c r="X339" i="1"/>
  <c r="X338" i="1"/>
  <c r="X126" i="1"/>
  <c r="X125" i="1"/>
  <c r="X124" i="1"/>
  <c r="X119" i="1"/>
  <c r="X115" i="1"/>
  <c r="X114" i="1"/>
  <c r="X113" i="1"/>
  <c r="X112" i="1"/>
  <c r="X111" i="1"/>
  <c r="X110" i="1"/>
  <c r="X109" i="1"/>
  <c r="X108" i="1"/>
  <c r="X107" i="1"/>
  <c r="X104" i="1"/>
  <c r="X103" i="1"/>
  <c r="X102" i="1"/>
  <c r="X84" i="1"/>
  <c r="X50" i="1"/>
  <c r="X49" i="1"/>
  <c r="X47" i="1"/>
  <c r="X46" i="1"/>
  <c r="X45" i="1"/>
  <c r="X44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O333" i="1"/>
  <c r="O332" i="1"/>
  <c r="O331" i="1"/>
  <c r="O330" i="1"/>
  <c r="O329" i="1"/>
  <c r="O328" i="1"/>
  <c r="O327" i="1"/>
  <c r="O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S22" i="1" s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S36" i="1" s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S52" i="1" s="1"/>
  <c r="O53" i="1"/>
  <c r="O54" i="1"/>
  <c r="O55" i="1"/>
  <c r="O56" i="1"/>
  <c r="O57" i="1"/>
  <c r="O58" i="1"/>
  <c r="O59" i="1"/>
  <c r="O60" i="1"/>
  <c r="S60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S92" i="1" s="1"/>
  <c r="O93" i="1"/>
  <c r="O94" i="1"/>
  <c r="O95" i="1"/>
  <c r="O96" i="1"/>
  <c r="O97" i="1"/>
  <c r="O98" i="1"/>
  <c r="O99" i="1"/>
  <c r="O100" i="1"/>
  <c r="S100" i="1" s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S116" i="1" s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S140" i="1" s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S156" i="1" s="1"/>
  <c r="O157" i="1"/>
  <c r="O158" i="1"/>
  <c r="O159" i="1"/>
  <c r="O160" i="1"/>
  <c r="O161" i="1"/>
  <c r="O162" i="1"/>
  <c r="O163" i="1"/>
  <c r="O164" i="1"/>
  <c r="S164" i="1" s="1"/>
  <c r="O165" i="1"/>
  <c r="O166" i="1"/>
  <c r="O167" i="1"/>
  <c r="O168" i="1"/>
  <c r="O169" i="1"/>
  <c r="O170" i="1"/>
  <c r="O171" i="1"/>
  <c r="O172" i="1"/>
  <c r="S172" i="1" s="1"/>
  <c r="O173" i="1"/>
  <c r="O174" i="1"/>
  <c r="O175" i="1"/>
  <c r="O176" i="1"/>
  <c r="O177" i="1"/>
  <c r="O178" i="1"/>
  <c r="O179" i="1"/>
  <c r="O180" i="1"/>
  <c r="S180" i="1" s="1"/>
  <c r="O181" i="1"/>
  <c r="O182" i="1"/>
  <c r="O183" i="1"/>
  <c r="O184" i="1"/>
  <c r="O185" i="1"/>
  <c r="O186" i="1"/>
  <c r="O187" i="1"/>
  <c r="O188" i="1"/>
  <c r="S188" i="1" s="1"/>
  <c r="O189" i="1"/>
  <c r="O190" i="1"/>
  <c r="O191" i="1"/>
  <c r="O192" i="1"/>
  <c r="O193" i="1"/>
  <c r="O194" i="1"/>
  <c r="O195" i="1"/>
  <c r="O196" i="1"/>
  <c r="S196" i="1" s="1"/>
  <c r="O197" i="1"/>
  <c r="O198" i="1"/>
  <c r="O199" i="1"/>
  <c r="O200" i="1"/>
  <c r="O201" i="1"/>
  <c r="O202" i="1"/>
  <c r="O203" i="1"/>
  <c r="O204" i="1"/>
  <c r="S204" i="1" s="1"/>
  <c r="O205" i="1"/>
  <c r="O206" i="1"/>
  <c r="O207" i="1"/>
  <c r="O208" i="1"/>
  <c r="O209" i="1"/>
  <c r="O210" i="1"/>
  <c r="O211" i="1"/>
  <c r="O212" i="1"/>
  <c r="S212" i="1" s="1"/>
  <c r="O213" i="1"/>
  <c r="O214" i="1"/>
  <c r="O215" i="1"/>
  <c r="O216" i="1"/>
  <c r="O217" i="1"/>
  <c r="O218" i="1"/>
  <c r="O219" i="1"/>
  <c r="O220" i="1"/>
  <c r="S220" i="1" s="1"/>
  <c r="O221" i="1"/>
  <c r="O222" i="1"/>
  <c r="O223" i="1"/>
  <c r="O224" i="1"/>
  <c r="O225" i="1"/>
  <c r="O226" i="1"/>
  <c r="O227" i="1"/>
  <c r="O228" i="1"/>
  <c r="S228" i="1" s="1"/>
  <c r="O229" i="1"/>
  <c r="O230" i="1"/>
  <c r="O231" i="1"/>
  <c r="O232" i="1"/>
  <c r="O233" i="1"/>
  <c r="O234" i="1"/>
  <c r="O235" i="1"/>
  <c r="O236" i="1"/>
  <c r="S236" i="1" s="1"/>
  <c r="O237" i="1"/>
  <c r="O238" i="1"/>
  <c r="O239" i="1"/>
  <c r="O240" i="1"/>
  <c r="O241" i="1"/>
  <c r="O242" i="1"/>
  <c r="O243" i="1"/>
  <c r="O244" i="1"/>
  <c r="S244" i="1" s="1"/>
  <c r="O245" i="1"/>
  <c r="O246" i="1"/>
  <c r="O247" i="1"/>
  <c r="O248" i="1"/>
  <c r="O249" i="1"/>
  <c r="O250" i="1"/>
  <c r="O251" i="1"/>
  <c r="O252" i="1"/>
  <c r="S252" i="1" s="1"/>
  <c r="O253" i="1"/>
  <c r="O254" i="1"/>
  <c r="S254" i="1" s="1"/>
  <c r="O255" i="1"/>
  <c r="O256" i="1"/>
  <c r="O257" i="1"/>
  <c r="O258" i="1"/>
  <c r="O259" i="1"/>
  <c r="O260" i="1"/>
  <c r="S260" i="1" s="1"/>
  <c r="O261" i="1"/>
  <c r="O262" i="1"/>
  <c r="S262" i="1" s="1"/>
  <c r="O263" i="1"/>
  <c r="O264" i="1"/>
  <c r="O265" i="1"/>
  <c r="O266" i="1"/>
  <c r="O267" i="1"/>
  <c r="O268" i="1"/>
  <c r="S268" i="1" s="1"/>
  <c r="O269" i="1"/>
  <c r="O270" i="1"/>
  <c r="S270" i="1" s="1"/>
  <c r="O271" i="1"/>
  <c r="O272" i="1"/>
  <c r="O273" i="1"/>
  <c r="O274" i="1"/>
  <c r="O275" i="1"/>
  <c r="O276" i="1"/>
  <c r="S276" i="1" s="1"/>
  <c r="O277" i="1"/>
  <c r="O278" i="1"/>
  <c r="S278" i="1" s="1"/>
  <c r="O279" i="1"/>
  <c r="O280" i="1"/>
  <c r="O281" i="1"/>
  <c r="O282" i="1"/>
  <c r="O283" i="1"/>
  <c r="O284" i="1"/>
  <c r="S284" i="1" s="1"/>
  <c r="O285" i="1"/>
  <c r="O286" i="1"/>
  <c r="S286" i="1" s="1"/>
  <c r="O287" i="1"/>
  <c r="O288" i="1"/>
  <c r="O289" i="1"/>
  <c r="O290" i="1"/>
  <c r="O291" i="1"/>
  <c r="O292" i="1"/>
  <c r="S292" i="1" s="1"/>
  <c r="O293" i="1"/>
  <c r="O294" i="1"/>
  <c r="S294" i="1" s="1"/>
  <c r="O295" i="1"/>
  <c r="O296" i="1"/>
  <c r="O297" i="1"/>
  <c r="O298" i="1"/>
  <c r="O299" i="1"/>
  <c r="O300" i="1"/>
  <c r="S300" i="1" s="1"/>
  <c r="O301" i="1"/>
  <c r="O302" i="1"/>
  <c r="S302" i="1" s="1"/>
  <c r="O303" i="1"/>
  <c r="O304" i="1"/>
  <c r="O305" i="1"/>
  <c r="O306" i="1"/>
  <c r="O307" i="1"/>
  <c r="O308" i="1"/>
  <c r="S308" i="1" s="1"/>
  <c r="O309" i="1"/>
  <c r="O310" i="1"/>
  <c r="S310" i="1" s="1"/>
  <c r="O311" i="1"/>
  <c r="O312" i="1"/>
  <c r="O313" i="1"/>
  <c r="O314" i="1"/>
  <c r="O315" i="1"/>
  <c r="O316" i="1"/>
  <c r="S316" i="1" s="1"/>
  <c r="O317" i="1"/>
  <c r="O318" i="1"/>
  <c r="S318" i="1" s="1"/>
  <c r="O319" i="1"/>
  <c r="O320" i="1"/>
  <c r="O321" i="1"/>
  <c r="O322" i="1"/>
  <c r="O323" i="1"/>
  <c r="O324" i="1"/>
  <c r="S324" i="1" s="1"/>
  <c r="O325" i="1"/>
  <c r="O326" i="1"/>
  <c r="O334" i="1"/>
  <c r="S334" i="1" s="1"/>
  <c r="O335" i="1"/>
  <c r="O336" i="1"/>
  <c r="O337" i="1"/>
  <c r="O4" i="1"/>
  <c r="S4" i="1" s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S350" i="1" s="1"/>
  <c r="O351" i="1"/>
  <c r="O352" i="1"/>
  <c r="O353" i="1"/>
  <c r="O354" i="1"/>
  <c r="O355" i="1"/>
  <c r="O356" i="1"/>
  <c r="S356" i="1" s="1"/>
  <c r="O357" i="1"/>
  <c r="O358" i="1"/>
  <c r="O359" i="1"/>
  <c r="O360" i="1"/>
  <c r="O361" i="1"/>
  <c r="O362" i="1"/>
  <c r="O26" i="1"/>
  <c r="O21" i="1"/>
  <c r="AB21" i="1"/>
  <c r="Y21" i="1" s="1"/>
  <c r="AB26" i="1"/>
  <c r="Y26" i="1" s="1"/>
  <c r="AB138" i="1"/>
  <c r="Y138" i="1" s="1"/>
  <c r="AB313" i="1"/>
  <c r="Y313" i="1" s="1"/>
  <c r="AB146" i="1"/>
  <c r="Y146" i="1" s="1"/>
  <c r="AB306" i="1"/>
  <c r="Y306" i="1" s="1"/>
  <c r="AB133" i="1"/>
  <c r="Y133" i="1" s="1"/>
  <c r="AB312" i="1"/>
  <c r="AA312" i="1" s="1"/>
  <c r="AB314" i="1"/>
  <c r="Y314" i="1" s="1"/>
  <c r="AB268" i="1"/>
  <c r="Y268" i="1" s="1"/>
  <c r="AB310" i="1"/>
  <c r="Y310" i="1" s="1"/>
  <c r="AB140" i="1"/>
  <c r="Y140" i="1" s="1"/>
  <c r="AB214" i="1"/>
  <c r="Y214" i="1" s="1"/>
  <c r="AB147" i="1"/>
  <c r="Y147" i="1" s="1"/>
  <c r="AB199" i="1"/>
  <c r="Y199" i="1" s="1"/>
  <c r="AB299" i="1"/>
  <c r="Y299" i="1" s="1"/>
  <c r="AB142" i="1"/>
  <c r="Y142" i="1" s="1"/>
  <c r="AB144" i="1"/>
  <c r="AA144" i="1" s="1"/>
  <c r="AB240" i="1"/>
  <c r="Y240" i="1" s="1"/>
  <c r="AB197" i="1"/>
  <c r="Y197" i="1" s="1"/>
  <c r="AB304" i="1"/>
  <c r="Y304" i="1" s="1"/>
  <c r="AB303" i="1"/>
  <c r="AA303" i="1" s="1"/>
  <c r="AB277" i="1"/>
  <c r="Y277" i="1" s="1"/>
  <c r="AB273" i="1"/>
  <c r="Y273" i="1" s="1"/>
  <c r="AB322" i="1"/>
  <c r="AA322" i="1" s="1"/>
  <c r="AB251" i="1"/>
  <c r="Y251" i="1" s="1"/>
  <c r="AB179" i="1"/>
  <c r="Y179" i="1" s="1"/>
  <c r="AB276" i="1"/>
  <c r="AA276" i="1" s="1"/>
  <c r="AB270" i="1"/>
  <c r="Y270" i="1" s="1"/>
  <c r="AB137" i="1"/>
  <c r="AA137" i="1" s="1"/>
  <c r="AB186" i="1"/>
  <c r="Y186" i="1" s="1"/>
  <c r="AB293" i="1"/>
  <c r="Y293" i="1" s="1"/>
  <c r="AB308" i="1"/>
  <c r="Y308" i="1" s="1"/>
  <c r="AB180" i="1"/>
  <c r="Y180" i="1" s="1"/>
  <c r="AB250" i="1"/>
  <c r="Y250" i="1" s="1"/>
  <c r="AB296" i="1"/>
  <c r="Y296" i="1" s="1"/>
  <c r="AB244" i="1"/>
  <c r="Y244" i="1" s="1"/>
  <c r="AB295" i="1"/>
  <c r="Y295" i="1" s="1"/>
  <c r="AB315" i="1"/>
  <c r="Y315" i="1" s="1"/>
  <c r="AB249" i="1"/>
  <c r="Y249" i="1" s="1"/>
  <c r="AB302" i="1"/>
  <c r="Y302" i="1" s="1"/>
  <c r="AB320" i="1"/>
  <c r="Y320" i="1" s="1"/>
  <c r="S148" i="1"/>
  <c r="AB148" i="1"/>
  <c r="AA148" i="1" s="1"/>
  <c r="AB196" i="1"/>
  <c r="Y196" i="1" s="1"/>
  <c r="AB265" i="1"/>
  <c r="Y265" i="1" s="1"/>
  <c r="AB182" i="1"/>
  <c r="AA182" i="1" s="1"/>
  <c r="AB213" i="1"/>
  <c r="Y213" i="1" s="1"/>
  <c r="AB289" i="1"/>
  <c r="Y289" i="1" s="1"/>
  <c r="AB297" i="1"/>
  <c r="Y297" i="1" s="1"/>
  <c r="AB252" i="1"/>
  <c r="Y252" i="1" s="1"/>
  <c r="AB198" i="1"/>
  <c r="AA198" i="1" s="1"/>
  <c r="AB139" i="1"/>
  <c r="Y139" i="1" s="1"/>
  <c r="AB150" i="1"/>
  <c r="Y150" i="1" s="1"/>
  <c r="AB181" i="1"/>
  <c r="Y181" i="1" s="1"/>
  <c r="AB160" i="1"/>
  <c r="Y160" i="1" s="1"/>
  <c r="AB215" i="1"/>
  <c r="Y215" i="1" s="1"/>
  <c r="AB283" i="1"/>
  <c r="Y283" i="1" s="1"/>
  <c r="AB285" i="1"/>
  <c r="Y285" i="1" s="1"/>
  <c r="AB216" i="1"/>
  <c r="Y216" i="1" s="1"/>
  <c r="AB264" i="1"/>
  <c r="AA264" i="1" s="1"/>
  <c r="AB224" i="1"/>
  <c r="Y224" i="1" s="1"/>
  <c r="AB162" i="1"/>
  <c r="Y162" i="1" s="1"/>
  <c r="AB298" i="1"/>
  <c r="Y298" i="1" s="1"/>
  <c r="AB292" i="1"/>
  <c r="Y292" i="1" s="1"/>
  <c r="AB184" i="1"/>
  <c r="Y184" i="1" s="1"/>
  <c r="AB228" i="1"/>
  <c r="Y228" i="1" s="1"/>
  <c r="AB280" i="1"/>
  <c r="Y280" i="1" s="1"/>
  <c r="AB149" i="1"/>
  <c r="Y149" i="1" s="1"/>
  <c r="AB217" i="1"/>
  <c r="Y217" i="1" s="1"/>
  <c r="AB141" i="1"/>
  <c r="Y141" i="1" s="1"/>
  <c r="AB321" i="1"/>
  <c r="Y321" i="1" s="1"/>
  <c r="AB275" i="1"/>
  <c r="AA275" i="1" s="1"/>
  <c r="AB143" i="1"/>
  <c r="Y143" i="1" s="1"/>
  <c r="AB222" i="1"/>
  <c r="Y222" i="1" s="1"/>
  <c r="AB158" i="1"/>
  <c r="Y158" i="1" s="1"/>
  <c r="AB165" i="1"/>
  <c r="Y165" i="1" s="1"/>
  <c r="AB166" i="1"/>
  <c r="Y166" i="1" s="1"/>
  <c r="AB187" i="1"/>
  <c r="Y187" i="1" s="1"/>
  <c r="AB282" i="1"/>
  <c r="Y282" i="1" s="1"/>
  <c r="AB168" i="1"/>
  <c r="Y168" i="1" s="1"/>
  <c r="AB208" i="1"/>
  <c r="Y208" i="1" s="1"/>
  <c r="AB170" i="1"/>
  <c r="Y170" i="1" s="1"/>
  <c r="AB290" i="1"/>
  <c r="Y290" i="1" s="1"/>
  <c r="AB195" i="1"/>
  <c r="AA195" i="1" s="1"/>
  <c r="AB272" i="1"/>
  <c r="AA272" i="1" s="1"/>
  <c r="AB319" i="1"/>
  <c r="Y319" i="1" s="1"/>
  <c r="AB172" i="1"/>
  <c r="Y172" i="1" s="1"/>
  <c r="AB211" i="1"/>
  <c r="Y211" i="1" s="1"/>
  <c r="AB318" i="1"/>
  <c r="Y318" i="1" s="1"/>
  <c r="AB193" i="1"/>
  <c r="Y193" i="1" s="1"/>
  <c r="AB286" i="1"/>
  <c r="Y286" i="1" s="1"/>
  <c r="AB253" i="1"/>
  <c r="Y253" i="1" s="1"/>
  <c r="AB220" i="1"/>
  <c r="Y220" i="1" s="1"/>
  <c r="AB223" i="1"/>
  <c r="Y223" i="1" s="1"/>
  <c r="AB233" i="1"/>
  <c r="Y233" i="1" s="1"/>
  <c r="AB221" i="1"/>
  <c r="Y221" i="1" s="1"/>
  <c r="AB151" i="1"/>
  <c r="Y151" i="1" s="1"/>
  <c r="AB266" i="1"/>
  <c r="Y266" i="1" s="1"/>
  <c r="AB225" i="1"/>
  <c r="Y225" i="1" s="1"/>
  <c r="AB201" i="1"/>
  <c r="AA201" i="1" s="1"/>
  <c r="AB218" i="1"/>
  <c r="Y218" i="1" s="1"/>
  <c r="AB238" i="1"/>
  <c r="AA238" i="1" s="1"/>
  <c r="AB164" i="1"/>
  <c r="Y164" i="1" s="1"/>
  <c r="AB269" i="1"/>
  <c r="Y269" i="1" s="1"/>
  <c r="AB311" i="1"/>
  <c r="Y311" i="1" s="1"/>
  <c r="AB153" i="1"/>
  <c r="Y153" i="1" s="1"/>
  <c r="AB241" i="1"/>
  <c r="AA241" i="1" s="1"/>
  <c r="AB271" i="1"/>
  <c r="Y271" i="1" s="1"/>
  <c r="AB232" i="1"/>
  <c r="AA232" i="1" s="1"/>
  <c r="AB152" i="1"/>
  <c r="Y152" i="1" s="1"/>
  <c r="AB307" i="1"/>
  <c r="AA307" i="1" s="1"/>
  <c r="S136" i="1"/>
  <c r="AB136" i="1"/>
  <c r="Y136" i="1" s="1"/>
  <c r="AB183" i="1"/>
  <c r="Y183" i="1" s="1"/>
  <c r="AB301" i="1"/>
  <c r="Y301" i="1" s="1"/>
  <c r="AB185" i="1"/>
  <c r="Y185" i="1" s="1"/>
  <c r="AB279" i="1"/>
  <c r="AA279" i="1" s="1"/>
  <c r="AB134" i="1"/>
  <c r="Y134" i="1" s="1"/>
  <c r="AB294" i="1"/>
  <c r="Y294" i="1" s="1"/>
  <c r="AB171" i="1"/>
  <c r="Y171" i="1" s="1"/>
  <c r="AB291" i="1"/>
  <c r="Y291" i="1" s="1"/>
  <c r="AB229" i="1"/>
  <c r="Y229" i="1" s="1"/>
  <c r="AB207" i="1"/>
  <c r="Y207" i="1" s="1"/>
  <c r="AB256" i="1"/>
  <c r="Y256" i="1" s="1"/>
  <c r="AB188" i="1"/>
  <c r="Y188" i="1" s="1"/>
  <c r="AB194" i="1"/>
  <c r="Y194" i="1" s="1"/>
  <c r="AB263" i="1"/>
  <c r="Y263" i="1" s="1"/>
  <c r="AB236" i="1"/>
  <c r="Y236" i="1" s="1"/>
  <c r="AB257" i="1"/>
  <c r="Y257" i="1" s="1"/>
  <c r="AB239" i="1"/>
  <c r="Y239" i="1" s="1"/>
  <c r="AB254" i="1"/>
  <c r="Y254" i="1" s="1"/>
  <c r="AB284" i="1"/>
  <c r="Y284" i="1" s="1"/>
  <c r="AB226" i="1"/>
  <c r="Y226" i="1" s="1"/>
  <c r="AB163" i="1"/>
  <c r="Y163" i="1" s="1"/>
  <c r="AB155" i="1"/>
  <c r="Y155" i="1" s="1"/>
  <c r="AB154" i="1"/>
  <c r="Y154" i="1" s="1"/>
  <c r="AB281" i="1"/>
  <c r="Y281" i="1" s="1"/>
  <c r="AB175" i="1"/>
  <c r="Y175" i="1" s="1"/>
  <c r="AB237" i="1"/>
  <c r="Y237" i="1" s="1"/>
  <c r="AB145" i="1"/>
  <c r="Y145" i="1" s="1"/>
  <c r="AB169" i="1"/>
  <c r="Y169" i="1" s="1"/>
  <c r="AB316" i="1"/>
  <c r="Y316" i="1" s="1"/>
  <c r="AB135" i="1"/>
  <c r="Y135" i="1" s="1"/>
  <c r="S192" i="1"/>
  <c r="AB192" i="1"/>
  <c r="Y192" i="1" s="1"/>
  <c r="AB247" i="1"/>
  <c r="Y247" i="1" s="1"/>
  <c r="AB173" i="1"/>
  <c r="Y173" i="1" s="1"/>
  <c r="AB159" i="1"/>
  <c r="Y159" i="1" s="1"/>
  <c r="AB235" i="1"/>
  <c r="Y235" i="1" s="1"/>
  <c r="AB287" i="1"/>
  <c r="Y287" i="1" s="1"/>
  <c r="AB200" i="1"/>
  <c r="Y200" i="1" s="1"/>
  <c r="AB176" i="1"/>
  <c r="Y176" i="1" s="1"/>
  <c r="AB189" i="1"/>
  <c r="Y189" i="1" s="1"/>
  <c r="AB156" i="1"/>
  <c r="Y156" i="1" s="1"/>
  <c r="AB309" i="1"/>
  <c r="Y309" i="1" s="1"/>
  <c r="AB209" i="1"/>
  <c r="Y209" i="1" s="1"/>
  <c r="AB230" i="1"/>
  <c r="Y230" i="1" s="1"/>
  <c r="AB212" i="1"/>
  <c r="Y212" i="1" s="1"/>
  <c r="AB231" i="1"/>
  <c r="Y231" i="1" s="1"/>
  <c r="AB333" i="1"/>
  <c r="Y333" i="1" s="1"/>
  <c r="AB332" i="1"/>
  <c r="Y332" i="1" s="1"/>
  <c r="AB331" i="1"/>
  <c r="Y331" i="1" s="1"/>
  <c r="AB330" i="1"/>
  <c r="Y330" i="1" s="1"/>
  <c r="AB329" i="1"/>
  <c r="Y329" i="1" s="1"/>
  <c r="AB328" i="1"/>
  <c r="Y328" i="1" s="1"/>
  <c r="AB327" i="1"/>
  <c r="Y327" i="1" s="1"/>
  <c r="AB326" i="1"/>
  <c r="Y326" i="1" s="1"/>
  <c r="R124" i="1"/>
  <c r="R110" i="1"/>
  <c r="R121" i="1"/>
  <c r="R345" i="1"/>
  <c r="R114" i="1"/>
  <c r="R49" i="1"/>
  <c r="R52" i="1"/>
  <c r="R105" i="1"/>
  <c r="R12" i="1"/>
  <c r="S68" i="1"/>
  <c r="S28" i="1"/>
  <c r="S32" i="1"/>
  <c r="S242" i="1"/>
  <c r="S246" i="1" l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18" i="1"/>
  <c r="S94" i="1"/>
  <c r="S86" i="1"/>
  <c r="S70" i="1"/>
  <c r="S38" i="1"/>
  <c r="S30" i="1"/>
  <c r="S357" i="1"/>
  <c r="S21" i="1"/>
  <c r="S347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17" i="1"/>
  <c r="S101" i="1"/>
  <c r="S85" i="1"/>
  <c r="S69" i="1"/>
  <c r="S53" i="1"/>
  <c r="S29" i="1"/>
  <c r="S349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91" i="1"/>
  <c r="S75" i="1"/>
  <c r="S67" i="1"/>
  <c r="S51" i="1"/>
  <c r="S35" i="1"/>
  <c r="S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87" i="1"/>
  <c r="S79" i="1"/>
  <c r="S71" i="1"/>
  <c r="S63" i="1"/>
  <c r="S55" i="1"/>
  <c r="S39" i="1"/>
  <c r="S31" i="1"/>
  <c r="S361" i="1"/>
  <c r="S353" i="1"/>
  <c r="S345" i="1"/>
  <c r="S2" i="1"/>
  <c r="S360" i="1"/>
  <c r="S337" i="1"/>
  <c r="S322" i="1"/>
  <c r="S314" i="1"/>
  <c r="S306" i="1"/>
  <c r="S298" i="1"/>
  <c r="S290" i="1"/>
  <c r="S282" i="1"/>
  <c r="S274" i="1"/>
  <c r="S266" i="1"/>
  <c r="S258" i="1"/>
  <c r="S250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98" i="1"/>
  <c r="S90" i="1"/>
  <c r="S82" i="1"/>
  <c r="S74" i="1"/>
  <c r="S66" i="1"/>
  <c r="S42" i="1"/>
  <c r="S25" i="1"/>
  <c r="S346" i="1"/>
  <c r="S359" i="1"/>
  <c r="S351" i="1"/>
  <c r="S336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97" i="1"/>
  <c r="S89" i="1"/>
  <c r="S81" i="1"/>
  <c r="S73" i="1"/>
  <c r="S65" i="1"/>
  <c r="S33" i="1"/>
  <c r="S26" i="1"/>
  <c r="S362" i="1"/>
  <c r="S335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84" i="1"/>
  <c r="S176" i="1"/>
  <c r="S168" i="1"/>
  <c r="S160" i="1"/>
  <c r="S152" i="1"/>
  <c r="S144" i="1"/>
  <c r="S96" i="1"/>
  <c r="S88" i="1"/>
  <c r="S80" i="1"/>
  <c r="S72" i="1"/>
  <c r="S64" i="1"/>
  <c r="S40" i="1"/>
  <c r="Y322" i="1"/>
  <c r="Y312" i="1"/>
  <c r="Y307" i="1"/>
  <c r="Y303" i="1"/>
  <c r="Y279" i="1"/>
  <c r="Y276" i="1"/>
  <c r="Y275" i="1"/>
  <c r="Y272" i="1"/>
  <c r="Y264" i="1"/>
  <c r="Y241" i="1"/>
  <c r="Y238" i="1"/>
  <c r="Y232" i="1"/>
  <c r="Y201" i="1"/>
  <c r="Y198" i="1"/>
  <c r="Y195" i="1"/>
  <c r="Y182" i="1"/>
  <c r="Y148" i="1"/>
  <c r="Y144" i="1"/>
  <c r="Y137" i="1"/>
  <c r="AA281" i="1"/>
  <c r="AA286" i="1"/>
  <c r="AA224" i="1"/>
  <c r="AA289" i="1"/>
  <c r="AA295" i="1"/>
  <c r="AA257" i="1"/>
  <c r="AA193" i="1"/>
  <c r="AA321" i="1"/>
  <c r="AA311" i="1"/>
  <c r="AA166" i="1"/>
  <c r="AA185" i="1"/>
  <c r="AA225" i="1"/>
  <c r="AA302" i="1"/>
  <c r="AA298" i="1"/>
  <c r="AA265" i="1"/>
  <c r="AA222" i="1"/>
  <c r="AA21" i="1"/>
  <c r="AA26" i="1"/>
  <c r="AA138" i="1"/>
  <c r="AA313" i="1"/>
  <c r="AA146" i="1"/>
  <c r="AA133" i="1"/>
  <c r="AA306" i="1"/>
  <c r="AA314" i="1"/>
  <c r="AA268" i="1"/>
  <c r="AA310" i="1"/>
  <c r="AA214" i="1"/>
  <c r="AA140" i="1"/>
  <c r="AA147" i="1"/>
  <c r="AA199" i="1"/>
  <c r="AA299" i="1"/>
  <c r="AA142" i="1"/>
  <c r="AA240" i="1"/>
  <c r="AA197" i="1"/>
  <c r="AA304" i="1"/>
  <c r="AA277" i="1"/>
  <c r="AA273" i="1"/>
  <c r="AA251" i="1"/>
  <c r="AA179" i="1"/>
  <c r="AA186" i="1"/>
  <c r="AA270" i="1"/>
  <c r="AA293" i="1"/>
  <c r="AA308" i="1"/>
  <c r="AA296" i="1"/>
  <c r="AA180" i="1"/>
  <c r="AA250" i="1"/>
  <c r="AA244" i="1"/>
  <c r="AA315" i="1"/>
  <c r="AA249" i="1"/>
  <c r="AA320" i="1"/>
  <c r="AA196" i="1"/>
  <c r="AA213" i="1"/>
  <c r="AA252" i="1"/>
  <c r="AA297" i="1"/>
  <c r="AA139" i="1"/>
  <c r="AA150" i="1"/>
  <c r="AA181" i="1"/>
  <c r="AA160" i="1"/>
  <c r="AA215" i="1"/>
  <c r="AA283" i="1"/>
  <c r="AA285" i="1"/>
  <c r="AA216" i="1"/>
  <c r="AA162" i="1"/>
  <c r="AA292" i="1"/>
  <c r="AA184" i="1"/>
  <c r="AA280" i="1"/>
  <c r="AA228" i="1"/>
  <c r="AA149" i="1"/>
  <c r="AA217" i="1"/>
  <c r="AA141" i="1"/>
  <c r="AA143" i="1"/>
  <c r="AA158" i="1"/>
  <c r="AA165" i="1"/>
  <c r="AA187" i="1"/>
  <c r="AA282" i="1"/>
  <c r="AA168" i="1"/>
  <c r="AA170" i="1"/>
  <c r="AA208" i="1"/>
  <c r="AA290" i="1"/>
  <c r="AA319" i="1"/>
  <c r="AA172" i="1"/>
  <c r="AA211" i="1"/>
  <c r="AA318" i="1"/>
  <c r="AA253" i="1"/>
  <c r="AA220" i="1"/>
  <c r="AA223" i="1"/>
  <c r="AA233" i="1"/>
  <c r="AA221" i="1"/>
  <c r="AA151" i="1"/>
  <c r="AA266" i="1"/>
  <c r="AA218" i="1"/>
  <c r="AA164" i="1"/>
  <c r="AA269" i="1"/>
  <c r="AA153" i="1"/>
  <c r="AA271" i="1"/>
  <c r="AA152" i="1"/>
  <c r="AA136" i="1"/>
  <c r="AA183" i="1"/>
  <c r="AA301" i="1"/>
  <c r="AA134" i="1"/>
  <c r="AA294" i="1"/>
  <c r="AA171" i="1"/>
  <c r="AA291" i="1"/>
  <c r="AA229" i="1"/>
  <c r="AA207" i="1"/>
  <c r="AA256" i="1"/>
  <c r="AA188" i="1"/>
  <c r="AA194" i="1"/>
  <c r="AA263" i="1"/>
  <c r="AA236" i="1"/>
  <c r="AA239" i="1"/>
  <c r="AA254" i="1"/>
  <c r="AA284" i="1"/>
  <c r="AA226" i="1"/>
  <c r="AA163" i="1"/>
  <c r="AA155" i="1"/>
  <c r="AA154" i="1"/>
  <c r="AA145" i="1"/>
  <c r="AA237" i="1"/>
  <c r="AA175" i="1"/>
  <c r="AA169" i="1"/>
  <c r="AA316" i="1"/>
  <c r="AA135" i="1"/>
  <c r="AA192" i="1"/>
  <c r="AA247" i="1"/>
  <c r="AA173" i="1"/>
  <c r="AA159" i="1"/>
  <c r="AA235" i="1"/>
  <c r="AA287" i="1"/>
  <c r="AA200" i="1"/>
  <c r="AA176" i="1"/>
  <c r="AA189" i="1"/>
  <c r="AA309" i="1"/>
  <c r="AA156" i="1"/>
  <c r="AA209" i="1"/>
  <c r="AA230" i="1"/>
  <c r="AA212" i="1"/>
  <c r="AA231" i="1"/>
  <c r="AA333" i="1"/>
  <c r="AA332" i="1"/>
  <c r="AA331" i="1"/>
  <c r="AA330" i="1"/>
  <c r="AA329" i="1"/>
  <c r="AA328" i="1"/>
  <c r="AA327" i="1"/>
  <c r="AA326" i="1"/>
  <c r="S114" i="1"/>
  <c r="S62" i="1"/>
  <c r="S110" i="1"/>
  <c r="S12" i="1"/>
  <c r="S124" i="1"/>
  <c r="S105" i="1"/>
  <c r="S49" i="1"/>
  <c r="R95" i="1"/>
  <c r="S95" i="1" s="1"/>
  <c r="R93" i="1"/>
  <c r="S93" i="1" s="1"/>
  <c r="R83" i="1"/>
  <c r="S83" i="1" s="1"/>
  <c r="R78" i="1"/>
  <c r="S78" i="1" s="1"/>
  <c r="R77" i="1"/>
  <c r="S77" i="1" s="1"/>
  <c r="R76" i="1"/>
  <c r="S76" i="1" s="1"/>
  <c r="R62" i="1"/>
  <c r="R61" i="1"/>
  <c r="S61" i="1" s="1"/>
  <c r="R59" i="1"/>
  <c r="S59" i="1" s="1"/>
  <c r="R58" i="1"/>
  <c r="S58" i="1" s="1"/>
  <c r="R57" i="1"/>
  <c r="S57" i="1" s="1"/>
  <c r="R56" i="1"/>
  <c r="S56" i="1" s="1"/>
  <c r="R54" i="1"/>
  <c r="S54" i="1" s="1"/>
  <c r="R103" i="1"/>
  <c r="S103" i="1" s="1"/>
  <c r="R348" i="1" l="1"/>
  <c r="S348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128" i="1"/>
  <c r="S128" i="1" s="1"/>
  <c r="R126" i="1"/>
  <c r="S126" i="1" s="1"/>
  <c r="R125" i="1"/>
  <c r="S125" i="1" s="1"/>
  <c r="R119" i="1"/>
  <c r="S119" i="1" s="1"/>
  <c r="R115" i="1"/>
  <c r="S115" i="1" s="1"/>
  <c r="R113" i="1"/>
  <c r="S113" i="1" s="1"/>
  <c r="R112" i="1"/>
  <c r="S112" i="1" s="1"/>
  <c r="R111" i="1"/>
  <c r="S111" i="1" s="1"/>
  <c r="R109" i="1"/>
  <c r="S109" i="1" s="1"/>
  <c r="R108" i="1"/>
  <c r="S108" i="1" s="1"/>
  <c r="R107" i="1"/>
  <c r="S107" i="1" s="1"/>
  <c r="R106" i="1"/>
  <c r="S106" i="1" s="1"/>
  <c r="R104" i="1"/>
  <c r="S104" i="1" s="1"/>
  <c r="R102" i="1"/>
  <c r="S102" i="1" s="1"/>
  <c r="R84" i="1"/>
  <c r="S84" i="1" s="1"/>
  <c r="R50" i="1"/>
  <c r="S50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44" i="1"/>
  <c r="S44" i="1" s="1"/>
  <c r="R45" i="1"/>
  <c r="S45" i="1" s="1"/>
  <c r="R46" i="1"/>
  <c r="S46" i="1" s="1"/>
  <c r="R47" i="1"/>
  <c r="S47" i="1" s="1"/>
  <c r="R10" i="1"/>
  <c r="S10" i="1" s="1"/>
  <c r="R11" i="1"/>
  <c r="S11" i="1" s="1"/>
  <c r="R13" i="1"/>
  <c r="S13" i="1" s="1"/>
  <c r="U20" i="1"/>
  <c r="R20" i="1" s="1"/>
  <c r="S20" i="1" s="1"/>
  <c r="U9" i="1"/>
  <c r="R9" i="1" s="1"/>
  <c r="S9" i="1" s="1"/>
  <c r="U8" i="1"/>
  <c r="R8" i="1" s="1"/>
  <c r="S8" i="1" s="1"/>
  <c r="U7" i="1"/>
  <c r="R7" i="1" s="1"/>
  <c r="S7" i="1" s="1"/>
  <c r="U6" i="1"/>
  <c r="R6" i="1" s="1"/>
  <c r="S6" i="1" s="1"/>
  <c r="U5" i="1"/>
  <c r="R5" i="1" s="1"/>
  <c r="S5" i="1" s="1"/>
  <c r="AB105" i="1" l="1"/>
  <c r="Y105" i="1" s="1"/>
  <c r="AB343" i="1"/>
  <c r="Y343" i="1" s="1"/>
  <c r="AB33" i="1"/>
  <c r="Y33" i="1" s="1"/>
  <c r="AB4" i="1"/>
  <c r="Y4" i="1" s="1"/>
  <c r="AB23" i="1"/>
  <c r="Y23" i="1" s="1"/>
  <c r="AB25" i="1"/>
  <c r="Y25" i="1" s="1"/>
  <c r="AB30" i="1"/>
  <c r="Y30" i="1" s="1"/>
  <c r="AB34" i="1"/>
  <c r="Y34" i="1" s="1"/>
  <c r="AB36" i="1"/>
  <c r="Y36" i="1" s="1"/>
  <c r="AB41" i="1"/>
  <c r="Y41" i="1" s="1"/>
  <c r="AB97" i="1"/>
  <c r="Y97" i="1" s="1"/>
  <c r="AB132" i="1"/>
  <c r="Y132" i="1" s="1"/>
  <c r="AB38" i="1"/>
  <c r="Y38" i="1" s="1"/>
  <c r="AB39" i="1"/>
  <c r="Y39" i="1" s="1"/>
  <c r="AB40" i="1"/>
  <c r="Y40" i="1" s="1"/>
  <c r="AB22" i="1"/>
  <c r="Y22" i="1" s="1"/>
  <c r="AB29" i="1"/>
  <c r="Y29" i="1" s="1"/>
  <c r="AB31" i="1"/>
  <c r="Y31" i="1" s="1"/>
  <c r="AB35" i="1"/>
  <c r="Y35" i="1" s="1"/>
  <c r="AB98" i="1"/>
  <c r="Y98" i="1" s="1"/>
  <c r="AB131" i="1"/>
  <c r="Y131" i="1" s="1"/>
  <c r="AB334" i="1"/>
  <c r="Y334" i="1" s="1"/>
  <c r="AB335" i="1"/>
  <c r="Y335" i="1" s="1"/>
  <c r="AB336" i="1"/>
  <c r="Y336" i="1" s="1"/>
  <c r="AB337" i="1"/>
  <c r="Y337" i="1" s="1"/>
  <c r="AB99" i="1"/>
  <c r="Y99" i="1" s="1"/>
  <c r="AB100" i="1"/>
  <c r="Y100" i="1" s="1"/>
  <c r="AB101" i="1"/>
  <c r="Y101" i="1" s="1"/>
  <c r="AB157" i="1"/>
  <c r="Y157" i="1" s="1"/>
  <c r="AB161" i="1"/>
  <c r="Y161" i="1" s="1"/>
  <c r="AB167" i="1"/>
  <c r="Y167" i="1" s="1"/>
  <c r="AB174" i="1"/>
  <c r="Y174" i="1" s="1"/>
  <c r="AB177" i="1"/>
  <c r="Y177" i="1" s="1"/>
  <c r="AB178" i="1"/>
  <c r="Y178" i="1" s="1"/>
  <c r="AB190" i="1"/>
  <c r="Y190" i="1" s="1"/>
  <c r="AB191" i="1"/>
  <c r="Y191" i="1" s="1"/>
  <c r="AB202" i="1"/>
  <c r="Y202" i="1" s="1"/>
  <c r="AB203" i="1"/>
  <c r="Y203" i="1" s="1"/>
  <c r="AB204" i="1"/>
  <c r="Y204" i="1" s="1"/>
  <c r="AB205" i="1"/>
  <c r="Y205" i="1" s="1"/>
  <c r="AB206" i="1"/>
  <c r="Y206" i="1" s="1"/>
  <c r="AB210" i="1"/>
  <c r="Y210" i="1" s="1"/>
  <c r="AB219" i="1"/>
  <c r="Y219" i="1" s="1"/>
  <c r="AB227" i="1"/>
  <c r="Y227" i="1" s="1"/>
  <c r="AB234" i="1"/>
  <c r="Y234" i="1" s="1"/>
  <c r="AB242" i="1"/>
  <c r="Y242" i="1" s="1"/>
  <c r="AB243" i="1"/>
  <c r="Y243" i="1" s="1"/>
  <c r="AB245" i="1"/>
  <c r="Y245" i="1" s="1"/>
  <c r="AB246" i="1"/>
  <c r="Y246" i="1" s="1"/>
  <c r="AB248" i="1"/>
  <c r="Y248" i="1" s="1"/>
  <c r="AB255" i="1"/>
  <c r="Y255" i="1" s="1"/>
  <c r="AB258" i="1"/>
  <c r="Y258" i="1" s="1"/>
  <c r="AB259" i="1"/>
  <c r="Y259" i="1" s="1"/>
  <c r="AB260" i="1"/>
  <c r="Y260" i="1" s="1"/>
  <c r="AB261" i="1"/>
  <c r="Y261" i="1" s="1"/>
  <c r="AB262" i="1"/>
  <c r="Y262" i="1" s="1"/>
  <c r="AB267" i="1"/>
  <c r="Y267" i="1" s="1"/>
  <c r="AB274" i="1"/>
  <c r="Y274" i="1" s="1"/>
  <c r="AB278" i="1"/>
  <c r="Y278" i="1" s="1"/>
  <c r="AB288" i="1"/>
  <c r="Y288" i="1" s="1"/>
  <c r="AB300" i="1"/>
  <c r="Y300" i="1" s="1"/>
  <c r="AB305" i="1"/>
  <c r="Y305" i="1" s="1"/>
  <c r="AB317" i="1"/>
  <c r="Y317" i="1" s="1"/>
  <c r="AB2" i="1"/>
  <c r="Y2" i="1" s="1"/>
  <c r="AB3" i="1"/>
  <c r="Y3" i="1" s="1"/>
  <c r="AB24" i="1"/>
  <c r="Y24" i="1" s="1"/>
  <c r="AB27" i="1"/>
  <c r="Y27" i="1" s="1"/>
  <c r="AB28" i="1"/>
  <c r="Y28" i="1" s="1"/>
  <c r="AB32" i="1"/>
  <c r="Y32" i="1" s="1"/>
  <c r="AB37" i="1"/>
  <c r="Y37" i="1" s="1"/>
  <c r="AB42" i="1"/>
  <c r="Y42" i="1" s="1"/>
  <c r="AB43" i="1"/>
  <c r="Y43" i="1" s="1"/>
  <c r="AB55" i="1"/>
  <c r="Y55" i="1" s="1"/>
  <c r="AB129" i="1"/>
  <c r="Y129" i="1" s="1"/>
  <c r="AB130" i="1"/>
  <c r="Y130" i="1" s="1"/>
  <c r="AB323" i="1"/>
  <c r="Y323" i="1" s="1"/>
  <c r="AB324" i="1"/>
  <c r="Y324" i="1" s="1"/>
  <c r="AB325" i="1"/>
  <c r="Y325" i="1" s="1"/>
  <c r="AB362" i="1"/>
  <c r="Y362" i="1" s="1"/>
  <c r="AB48" i="1"/>
  <c r="Y48" i="1" s="1"/>
  <c r="AB51" i="1"/>
  <c r="Y51" i="1" s="1"/>
  <c r="AB52" i="1"/>
  <c r="Y52" i="1" s="1"/>
  <c r="AB53" i="1"/>
  <c r="Y53" i="1" s="1"/>
  <c r="AB54" i="1"/>
  <c r="Y54" i="1" s="1"/>
  <c r="AB56" i="1"/>
  <c r="Y56" i="1" s="1"/>
  <c r="AB57" i="1"/>
  <c r="Y57" i="1" s="1"/>
  <c r="AB58" i="1"/>
  <c r="Y58" i="1" s="1"/>
  <c r="AB59" i="1"/>
  <c r="Y59" i="1" s="1"/>
  <c r="AB60" i="1"/>
  <c r="Y60" i="1" s="1"/>
  <c r="AB61" i="1"/>
  <c r="Y61" i="1" s="1"/>
  <c r="AB62" i="1"/>
  <c r="Y62" i="1" s="1"/>
  <c r="AB63" i="1"/>
  <c r="Y63" i="1" s="1"/>
  <c r="AB64" i="1"/>
  <c r="Y64" i="1" s="1"/>
  <c r="AB65" i="1"/>
  <c r="Y65" i="1" s="1"/>
  <c r="AB66" i="1"/>
  <c r="Y66" i="1" s="1"/>
  <c r="AB67" i="1"/>
  <c r="Y67" i="1" s="1"/>
  <c r="AB68" i="1"/>
  <c r="Y68" i="1" s="1"/>
  <c r="AB69" i="1"/>
  <c r="Y69" i="1" s="1"/>
  <c r="AB70" i="1"/>
  <c r="Y70" i="1" s="1"/>
  <c r="AB71" i="1"/>
  <c r="Y71" i="1" s="1"/>
  <c r="AB72" i="1"/>
  <c r="Y72" i="1" s="1"/>
  <c r="AB73" i="1"/>
  <c r="Y73" i="1" s="1"/>
  <c r="AB74" i="1"/>
  <c r="Y74" i="1" s="1"/>
  <c r="AB75" i="1"/>
  <c r="Y75" i="1" s="1"/>
  <c r="AB76" i="1"/>
  <c r="Y76" i="1" s="1"/>
  <c r="AB77" i="1"/>
  <c r="Y77" i="1" s="1"/>
  <c r="AB78" i="1"/>
  <c r="Y78" i="1" s="1"/>
  <c r="AB79" i="1"/>
  <c r="AB80" i="1"/>
  <c r="Y80" i="1" s="1"/>
  <c r="AB81" i="1"/>
  <c r="Y81" i="1" s="1"/>
  <c r="AB82" i="1"/>
  <c r="Y82" i="1" s="1"/>
  <c r="AB83" i="1"/>
  <c r="Y83" i="1" s="1"/>
  <c r="AB84" i="1"/>
  <c r="Y84" i="1" s="1"/>
  <c r="AB85" i="1"/>
  <c r="Y85" i="1" s="1"/>
  <c r="AB86" i="1"/>
  <c r="Y86" i="1" s="1"/>
  <c r="AB87" i="1"/>
  <c r="Y87" i="1" s="1"/>
  <c r="AB88" i="1"/>
  <c r="Y88" i="1" s="1"/>
  <c r="AB89" i="1"/>
  <c r="Y89" i="1" s="1"/>
  <c r="AB90" i="1"/>
  <c r="Y90" i="1" s="1"/>
  <c r="AB91" i="1"/>
  <c r="Y91" i="1" s="1"/>
  <c r="AB92" i="1"/>
  <c r="Y92" i="1" s="1"/>
  <c r="AB93" i="1"/>
  <c r="Y93" i="1" s="1"/>
  <c r="AB94" i="1"/>
  <c r="Y94" i="1" s="1"/>
  <c r="AB95" i="1"/>
  <c r="Y95" i="1" s="1"/>
  <c r="AB96" i="1"/>
  <c r="Y96" i="1" s="1"/>
  <c r="AB110" i="1"/>
  <c r="Y110" i="1" s="1"/>
  <c r="AB111" i="1"/>
  <c r="Y111" i="1" s="1"/>
  <c r="AB116" i="1"/>
  <c r="Y116" i="1" s="1"/>
  <c r="AB117" i="1"/>
  <c r="Y117" i="1" s="1"/>
  <c r="AB118" i="1"/>
  <c r="Y118" i="1" s="1"/>
  <c r="AB120" i="1"/>
  <c r="Y120" i="1" s="1"/>
  <c r="AB121" i="1"/>
  <c r="Y121" i="1" s="1"/>
  <c r="AB122" i="1"/>
  <c r="Y122" i="1" s="1"/>
  <c r="AB123" i="1"/>
  <c r="Y123" i="1" s="1"/>
  <c r="AB127" i="1"/>
  <c r="Y127" i="1" s="1"/>
  <c r="AB345" i="1"/>
  <c r="Y345" i="1" s="1"/>
  <c r="AB346" i="1"/>
  <c r="Y346" i="1" s="1"/>
  <c r="AB347" i="1"/>
  <c r="Y347" i="1" s="1"/>
  <c r="AB349" i="1"/>
  <c r="Y349" i="1" s="1"/>
  <c r="AB350" i="1"/>
  <c r="Y350" i="1" s="1"/>
  <c r="AB351" i="1"/>
  <c r="Y351" i="1" s="1"/>
  <c r="AB352" i="1"/>
  <c r="Y352" i="1" s="1"/>
  <c r="AB353" i="1"/>
  <c r="Y353" i="1" s="1"/>
  <c r="AB354" i="1"/>
  <c r="Y354" i="1" s="1"/>
  <c r="AB355" i="1"/>
  <c r="Y355" i="1" s="1"/>
  <c r="AB356" i="1"/>
  <c r="Y356" i="1" s="1"/>
  <c r="AB357" i="1"/>
  <c r="Y357" i="1" s="1"/>
  <c r="AB358" i="1"/>
  <c r="Y358" i="1" s="1"/>
  <c r="AB359" i="1"/>
  <c r="Y359" i="1" s="1"/>
  <c r="AB360" i="1"/>
  <c r="Y360" i="1" s="1"/>
  <c r="AB361" i="1"/>
  <c r="Y361" i="1" s="1"/>
  <c r="M358" i="1"/>
  <c r="S358" i="1" s="1"/>
  <c r="M355" i="1"/>
  <c r="S355" i="1" s="1"/>
  <c r="M354" i="1"/>
  <c r="S354" i="1" s="1"/>
  <c r="M352" i="1"/>
  <c r="S352" i="1" s="1"/>
  <c r="M325" i="1"/>
  <c r="S325" i="1" s="1"/>
  <c r="M43" i="1"/>
  <c r="S43" i="1" s="1"/>
  <c r="M37" i="1"/>
  <c r="S37" i="1" s="1"/>
  <c r="M3" i="1"/>
  <c r="S3" i="1" s="1"/>
  <c r="N99" i="1"/>
  <c r="M99" i="1"/>
  <c r="M132" i="1"/>
  <c r="S132" i="1" s="1"/>
  <c r="N41" i="1"/>
  <c r="M41" i="1"/>
  <c r="N34" i="1"/>
  <c r="M34" i="1"/>
  <c r="Y79" i="1" l="1"/>
  <c r="AA79" i="1"/>
  <c r="S41" i="1"/>
  <c r="S34" i="1"/>
  <c r="S99" i="1"/>
  <c r="AA105" i="1"/>
  <c r="AA3" i="1"/>
  <c r="AA361" i="1"/>
  <c r="AA353" i="1"/>
  <c r="AA116" i="1"/>
  <c r="AA91" i="1"/>
  <c r="AA83" i="1"/>
  <c r="AA75" i="1"/>
  <c r="AA67" i="1"/>
  <c r="AA59" i="1"/>
  <c r="AA48" i="1"/>
  <c r="AA43" i="1"/>
  <c r="AA2" i="1"/>
  <c r="AA262" i="1"/>
  <c r="AA245" i="1"/>
  <c r="AA205" i="1"/>
  <c r="AA174" i="1"/>
  <c r="AA336" i="1"/>
  <c r="AA22" i="1"/>
  <c r="AA34" i="1"/>
  <c r="AA92" i="1"/>
  <c r="AA246" i="1"/>
  <c r="AA360" i="1"/>
  <c r="AA352" i="1"/>
  <c r="AA127" i="1"/>
  <c r="AA90" i="1"/>
  <c r="AA82" i="1"/>
  <c r="AA74" i="1"/>
  <c r="AA66" i="1"/>
  <c r="AA58" i="1"/>
  <c r="AA362" i="1"/>
  <c r="AA42" i="1"/>
  <c r="AA317" i="1"/>
  <c r="AA261" i="1"/>
  <c r="AA243" i="1"/>
  <c r="AA204" i="1"/>
  <c r="AA167" i="1"/>
  <c r="AA335" i="1"/>
  <c r="AA40" i="1"/>
  <c r="AA30" i="1"/>
  <c r="AA345" i="1"/>
  <c r="AA60" i="1"/>
  <c r="AA29" i="1"/>
  <c r="AA359" i="1"/>
  <c r="AA351" i="1"/>
  <c r="AA123" i="1"/>
  <c r="AA89" i="1"/>
  <c r="AA81" i="1"/>
  <c r="AA73" i="1"/>
  <c r="AA65" i="1"/>
  <c r="AA57" i="1"/>
  <c r="AA325" i="1"/>
  <c r="AA37" i="1"/>
  <c r="AA305" i="1"/>
  <c r="AA260" i="1"/>
  <c r="AA242" i="1"/>
  <c r="AA203" i="1"/>
  <c r="AA161" i="1"/>
  <c r="AA334" i="1"/>
  <c r="AA39" i="1"/>
  <c r="AA25" i="1"/>
  <c r="AA117" i="1"/>
  <c r="AA76" i="1"/>
  <c r="AA267" i="1"/>
  <c r="AA177" i="1"/>
  <c r="AA358" i="1"/>
  <c r="AA350" i="1"/>
  <c r="AA122" i="1"/>
  <c r="AA96" i="1"/>
  <c r="AA88" i="1"/>
  <c r="AA80" i="1"/>
  <c r="AA72" i="1"/>
  <c r="AA64" i="1"/>
  <c r="AA56" i="1"/>
  <c r="AA324" i="1"/>
  <c r="AA32" i="1"/>
  <c r="AA300" i="1"/>
  <c r="AA259" i="1"/>
  <c r="AA234" i="1"/>
  <c r="AA202" i="1"/>
  <c r="AA157" i="1"/>
  <c r="AA131" i="1"/>
  <c r="AA38" i="1"/>
  <c r="AA23" i="1"/>
  <c r="AA51" i="1"/>
  <c r="AA206" i="1"/>
  <c r="AA36" i="1"/>
  <c r="AA357" i="1"/>
  <c r="AA349" i="1"/>
  <c r="AA121" i="1"/>
  <c r="AA95" i="1"/>
  <c r="AA87" i="1"/>
  <c r="AA71" i="1"/>
  <c r="AA63" i="1"/>
  <c r="AA54" i="1"/>
  <c r="AA323" i="1"/>
  <c r="AA28" i="1"/>
  <c r="AA288" i="1"/>
  <c r="AA258" i="1"/>
  <c r="AA227" i="1"/>
  <c r="AA191" i="1"/>
  <c r="AA101" i="1"/>
  <c r="AA98" i="1"/>
  <c r="AA132" i="1"/>
  <c r="AA4" i="1"/>
  <c r="AA343" i="1"/>
  <c r="AA354" i="1"/>
  <c r="AA55" i="1"/>
  <c r="AA356" i="1"/>
  <c r="AA347" i="1"/>
  <c r="AA120" i="1"/>
  <c r="AA94" i="1"/>
  <c r="AA86" i="1"/>
  <c r="AA78" i="1"/>
  <c r="AA70" i="1"/>
  <c r="AA62" i="1"/>
  <c r="AA53" i="1"/>
  <c r="AA130" i="1"/>
  <c r="AA27" i="1"/>
  <c r="AA278" i="1"/>
  <c r="AA255" i="1"/>
  <c r="AA219" i="1"/>
  <c r="AA190" i="1"/>
  <c r="AA100" i="1"/>
  <c r="AA35" i="1"/>
  <c r="AA97" i="1"/>
  <c r="AA33" i="1"/>
  <c r="AA110" i="1"/>
  <c r="AA68" i="1"/>
  <c r="AA337" i="1"/>
  <c r="AA355" i="1"/>
  <c r="AA346" i="1"/>
  <c r="AA118" i="1"/>
  <c r="AA93" i="1"/>
  <c r="AA85" i="1"/>
  <c r="AA77" i="1"/>
  <c r="AA69" i="1"/>
  <c r="AA61" i="1"/>
  <c r="AA52" i="1"/>
  <c r="AA129" i="1"/>
  <c r="AA24" i="1"/>
  <c r="AA274" i="1"/>
  <c r="AA248" i="1"/>
  <c r="AA210" i="1"/>
  <c r="AA178" i="1"/>
  <c r="AA99" i="1"/>
  <c r="AA31" i="1"/>
  <c r="AA41" i="1"/>
  <c r="AA84" i="1"/>
  <c r="AA111" i="1"/>
  <c r="AB8" i="1"/>
  <c r="Y8" i="1" s="1"/>
  <c r="AB128" i="1"/>
  <c r="Y128" i="1" s="1"/>
  <c r="AB49" i="1"/>
  <c r="Y49" i="1" s="1"/>
  <c r="AB109" i="1"/>
  <c r="Y109" i="1" s="1"/>
  <c r="AB341" i="1"/>
  <c r="Y341" i="1" s="1"/>
  <c r="AB45" i="1"/>
  <c r="Y45" i="1" s="1"/>
  <c r="AB104" i="1"/>
  <c r="Y104" i="1" s="1"/>
  <c r="AB106" i="1"/>
  <c r="Y106" i="1" s="1"/>
  <c r="AB108" i="1"/>
  <c r="Y108" i="1" s="1"/>
  <c r="AB18" i="1"/>
  <c r="Y18" i="1" s="1"/>
  <c r="AB10" i="1"/>
  <c r="Y10" i="1" s="1"/>
  <c r="AB15" i="1"/>
  <c r="Y15" i="1" s="1"/>
  <c r="AB107" i="1"/>
  <c r="Y107" i="1" s="1"/>
  <c r="AB342" i="1"/>
  <c r="Y342" i="1" s="1"/>
  <c r="AB119" i="1"/>
  <c r="Y119" i="1" s="1"/>
  <c r="AB6" i="1"/>
  <c r="Y6" i="1" s="1"/>
  <c r="AB20" i="1"/>
  <c r="Y20" i="1" s="1"/>
  <c r="AB114" i="1"/>
  <c r="Y114" i="1" s="1"/>
  <c r="AB340" i="1"/>
  <c r="Y340" i="1" s="1"/>
  <c r="AB12" i="1"/>
  <c r="Y12" i="1" s="1"/>
  <c r="AB9" i="1"/>
  <c r="Y9" i="1" s="1"/>
  <c r="AB339" i="1"/>
  <c r="Y339" i="1" s="1"/>
  <c r="AB44" i="1"/>
  <c r="Y44" i="1" s="1"/>
  <c r="AB103" i="1"/>
  <c r="Y103" i="1" s="1"/>
  <c r="AB113" i="1"/>
  <c r="Y113" i="1" s="1"/>
  <c r="AB344" i="1"/>
  <c r="Y344" i="1" s="1"/>
  <c r="AB112" i="1"/>
  <c r="Y112" i="1" s="1"/>
  <c r="AB338" i="1"/>
  <c r="Y338" i="1" s="1"/>
  <c r="AB126" i="1"/>
  <c r="Y126" i="1" s="1"/>
  <c r="AB7" i="1"/>
  <c r="Y7" i="1" s="1"/>
  <c r="AB16" i="1"/>
  <c r="Y16" i="1" s="1"/>
  <c r="AB19" i="1"/>
  <c r="Y19" i="1" s="1"/>
  <c r="AB50" i="1"/>
  <c r="Y50" i="1" s="1"/>
  <c r="AB348" i="1"/>
  <c r="Y348" i="1" s="1"/>
  <c r="AB47" i="1"/>
  <c r="Y47" i="1" s="1"/>
  <c r="AB14" i="1"/>
  <c r="Y14" i="1" s="1"/>
  <c r="AB124" i="1"/>
  <c r="Y124" i="1" s="1"/>
  <c r="AB125" i="1"/>
  <c r="Y125" i="1" s="1"/>
  <c r="AB115" i="1"/>
  <c r="Y115" i="1" s="1"/>
  <c r="AB5" i="1"/>
  <c r="Y5" i="1" s="1"/>
  <c r="AB46" i="1"/>
  <c r="Y46" i="1" s="1"/>
  <c r="AB102" i="1"/>
  <c r="Y102" i="1" s="1"/>
  <c r="AB17" i="1"/>
  <c r="Y17" i="1" s="1"/>
  <c r="AB13" i="1"/>
  <c r="Y13" i="1" s="1"/>
  <c r="AB11" i="1"/>
  <c r="Y11" i="1" s="1"/>
  <c r="AE100" i="1" l="1"/>
  <c r="AD100" i="1" s="1"/>
  <c r="AE125" i="1"/>
  <c r="AE102" i="1"/>
  <c r="AE18" i="1"/>
  <c r="AE348" i="1"/>
  <c r="AE128" i="1"/>
  <c r="AE36" i="1"/>
  <c r="AC36" i="1" s="1"/>
  <c r="AE70" i="1"/>
  <c r="AC70" i="1" s="1"/>
  <c r="AE81" i="1"/>
  <c r="AC81" i="1" s="1"/>
  <c r="AE11" i="1"/>
  <c r="AE126" i="1"/>
  <c r="AE29" i="1"/>
  <c r="AD29" i="1" s="1"/>
  <c r="AE129" i="1"/>
  <c r="AC129" i="1" s="1"/>
  <c r="AE227" i="1"/>
  <c r="AC227" i="1" s="1"/>
  <c r="AE131" i="1"/>
  <c r="AC131" i="1" s="1"/>
  <c r="AE302" i="1"/>
  <c r="AE279" i="1"/>
  <c r="AD279" i="1" s="1"/>
  <c r="AE297" i="1"/>
  <c r="AE17" i="1"/>
  <c r="AE47" i="1"/>
  <c r="AE112" i="1"/>
  <c r="AE340" i="1"/>
  <c r="AE10" i="1"/>
  <c r="AE104" i="1"/>
  <c r="AE177" i="1"/>
  <c r="AC177" i="1" s="1"/>
  <c r="AE68" i="1"/>
  <c r="AC68" i="1" s="1"/>
  <c r="AE41" i="1"/>
  <c r="AC41" i="1" s="1"/>
  <c r="AE93" i="1"/>
  <c r="AC93" i="1" s="1"/>
  <c r="AE255" i="1"/>
  <c r="AC255" i="1" s="1"/>
  <c r="AE357" i="1"/>
  <c r="AC357" i="1" s="1"/>
  <c r="AE288" i="1"/>
  <c r="AC288" i="1" s="1"/>
  <c r="AE95" i="1"/>
  <c r="AC95" i="1" s="1"/>
  <c r="AE243" i="1"/>
  <c r="AC243" i="1" s="1"/>
  <c r="AE202" i="1"/>
  <c r="AC202" i="1" s="1"/>
  <c r="AE72" i="1"/>
  <c r="AC72" i="1" s="1"/>
  <c r="AE223" i="1"/>
  <c r="AE289" i="1"/>
  <c r="AC289" i="1" s="1"/>
  <c r="AE201" i="1"/>
  <c r="AE332" i="1"/>
  <c r="AE273" i="1"/>
  <c r="AE181" i="1"/>
  <c r="AD181" i="1" s="1"/>
  <c r="AE168" i="1"/>
  <c r="AE254" i="1"/>
  <c r="AE326" i="1"/>
  <c r="AC326" i="1" s="1"/>
  <c r="AE249" i="1"/>
  <c r="AE294" i="1"/>
  <c r="AD294" i="1" s="1"/>
  <c r="AE159" i="1"/>
  <c r="AE282" i="1"/>
  <c r="AE183" i="1"/>
  <c r="AE330" i="1"/>
  <c r="AE296" i="1"/>
  <c r="AD296" i="1" s="1"/>
  <c r="AE284" i="1"/>
  <c r="AD284" i="1" s="1"/>
  <c r="AE228" i="1"/>
  <c r="AC228" i="1" s="1"/>
  <c r="AE216" i="1"/>
  <c r="AC216" i="1" s="1"/>
  <c r="AE331" i="1"/>
  <c r="AD331" i="1" s="1"/>
  <c r="AE171" i="1"/>
  <c r="AE203" i="1"/>
  <c r="AC203" i="1" s="1"/>
  <c r="AE123" i="1"/>
  <c r="AC123" i="1" s="1"/>
  <c r="AE204" i="1"/>
  <c r="AC204" i="1" s="1"/>
  <c r="AE66" i="1"/>
  <c r="AC66" i="1" s="1"/>
  <c r="AE262" i="1"/>
  <c r="AC262" i="1" s="1"/>
  <c r="AE91" i="1"/>
  <c r="AC91" i="1" s="1"/>
  <c r="AE85" i="1"/>
  <c r="AC85" i="1" s="1"/>
  <c r="AE45" i="1"/>
  <c r="AE31" i="1"/>
  <c r="AC31" i="1" s="1"/>
  <c r="AE4" i="1"/>
  <c r="AD4" i="1" s="1"/>
  <c r="AE121" i="1"/>
  <c r="AC121" i="1" s="1"/>
  <c r="AE80" i="1"/>
  <c r="AC80" i="1" s="1"/>
  <c r="AE311" i="1"/>
  <c r="AC311" i="1" s="1"/>
  <c r="AE151" i="1"/>
  <c r="AC151" i="1" s="1"/>
  <c r="AE263" i="1"/>
  <c r="AC263" i="1" s="1"/>
  <c r="AE319" i="1"/>
  <c r="AE283" i="1"/>
  <c r="AC283" i="1" s="1"/>
  <c r="AE218" i="1"/>
  <c r="AD218" i="1" s="1"/>
  <c r="AE222" i="1"/>
  <c r="AE182" i="1"/>
  <c r="AD182" i="1" s="1"/>
  <c r="AE186" i="1"/>
  <c r="AD186" i="1" s="1"/>
  <c r="AE214" i="1"/>
  <c r="AE310" i="1"/>
  <c r="AC310" i="1" s="1"/>
  <c r="AE266" i="1"/>
  <c r="AE169" i="1"/>
  <c r="AE251" i="1"/>
  <c r="AE207" i="1"/>
  <c r="AD207" i="1" s="1"/>
  <c r="AE264" i="1"/>
  <c r="AE244" i="1"/>
  <c r="AE304" i="1"/>
  <c r="AE208" i="1"/>
  <c r="AD208" i="1" s="1"/>
  <c r="AE315" i="1"/>
  <c r="AC315" i="1" s="1"/>
  <c r="AE163" i="1"/>
  <c r="AD163" i="1" s="1"/>
  <c r="AE242" i="1"/>
  <c r="AC242" i="1" s="1"/>
  <c r="AE360" i="1"/>
  <c r="AC360" i="1" s="1"/>
  <c r="AE362" i="1"/>
  <c r="AC362" i="1" s="1"/>
  <c r="AE111" i="1"/>
  <c r="AC111" i="1" s="1"/>
  <c r="AE2" i="1"/>
  <c r="AC2" i="1" s="1"/>
  <c r="AE116" i="1"/>
  <c r="AD116" i="1" s="1"/>
  <c r="AE118" i="1"/>
  <c r="AC118" i="1" s="1"/>
  <c r="AE76" i="1"/>
  <c r="AC76" i="1" s="1"/>
  <c r="AE28" i="1"/>
  <c r="AC28" i="1" s="1"/>
  <c r="AE46" i="1"/>
  <c r="AE20" i="1"/>
  <c r="AE246" i="1"/>
  <c r="AC246" i="1" s="1"/>
  <c r="AE35" i="1"/>
  <c r="AC35" i="1" s="1"/>
  <c r="AE323" i="1"/>
  <c r="AC323" i="1" s="1"/>
  <c r="AE259" i="1"/>
  <c r="AC259" i="1" s="1"/>
  <c r="AE149" i="1"/>
  <c r="AC149" i="1" s="1"/>
  <c r="AE301" i="1"/>
  <c r="AD301" i="1" s="1"/>
  <c r="AE175" i="1"/>
  <c r="AE226" i="1"/>
  <c r="AE281" i="1"/>
  <c r="AD281" i="1" s="1"/>
  <c r="AE306" i="1"/>
  <c r="AE189" i="1"/>
  <c r="AE179" i="1"/>
  <c r="AC179" i="1" s="1"/>
  <c r="AE155" i="1"/>
  <c r="AE140" i="1"/>
  <c r="AE180" i="1"/>
  <c r="AC180" i="1" s="1"/>
  <c r="AE272" i="1"/>
  <c r="AE192" i="1"/>
  <c r="AD192" i="1" s="1"/>
  <c r="AE307" i="1"/>
  <c r="AE147" i="1"/>
  <c r="AE260" i="1"/>
  <c r="AC260" i="1" s="1"/>
  <c r="AE167" i="1"/>
  <c r="AC167" i="1" s="1"/>
  <c r="AE82" i="1"/>
  <c r="AC82" i="1" s="1"/>
  <c r="AE34" i="1"/>
  <c r="AC34" i="1" s="1"/>
  <c r="AE43" i="1"/>
  <c r="AC43" i="1" s="1"/>
  <c r="AE345" i="1"/>
  <c r="AC345" i="1" s="1"/>
  <c r="AE356" i="1"/>
  <c r="AC356" i="1" s="1"/>
  <c r="AE344" i="1"/>
  <c r="AE62" i="1"/>
  <c r="AC62" i="1" s="1"/>
  <c r="AE234" i="1"/>
  <c r="AC234" i="1" s="1"/>
  <c r="AE113" i="1"/>
  <c r="AE341" i="1"/>
  <c r="AE84" i="1"/>
  <c r="AC84" i="1" s="1"/>
  <c r="AE94" i="1"/>
  <c r="AC94" i="1" s="1"/>
  <c r="AE350" i="1"/>
  <c r="AC350" i="1" s="1"/>
  <c r="AE88" i="1"/>
  <c r="AC88" i="1" s="1"/>
  <c r="AE209" i="1"/>
  <c r="AD209" i="1" s="1"/>
  <c r="AE313" i="1"/>
  <c r="AE231" i="1"/>
  <c r="AE5" i="1"/>
  <c r="AE19" i="1"/>
  <c r="AE103" i="1"/>
  <c r="AE6" i="1"/>
  <c r="AE109" i="1"/>
  <c r="AE267" i="1"/>
  <c r="AC267" i="1" s="1"/>
  <c r="AE92" i="1"/>
  <c r="AC92" i="1" s="1"/>
  <c r="AE178" i="1"/>
  <c r="AD178" i="1" s="1"/>
  <c r="AE219" i="1"/>
  <c r="AC219" i="1" s="1"/>
  <c r="AE33" i="1"/>
  <c r="AC33" i="1" s="1"/>
  <c r="AE98" i="1"/>
  <c r="AC98" i="1" s="1"/>
  <c r="AE54" i="1"/>
  <c r="AC54" i="1" s="1"/>
  <c r="AE358" i="1"/>
  <c r="AC358" i="1" s="1"/>
  <c r="AE127" i="1"/>
  <c r="AC127" i="1" s="1"/>
  <c r="AE300" i="1"/>
  <c r="AC300" i="1" s="1"/>
  <c r="AE96" i="1"/>
  <c r="AC96" i="1" s="1"/>
  <c r="AE215" i="1"/>
  <c r="AE217" i="1"/>
  <c r="AE225" i="1"/>
  <c r="AD225" i="1" s="1"/>
  <c r="AE162" i="1"/>
  <c r="AD162" i="1" s="1"/>
  <c r="AE250" i="1"/>
  <c r="AE170" i="1"/>
  <c r="AE280" i="1"/>
  <c r="AD280" i="1" s="1"/>
  <c r="AE197" i="1"/>
  <c r="AE134" i="1"/>
  <c r="AE200" i="1"/>
  <c r="AC200" i="1" s="1"/>
  <c r="AE322" i="1"/>
  <c r="AD322" i="1" s="1"/>
  <c r="AE265" i="1"/>
  <c r="AE158" i="1"/>
  <c r="AC158" i="1" s="1"/>
  <c r="AE211" i="1"/>
  <c r="AE237" i="1"/>
  <c r="AE196" i="1"/>
  <c r="AE312" i="1"/>
  <c r="AE220" i="1"/>
  <c r="AE184" i="1"/>
  <c r="AE299" i="1"/>
  <c r="AD299" i="1" s="1"/>
  <c r="AE139" i="1"/>
  <c r="AC139" i="1" s="1"/>
  <c r="AE305" i="1"/>
  <c r="AC305" i="1" s="1"/>
  <c r="AE317" i="1"/>
  <c r="AD317" i="1" s="1"/>
  <c r="AE353" i="1"/>
  <c r="AC353" i="1" s="1"/>
  <c r="AE22" i="1"/>
  <c r="AC22" i="1" s="1"/>
  <c r="AE48" i="1"/>
  <c r="AD48" i="1" s="1"/>
  <c r="AE354" i="1"/>
  <c r="AC354" i="1" s="1"/>
  <c r="AE114" i="1"/>
  <c r="AE206" i="1"/>
  <c r="AC206" i="1" s="1"/>
  <c r="AE347" i="1"/>
  <c r="AC347" i="1" s="1"/>
  <c r="AE42" i="1"/>
  <c r="AD42" i="1" s="1"/>
  <c r="AE50" i="1"/>
  <c r="AE108" i="1"/>
  <c r="AE99" i="1"/>
  <c r="AC99" i="1" s="1"/>
  <c r="AE132" i="1"/>
  <c r="AC132" i="1" s="1"/>
  <c r="AE74" i="1"/>
  <c r="AC74" i="1" s="1"/>
  <c r="AE269" i="1"/>
  <c r="AE176" i="1"/>
  <c r="AE141" i="1"/>
  <c r="AD141" i="1" s="1"/>
  <c r="AE115" i="1"/>
  <c r="AE16" i="1"/>
  <c r="AE44" i="1"/>
  <c r="AE119" i="1"/>
  <c r="AE106" i="1"/>
  <c r="AE49" i="1"/>
  <c r="AE105" i="1"/>
  <c r="AE3" i="1"/>
  <c r="AC3" i="1" s="1"/>
  <c r="AE117" i="1"/>
  <c r="AC117" i="1" s="1"/>
  <c r="AE248" i="1"/>
  <c r="AC248" i="1" s="1"/>
  <c r="AE27" i="1"/>
  <c r="AC27" i="1" s="1"/>
  <c r="AE97" i="1"/>
  <c r="AC97" i="1" s="1"/>
  <c r="AE101" i="1"/>
  <c r="AC101" i="1" s="1"/>
  <c r="AE63" i="1"/>
  <c r="AC63" i="1" s="1"/>
  <c r="AE65" i="1"/>
  <c r="AC65" i="1" s="1"/>
  <c r="AE23" i="1"/>
  <c r="AC23" i="1" s="1"/>
  <c r="AE32" i="1"/>
  <c r="AD32" i="1" s="1"/>
  <c r="AE122" i="1"/>
  <c r="AC122" i="1" s="1"/>
  <c r="AE271" i="1"/>
  <c r="AE154" i="1"/>
  <c r="AE290" i="1"/>
  <c r="AE309" i="1"/>
  <c r="AE285" i="1"/>
  <c r="AE333" i="1"/>
  <c r="AC333" i="1" s="1"/>
  <c r="AE229" i="1"/>
  <c r="AE173" i="1"/>
  <c r="AC173" i="1" s="1"/>
  <c r="AE318" i="1"/>
  <c r="AD318" i="1" s="1"/>
  <c r="AE21" i="1"/>
  <c r="AE150" i="1"/>
  <c r="AE165" i="1"/>
  <c r="AE143" i="1"/>
  <c r="AE193" i="1"/>
  <c r="AE138" i="1"/>
  <c r="AC138" i="1" s="1"/>
  <c r="AE320" i="1"/>
  <c r="AE236" i="1"/>
  <c r="AE156" i="1"/>
  <c r="AC156" i="1" s="1"/>
  <c r="AE160" i="1"/>
  <c r="AE291" i="1"/>
  <c r="AC291" i="1" s="1"/>
  <c r="AE25" i="1"/>
  <c r="AC25" i="1" s="1"/>
  <c r="AE37" i="1"/>
  <c r="AC37" i="1" s="1"/>
  <c r="AE58" i="1"/>
  <c r="AC58" i="1" s="1"/>
  <c r="AE30" i="1"/>
  <c r="AC30" i="1" s="1"/>
  <c r="AE336" i="1"/>
  <c r="AC336" i="1" s="1"/>
  <c r="AE59" i="1"/>
  <c r="AC59" i="1" s="1"/>
  <c r="AE210" i="1"/>
  <c r="AC210" i="1" s="1"/>
  <c r="AE278" i="1"/>
  <c r="AD278" i="1" s="1"/>
  <c r="AE339" i="1"/>
  <c r="AE346" i="1"/>
  <c r="AC346" i="1" s="1"/>
  <c r="AE191" i="1"/>
  <c r="AC191" i="1" s="1"/>
  <c r="AE71" i="1"/>
  <c r="AC71" i="1" s="1"/>
  <c r="AE324" i="1"/>
  <c r="AC324" i="1" s="1"/>
  <c r="AE194" i="1"/>
  <c r="AE293" i="1"/>
  <c r="AC293" i="1" s="1"/>
  <c r="AE26" i="1"/>
  <c r="AC26" i="1" s="1"/>
  <c r="AE238" i="1"/>
  <c r="AE185" i="1"/>
  <c r="AE270" i="1"/>
  <c r="AC270" i="1" s="1"/>
  <c r="AE321" i="1"/>
  <c r="AE146" i="1"/>
  <c r="AC146" i="1" s="1"/>
  <c r="AE303" i="1"/>
  <c r="AE199" i="1"/>
  <c r="AE135" i="1"/>
  <c r="AE133" i="1"/>
  <c r="AC133" i="1" s="1"/>
  <c r="AE137" i="1"/>
  <c r="AD137" i="1" s="1"/>
  <c r="AE295" i="1"/>
  <c r="AE268" i="1"/>
  <c r="AE252" i="1"/>
  <c r="AD252" i="1" s="1"/>
  <c r="AE172" i="1"/>
  <c r="AC172" i="1" s="1"/>
  <c r="AE256" i="1"/>
  <c r="AE144" i="1"/>
  <c r="AD144" i="1" s="1"/>
  <c r="AE275" i="1"/>
  <c r="AD275" i="1" s="1"/>
  <c r="AE39" i="1"/>
  <c r="AC39" i="1" s="1"/>
  <c r="AE57" i="1"/>
  <c r="AC57" i="1" s="1"/>
  <c r="AE90" i="1"/>
  <c r="AC90" i="1" s="1"/>
  <c r="AE40" i="1"/>
  <c r="AC40" i="1" s="1"/>
  <c r="AE174" i="1"/>
  <c r="AC174" i="1" s="1"/>
  <c r="AE67" i="1"/>
  <c r="AD67" i="1" s="1"/>
  <c r="AE274" i="1"/>
  <c r="AC274" i="1" s="1"/>
  <c r="AE53" i="1"/>
  <c r="AC53" i="1" s="1"/>
  <c r="AE342" i="1"/>
  <c r="AE55" i="1"/>
  <c r="AC55" i="1" s="1"/>
  <c r="AE190" i="1"/>
  <c r="AC190" i="1" s="1"/>
  <c r="AE351" i="1"/>
  <c r="AC351" i="1" s="1"/>
  <c r="AE9" i="1"/>
  <c r="AE51" i="1"/>
  <c r="AC51" i="1" s="1"/>
  <c r="AE120" i="1"/>
  <c r="AC120" i="1" s="1"/>
  <c r="AE79" i="1"/>
  <c r="AD79" i="1" s="1"/>
  <c r="AE56" i="1"/>
  <c r="AC56" i="1" s="1"/>
  <c r="AE230" i="1"/>
  <c r="AE213" i="1"/>
  <c r="AE314" i="1"/>
  <c r="AC314" i="1" s="1"/>
  <c r="AE198" i="1"/>
  <c r="AE327" i="1"/>
  <c r="AE166" i="1"/>
  <c r="AE253" i="1"/>
  <c r="AC253" i="1" s="1"/>
  <c r="AE286" i="1"/>
  <c r="AE212" i="1"/>
  <c r="AC212" i="1" s="1"/>
  <c r="AE188" i="1"/>
  <c r="AD188" i="1" s="1"/>
  <c r="AE308" i="1"/>
  <c r="AE240" i="1"/>
  <c r="AE136" i="1"/>
  <c r="AC136" i="1" s="1"/>
  <c r="AE195" i="1"/>
  <c r="AD195" i="1" s="1"/>
  <c r="AE334" i="1"/>
  <c r="AC334" i="1" s="1"/>
  <c r="AE73" i="1"/>
  <c r="AC73" i="1" s="1"/>
  <c r="AE361" i="1"/>
  <c r="AC361" i="1" s="1"/>
  <c r="AE335" i="1"/>
  <c r="AC335" i="1" s="1"/>
  <c r="AE205" i="1"/>
  <c r="AC205" i="1" s="1"/>
  <c r="AE75" i="1"/>
  <c r="AC75" i="1" s="1"/>
  <c r="AE52" i="1"/>
  <c r="AC52" i="1" s="1"/>
  <c r="AE78" i="1"/>
  <c r="AC78" i="1" s="1"/>
  <c r="AE7" i="1"/>
  <c r="AE24" i="1"/>
  <c r="AC24" i="1" s="1"/>
  <c r="AE38" i="1"/>
  <c r="AC38" i="1" s="1"/>
  <c r="AE124" i="1"/>
  <c r="AE107" i="1"/>
  <c r="AE355" i="1"/>
  <c r="AC355" i="1" s="1"/>
  <c r="AE130" i="1"/>
  <c r="AC130" i="1" s="1"/>
  <c r="AE110" i="1"/>
  <c r="AD110" i="1" s="1"/>
  <c r="AE145" i="1"/>
  <c r="AD145" i="1" s="1"/>
  <c r="AE247" i="1"/>
  <c r="AE287" i="1"/>
  <c r="AE277" i="1"/>
  <c r="AC277" i="1" s="1"/>
  <c r="AE13" i="1"/>
  <c r="AE14" i="1"/>
  <c r="AE338" i="1"/>
  <c r="AE12" i="1"/>
  <c r="AE15" i="1"/>
  <c r="AE8" i="1"/>
  <c r="AE337" i="1"/>
  <c r="AC337" i="1" s="1"/>
  <c r="AE60" i="1"/>
  <c r="AC60" i="1" s="1"/>
  <c r="AE343" i="1"/>
  <c r="AC343" i="1" s="1"/>
  <c r="AE61" i="1"/>
  <c r="AC61" i="1" s="1"/>
  <c r="AE77" i="1"/>
  <c r="AC77" i="1" s="1"/>
  <c r="AE86" i="1"/>
  <c r="AC86" i="1" s="1"/>
  <c r="AE258" i="1"/>
  <c r="AD258" i="1" s="1"/>
  <c r="AE87" i="1"/>
  <c r="AC87" i="1" s="1"/>
  <c r="AE352" i="1"/>
  <c r="AC352" i="1" s="1"/>
  <c r="AE157" i="1"/>
  <c r="AC157" i="1" s="1"/>
  <c r="AE64" i="1"/>
  <c r="AC64" i="1" s="1"/>
  <c r="AE298" i="1"/>
  <c r="AE221" i="1"/>
  <c r="AE239" i="1"/>
  <c r="AC239" i="1" s="1"/>
  <c r="AE257" i="1"/>
  <c r="AE233" i="1"/>
  <c r="AC233" i="1" s="1"/>
  <c r="AE292" i="1"/>
  <c r="AC292" i="1" s="1"/>
  <c r="AE241" i="1"/>
  <c r="AD241" i="1" s="1"/>
  <c r="AE328" i="1"/>
  <c r="AC328" i="1" s="1"/>
  <c r="AE153" i="1"/>
  <c r="AE164" i="1"/>
  <c r="AD164" i="1" s="1"/>
  <c r="AE224" i="1"/>
  <c r="AE329" i="1"/>
  <c r="AC329" i="1" s="1"/>
  <c r="AE152" i="1"/>
  <c r="AC152" i="1" s="1"/>
  <c r="AE235" i="1"/>
  <c r="AC235" i="1" s="1"/>
  <c r="AE142" i="1"/>
  <c r="AE148" i="1"/>
  <c r="AE316" i="1"/>
  <c r="AC316" i="1" s="1"/>
  <c r="AE276" i="1"/>
  <c r="AE232" i="1"/>
  <c r="AE359" i="1"/>
  <c r="AC359" i="1" s="1"/>
  <c r="AE187" i="1"/>
  <c r="AC187" i="1" s="1"/>
  <c r="AE161" i="1"/>
  <c r="AC161" i="1" s="1"/>
  <c r="AE89" i="1"/>
  <c r="AC89" i="1" s="1"/>
  <c r="AE325" i="1"/>
  <c r="AC325" i="1" s="1"/>
  <c r="AE261" i="1"/>
  <c r="AC261" i="1" s="1"/>
  <c r="AE245" i="1"/>
  <c r="AC245" i="1" s="1"/>
  <c r="AE83" i="1"/>
  <c r="AC83" i="1" s="1"/>
  <c r="AE69" i="1"/>
  <c r="AC69" i="1" s="1"/>
  <c r="AE349" i="1"/>
  <c r="AC349" i="1" s="1"/>
  <c r="AA114" i="1"/>
  <c r="AA45" i="1"/>
  <c r="AA6" i="1"/>
  <c r="AA106" i="1"/>
  <c r="AA341" i="1"/>
  <c r="AA19" i="1"/>
  <c r="AA339" i="1"/>
  <c r="AA128" i="1"/>
  <c r="AA50" i="1"/>
  <c r="AA107" i="1"/>
  <c r="AA109" i="1"/>
  <c r="AA124" i="1"/>
  <c r="AA14" i="1"/>
  <c r="AA340" i="1"/>
  <c r="AA113" i="1"/>
  <c r="AA115" i="1"/>
  <c r="AA344" i="1"/>
  <c r="AA18" i="1"/>
  <c r="AA102" i="1"/>
  <c r="AA49" i="1"/>
  <c r="AA119" i="1"/>
  <c r="AA7" i="1"/>
  <c r="AA5" i="1"/>
  <c r="AA8" i="1"/>
  <c r="AA10" i="1"/>
  <c r="AA17" i="1"/>
  <c r="AA108" i="1"/>
  <c r="AA11" i="1"/>
  <c r="AA9" i="1"/>
  <c r="AA47" i="1"/>
  <c r="AA16" i="1"/>
  <c r="AA348" i="1"/>
  <c r="AA125" i="1"/>
  <c r="AA20" i="1"/>
  <c r="AA103" i="1"/>
  <c r="AA338" i="1"/>
  <c r="AA126" i="1"/>
  <c r="AA46" i="1"/>
  <c r="AA104" i="1"/>
  <c r="AA112" i="1"/>
  <c r="AA44" i="1"/>
  <c r="AA12" i="1"/>
  <c r="AA342" i="1"/>
  <c r="AA15" i="1"/>
  <c r="AA13" i="1"/>
  <c r="AC125" i="1" l="1"/>
  <c r="AC18" i="1"/>
  <c r="AC10" i="1"/>
  <c r="AD107" i="1"/>
  <c r="AD339" i="1"/>
  <c r="AC7" i="1"/>
  <c r="AD26" i="1"/>
  <c r="AD21" i="1"/>
  <c r="AC21" i="1"/>
  <c r="AD138" i="1"/>
  <c r="AD146" i="1"/>
  <c r="AC313" i="1"/>
  <c r="AD313" i="1"/>
  <c r="AD133" i="1"/>
  <c r="AD306" i="1"/>
  <c r="AC306" i="1"/>
  <c r="AD314" i="1"/>
  <c r="AD312" i="1"/>
  <c r="AC312" i="1"/>
  <c r="AD310" i="1"/>
  <c r="AC299" i="1"/>
  <c r="AC268" i="1"/>
  <c r="AD268" i="1"/>
  <c r="AC140" i="1"/>
  <c r="AD140" i="1"/>
  <c r="AD214" i="1"/>
  <c r="AC214" i="1"/>
  <c r="AC147" i="1"/>
  <c r="AD147" i="1"/>
  <c r="AC199" i="1"/>
  <c r="AD199" i="1"/>
  <c r="AC144" i="1"/>
  <c r="AC142" i="1"/>
  <c r="AD142" i="1"/>
  <c r="AD277" i="1"/>
  <c r="AC240" i="1"/>
  <c r="AD240" i="1"/>
  <c r="AC197" i="1"/>
  <c r="AD197" i="1"/>
  <c r="AC304" i="1"/>
  <c r="AD304" i="1"/>
  <c r="AC303" i="1"/>
  <c r="AD303" i="1"/>
  <c r="AC322" i="1"/>
  <c r="AC273" i="1"/>
  <c r="AD273" i="1"/>
  <c r="AD179" i="1"/>
  <c r="AC251" i="1"/>
  <c r="AD251" i="1"/>
  <c r="AD270" i="1"/>
  <c r="AD276" i="1"/>
  <c r="AC276" i="1"/>
  <c r="AC137" i="1"/>
  <c r="AC186" i="1"/>
  <c r="AD293" i="1"/>
  <c r="AD180" i="1"/>
  <c r="AD308" i="1"/>
  <c r="AC308" i="1"/>
  <c r="AC296" i="1"/>
  <c r="AC250" i="1"/>
  <c r="AD250" i="1"/>
  <c r="AC182" i="1"/>
  <c r="AD315" i="1"/>
  <c r="AC244" i="1"/>
  <c r="AD244" i="1"/>
  <c r="AD295" i="1"/>
  <c r="AC295" i="1"/>
  <c r="AD249" i="1"/>
  <c r="AC249" i="1"/>
  <c r="AC302" i="1"/>
  <c r="AD302" i="1"/>
  <c r="AC320" i="1"/>
  <c r="AD320" i="1"/>
  <c r="AD148" i="1"/>
  <c r="AC148" i="1"/>
  <c r="AC196" i="1"/>
  <c r="AD196" i="1"/>
  <c r="AD265" i="1"/>
  <c r="AC265" i="1"/>
  <c r="AD289" i="1"/>
  <c r="AC213" i="1"/>
  <c r="AD213" i="1"/>
  <c r="AC252" i="1"/>
  <c r="AC297" i="1"/>
  <c r="AD297" i="1"/>
  <c r="AD139" i="1"/>
  <c r="AD198" i="1"/>
  <c r="AC198" i="1"/>
  <c r="AC181" i="1"/>
  <c r="AC150" i="1"/>
  <c r="AD150" i="1"/>
  <c r="AD283" i="1"/>
  <c r="AC160" i="1"/>
  <c r="AD160" i="1"/>
  <c r="AD215" i="1"/>
  <c r="AC215" i="1"/>
  <c r="AC280" i="1"/>
  <c r="AD216" i="1"/>
  <c r="AD285" i="1"/>
  <c r="AC285" i="1"/>
  <c r="AC162" i="1"/>
  <c r="AD264" i="1"/>
  <c r="AC264" i="1"/>
  <c r="AD224" i="1"/>
  <c r="AC224" i="1"/>
  <c r="AD292" i="1"/>
  <c r="AD298" i="1"/>
  <c r="AC298" i="1"/>
  <c r="AD228" i="1"/>
  <c r="AD184" i="1"/>
  <c r="AC184" i="1"/>
  <c r="AD149" i="1"/>
  <c r="AC141" i="1"/>
  <c r="AC217" i="1"/>
  <c r="AD217" i="1"/>
  <c r="AC275" i="1"/>
  <c r="AD321" i="1"/>
  <c r="AC321" i="1"/>
  <c r="AD158" i="1"/>
  <c r="AC143" i="1"/>
  <c r="AD143" i="1"/>
  <c r="AD222" i="1"/>
  <c r="AC222" i="1"/>
  <c r="AD187" i="1"/>
  <c r="AC165" i="1"/>
  <c r="AD165" i="1"/>
  <c r="AD166" i="1"/>
  <c r="AC166" i="1"/>
  <c r="AC208" i="1"/>
  <c r="AC282" i="1"/>
  <c r="AD282" i="1"/>
  <c r="AD168" i="1"/>
  <c r="AC168" i="1"/>
  <c r="AC195" i="1"/>
  <c r="AD170" i="1"/>
  <c r="AC170" i="1"/>
  <c r="AD290" i="1"/>
  <c r="AC290" i="1"/>
  <c r="AD172" i="1"/>
  <c r="AD272" i="1"/>
  <c r="AC272" i="1"/>
  <c r="AC319" i="1"/>
  <c r="AD319" i="1"/>
  <c r="AC318" i="1"/>
  <c r="AC211" i="1"/>
  <c r="AD211" i="1"/>
  <c r="AD253" i="1"/>
  <c r="AC193" i="1"/>
  <c r="AD193" i="1"/>
  <c r="AD286" i="1"/>
  <c r="AC286" i="1"/>
  <c r="AD233" i="1"/>
  <c r="AC220" i="1"/>
  <c r="AD220" i="1"/>
  <c r="AD223" i="1"/>
  <c r="AC223" i="1"/>
  <c r="AD151" i="1"/>
  <c r="AD221" i="1"/>
  <c r="AC221" i="1"/>
  <c r="AC225" i="1"/>
  <c r="AC266" i="1"/>
  <c r="AD266" i="1"/>
  <c r="AC218" i="1"/>
  <c r="AD201" i="1"/>
  <c r="AC201" i="1"/>
  <c r="AC164" i="1"/>
  <c r="AC238" i="1"/>
  <c r="AD238" i="1"/>
  <c r="AD311" i="1"/>
  <c r="AC269" i="1"/>
  <c r="AD269" i="1"/>
  <c r="AC241" i="1"/>
  <c r="AD153" i="1"/>
  <c r="AC153" i="1"/>
  <c r="AD152" i="1"/>
  <c r="AD271" i="1"/>
  <c r="AC271" i="1"/>
  <c r="AD232" i="1"/>
  <c r="AC232" i="1"/>
  <c r="AD136" i="1"/>
  <c r="AD307" i="1"/>
  <c r="AC307" i="1"/>
  <c r="AC301" i="1"/>
  <c r="AC183" i="1"/>
  <c r="AD183" i="1"/>
  <c r="AC279" i="1"/>
  <c r="AD185" i="1"/>
  <c r="AC185" i="1"/>
  <c r="AC294" i="1"/>
  <c r="AC134" i="1"/>
  <c r="AD134" i="1"/>
  <c r="AD291" i="1"/>
  <c r="AC171" i="1"/>
  <c r="AD171" i="1"/>
  <c r="AC207" i="1"/>
  <c r="AC229" i="1"/>
  <c r="AD229" i="1"/>
  <c r="AC188" i="1"/>
  <c r="AD256" i="1"/>
  <c r="AC256" i="1"/>
  <c r="AD263" i="1"/>
  <c r="AD194" i="1"/>
  <c r="AC194" i="1"/>
  <c r="AD239" i="1"/>
  <c r="AD236" i="1"/>
  <c r="AC236" i="1"/>
  <c r="AD257" i="1"/>
  <c r="AC257" i="1"/>
  <c r="AC284" i="1"/>
  <c r="AC254" i="1"/>
  <c r="AD254" i="1"/>
  <c r="AC163" i="1"/>
  <c r="AC226" i="1"/>
  <c r="AD226" i="1"/>
  <c r="AC281" i="1"/>
  <c r="AC155" i="1"/>
  <c r="AD155" i="1"/>
  <c r="AD154" i="1"/>
  <c r="AC154" i="1"/>
  <c r="AC145" i="1"/>
  <c r="AD175" i="1"/>
  <c r="AC175" i="1"/>
  <c r="AD237" i="1"/>
  <c r="AC237" i="1"/>
  <c r="AD316" i="1"/>
  <c r="AC169" i="1"/>
  <c r="AD169" i="1"/>
  <c r="AC192" i="1"/>
  <c r="AD135" i="1"/>
  <c r="AC135" i="1"/>
  <c r="AD173" i="1"/>
  <c r="AD247" i="1"/>
  <c r="AC247" i="1"/>
  <c r="AD235" i="1"/>
  <c r="AC159" i="1"/>
  <c r="AD159" i="1"/>
  <c r="AD200" i="1"/>
  <c r="AC287" i="1"/>
  <c r="AD287" i="1"/>
  <c r="AD156" i="1"/>
  <c r="AC176" i="1"/>
  <c r="AD176" i="1"/>
  <c r="AC189" i="1"/>
  <c r="AD189" i="1"/>
  <c r="AC209" i="1"/>
  <c r="AD309" i="1"/>
  <c r="AC309" i="1"/>
  <c r="AD128" i="1"/>
  <c r="AC15" i="1"/>
  <c r="AD212" i="1"/>
  <c r="AC102" i="1"/>
  <c r="AD341" i="1"/>
  <c r="AC230" i="1"/>
  <c r="AD230" i="1"/>
  <c r="AD333" i="1"/>
  <c r="AC231" i="1"/>
  <c r="AD231" i="1"/>
  <c r="AD124" i="1"/>
  <c r="AD50" i="1"/>
  <c r="AC331" i="1"/>
  <c r="AC332" i="1"/>
  <c r="AD332" i="1"/>
  <c r="AC47" i="1"/>
  <c r="AC17" i="1"/>
  <c r="AC338" i="1"/>
  <c r="AD329" i="1"/>
  <c r="AC330" i="1"/>
  <c r="AD330" i="1"/>
  <c r="AD328" i="1"/>
  <c r="AD326" i="1"/>
  <c r="AC327" i="1"/>
  <c r="AD327" i="1"/>
  <c r="AC112" i="1"/>
  <c r="AC49" i="1"/>
  <c r="AC12" i="1"/>
  <c r="AC108" i="1"/>
  <c r="AC5" i="1"/>
  <c r="AC8" i="1"/>
  <c r="AC340" i="1"/>
  <c r="AD109" i="1"/>
  <c r="AD19" i="1"/>
  <c r="AC348" i="1"/>
  <c r="AD6" i="1"/>
  <c r="AD106" i="1"/>
  <c r="AC45" i="1"/>
  <c r="AC9" i="1"/>
  <c r="AC11" i="1"/>
  <c r="AC113" i="1"/>
  <c r="AC13" i="1"/>
  <c r="AC103" i="1"/>
  <c r="AD114" i="1"/>
  <c r="AC20" i="1"/>
  <c r="AC115" i="1"/>
  <c r="AC16" i="1"/>
  <c r="AC126" i="1"/>
  <c r="AD14" i="1"/>
  <c r="AC44" i="1"/>
  <c r="AC344" i="1"/>
  <c r="AC104" i="1"/>
  <c r="AC119" i="1"/>
  <c r="AC342" i="1"/>
  <c r="AC46" i="1"/>
  <c r="AD46" i="1"/>
  <c r="AC105" i="1"/>
  <c r="AD105" i="1"/>
  <c r="AD10" i="1"/>
  <c r="AD102" i="1"/>
  <c r="AC100" i="1"/>
  <c r="AC178" i="1"/>
  <c r="AC4" i="1"/>
  <c r="AC128" i="1"/>
  <c r="AD127" i="1"/>
  <c r="AD177" i="1"/>
  <c r="AD323" i="1"/>
  <c r="AD111" i="1"/>
  <c r="AD246" i="1"/>
  <c r="AD255" i="1"/>
  <c r="AD161" i="1"/>
  <c r="AD121" i="1"/>
  <c r="AD274" i="1"/>
  <c r="AD360" i="1"/>
  <c r="AD130" i="1"/>
  <c r="AD89" i="1"/>
  <c r="AD234" i="1"/>
  <c r="AD85" i="1"/>
  <c r="AD34" i="1"/>
  <c r="AD70" i="1"/>
  <c r="AD81" i="1"/>
  <c r="AD202" i="1"/>
  <c r="AD346" i="1"/>
  <c r="AD13" i="1"/>
  <c r="AD126" i="1"/>
  <c r="AD16" i="1"/>
  <c r="AD18" i="1"/>
  <c r="AC339" i="1"/>
  <c r="AC6" i="1"/>
  <c r="AC110" i="1"/>
  <c r="AD66" i="1"/>
  <c r="AD45" i="1"/>
  <c r="AD96" i="1"/>
  <c r="AD227" i="1"/>
  <c r="AD90" i="1"/>
  <c r="AD35" i="1"/>
  <c r="AD117" i="1"/>
  <c r="AD71" i="1"/>
  <c r="AD99" i="1"/>
  <c r="AD82" i="1"/>
  <c r="AD219" i="1"/>
  <c r="AD57" i="1"/>
  <c r="AD38" i="1"/>
  <c r="AD52" i="1"/>
  <c r="AD352" i="1"/>
  <c r="AD27" i="1"/>
  <c r="AD325" i="1"/>
  <c r="AD23" i="1"/>
  <c r="AD77" i="1"/>
  <c r="AD15" i="1"/>
  <c r="AD338" i="1"/>
  <c r="AD47" i="1"/>
  <c r="AC42" i="1"/>
  <c r="AC48" i="1"/>
  <c r="AC317" i="1"/>
  <c r="AD345" i="1"/>
  <c r="AD64" i="1"/>
  <c r="AD132" i="1"/>
  <c r="AD58" i="1"/>
  <c r="AD84" i="1"/>
  <c r="AD358" i="1"/>
  <c r="AD28" i="1"/>
  <c r="AD362" i="1"/>
  <c r="AD97" i="1"/>
  <c r="AD260" i="1"/>
  <c r="AD36" i="1"/>
  <c r="AD248" i="1"/>
  <c r="AD74" i="1"/>
  <c r="AD190" i="1"/>
  <c r="AD242" i="1"/>
  <c r="AD357" i="1"/>
  <c r="AD129" i="1"/>
  <c r="AD342" i="1"/>
  <c r="AD103" i="1"/>
  <c r="AD9" i="1"/>
  <c r="AD8" i="1"/>
  <c r="AD115" i="1"/>
  <c r="AC32" i="1"/>
  <c r="AC116" i="1"/>
  <c r="AD167" i="1"/>
  <c r="AD351" i="1"/>
  <c r="AD300" i="1"/>
  <c r="AD68" i="1"/>
  <c r="AD3" i="1"/>
  <c r="AD261" i="1"/>
  <c r="AD88" i="1"/>
  <c r="AD191" i="1"/>
  <c r="AD361" i="1"/>
  <c r="AD243" i="1"/>
  <c r="AD334" i="1"/>
  <c r="AD95" i="1"/>
  <c r="AD31" i="1"/>
  <c r="AD33" i="1"/>
  <c r="AD39" i="1"/>
  <c r="AD87" i="1"/>
  <c r="AD210" i="1"/>
  <c r="AD12" i="1"/>
  <c r="AD20" i="1"/>
  <c r="AD11" i="1"/>
  <c r="AD5" i="1"/>
  <c r="AC14" i="1"/>
  <c r="AC258" i="1"/>
  <c r="AC67" i="1"/>
  <c r="AD55" i="1"/>
  <c r="AD73" i="1"/>
  <c r="AD157" i="1"/>
  <c r="AD118" i="1"/>
  <c r="AD91" i="1"/>
  <c r="AD335" i="1"/>
  <c r="AD60" i="1"/>
  <c r="AD56" i="1"/>
  <c r="AD83" i="1"/>
  <c r="AD40" i="1"/>
  <c r="AD76" i="1"/>
  <c r="AD63" i="1"/>
  <c r="AD353" i="1"/>
  <c r="AD204" i="1"/>
  <c r="AD267" i="1"/>
  <c r="AD54" i="1"/>
  <c r="AD41" i="1"/>
  <c r="AD44" i="1"/>
  <c r="AD125" i="1"/>
  <c r="AD7" i="1"/>
  <c r="AD344" i="1"/>
  <c r="AD113" i="1"/>
  <c r="AD2" i="1"/>
  <c r="AD94" i="1"/>
  <c r="AD37" i="1"/>
  <c r="AD51" i="1"/>
  <c r="AD69" i="1"/>
  <c r="AD59" i="1"/>
  <c r="AD356" i="1"/>
  <c r="AD123" i="1"/>
  <c r="AD259" i="1"/>
  <c r="AD337" i="1"/>
  <c r="AD343" i="1"/>
  <c r="AD350" i="1"/>
  <c r="AD288" i="1"/>
  <c r="AD75" i="1"/>
  <c r="AD30" i="1"/>
  <c r="AD122" i="1"/>
  <c r="AD112" i="1"/>
  <c r="AD348" i="1"/>
  <c r="AD108" i="1"/>
  <c r="AD119" i="1"/>
  <c r="AC29" i="1"/>
  <c r="AD174" i="1"/>
  <c r="AD62" i="1"/>
  <c r="AD203" i="1"/>
  <c r="AD349" i="1"/>
  <c r="AD24" i="1"/>
  <c r="AD262" i="1"/>
  <c r="AD86" i="1"/>
  <c r="AD65" i="1"/>
  <c r="AD131" i="1"/>
  <c r="AD93" i="1"/>
  <c r="AD245" i="1"/>
  <c r="AD347" i="1"/>
  <c r="AD80" i="1"/>
  <c r="AD101" i="1"/>
  <c r="AD43" i="1"/>
  <c r="AD354" i="1"/>
  <c r="AD340" i="1"/>
  <c r="AD72" i="1"/>
  <c r="AD98" i="1"/>
  <c r="AD104" i="1"/>
  <c r="AD17" i="1"/>
  <c r="AD49" i="1"/>
  <c r="AC278" i="1"/>
  <c r="AC79" i="1"/>
  <c r="AD92" i="1"/>
  <c r="AD25" i="1"/>
  <c r="AD336" i="1"/>
  <c r="AD53" i="1"/>
  <c r="AD305" i="1"/>
  <c r="AD206" i="1"/>
  <c r="AD61" i="1"/>
  <c r="AD22" i="1"/>
  <c r="AD78" i="1"/>
  <c r="AD324" i="1"/>
  <c r="AD355" i="1"/>
  <c r="AD205" i="1"/>
  <c r="AD120" i="1"/>
  <c r="AD359" i="1"/>
  <c r="AC106" i="1"/>
  <c r="AC107" i="1"/>
  <c r="AC109" i="1"/>
  <c r="AC341" i="1"/>
  <c r="AC50" i="1"/>
  <c r="AC114" i="1"/>
  <c r="AC19" i="1"/>
  <c r="AC124" i="1"/>
</calcChain>
</file>

<file path=xl/sharedStrings.xml><?xml version="1.0" encoding="utf-8"?>
<sst xmlns="http://schemas.openxmlformats.org/spreadsheetml/2006/main" count="3255" uniqueCount="426">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</sst>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47"/>
                <c:pt idx="0">
                  <c:v>BC08</c:v>
                </c:pt>
                <c:pt idx="1">
                  <c:v>BC09</c:v>
                </c:pt>
                <c:pt idx="2">
                  <c:v>BC10</c:v>
                </c:pt>
                <c:pt idx="3">
                  <c:v>BC11</c:v>
                </c:pt>
                <c:pt idx="4">
                  <c:v>BC13</c:v>
                </c:pt>
                <c:pt idx="5">
                  <c:v>BC15</c:v>
                </c:pt>
                <c:pt idx="6">
                  <c:v>BC17</c:v>
                </c:pt>
                <c:pt idx="7">
                  <c:v>BC18</c:v>
                </c:pt>
                <c:pt idx="8">
                  <c:v>BC19</c:v>
                </c:pt>
                <c:pt idx="9">
                  <c:v>BC20</c:v>
                </c:pt>
                <c:pt idx="10">
                  <c:v>BC21</c:v>
                </c:pt>
                <c:pt idx="11">
                  <c:v>BC22</c:v>
                </c:pt>
                <c:pt idx="12">
                  <c:v>BC23</c:v>
                </c:pt>
                <c:pt idx="13">
                  <c:v>BC24</c:v>
                </c:pt>
                <c:pt idx="14">
                  <c:v>BC25</c:v>
                </c:pt>
                <c:pt idx="15">
                  <c:v>BC26</c:v>
                </c:pt>
                <c:pt idx="16">
                  <c:v>NC01</c:v>
                </c:pt>
                <c:pt idx="17">
                  <c:v>NC02</c:v>
                </c:pt>
                <c:pt idx="18">
                  <c:v>NC05</c:v>
                </c:pt>
                <c:pt idx="19">
                  <c:v>NC06</c:v>
                </c:pt>
                <c:pt idx="20">
                  <c:v>NC08</c:v>
                </c:pt>
                <c:pt idx="21">
                  <c:v>NC09</c:v>
                </c:pt>
                <c:pt idx="22">
                  <c:v>PC32</c:v>
                </c:pt>
                <c:pt idx="23">
                  <c:v>SI01</c:v>
                </c:pt>
                <c:pt idx="24">
                  <c:v>SI02</c:v>
                </c:pt>
                <c:pt idx="25">
                  <c:v>SI03</c:v>
                </c:pt>
                <c:pt idx="26">
                  <c:v>SI06</c:v>
                </c:pt>
                <c:pt idx="27">
                  <c:v>SI08</c:v>
                </c:pt>
                <c:pt idx="28">
                  <c:v>SI09</c:v>
                </c:pt>
                <c:pt idx="29">
                  <c:v>SI10</c:v>
                </c:pt>
                <c:pt idx="30">
                  <c:v>SI11</c:v>
                </c:pt>
                <c:pt idx="31">
                  <c:v>SI12</c:v>
                </c:pt>
                <c:pt idx="32">
                  <c:v>SI13</c:v>
                </c:pt>
                <c:pt idx="33">
                  <c:v>SI14</c:v>
                </c:pt>
                <c:pt idx="34">
                  <c:v>SI15</c:v>
                </c:pt>
                <c:pt idx="35">
                  <c:v>SI22</c:v>
                </c:pt>
                <c:pt idx="36">
                  <c:v>SI30</c:v>
                </c:pt>
                <c:pt idx="37">
                  <c:v>SI31</c:v>
                </c:pt>
                <c:pt idx="38">
                  <c:v>SI33</c:v>
                </c:pt>
                <c:pt idx="39">
                  <c:v>VI02</c:v>
                </c:pt>
                <c:pt idx="40">
                  <c:v>VI04</c:v>
                </c:pt>
                <c:pt idx="41">
                  <c:v>VI05</c:v>
                </c:pt>
                <c:pt idx="42">
                  <c:v>VI06</c:v>
                </c:pt>
                <c:pt idx="43">
                  <c:v>VI07</c:v>
                </c:pt>
                <c:pt idx="44">
                  <c:v>VI08</c:v>
                </c:pt>
                <c:pt idx="45">
                  <c:v>VI09</c:v>
                </c:pt>
                <c:pt idx="46">
                  <c:v>VI13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47"/>
                <c:pt idx="0">
                  <c:v>0.19557100277471393</c:v>
                </c:pt>
                <c:pt idx="1">
                  <c:v>0.27835796331965001</c:v>
                </c:pt>
                <c:pt idx="2">
                  <c:v>0.38089526864160045</c:v>
                </c:pt>
                <c:pt idx="3">
                  <c:v>0.28391048710838046</c:v>
                </c:pt>
                <c:pt idx="4">
                  <c:v>0.16548714296045902</c:v>
                </c:pt>
                <c:pt idx="5">
                  <c:v>0.28448276554634028</c:v>
                </c:pt>
                <c:pt idx="6">
                  <c:v>0.3149082598011359</c:v>
                </c:pt>
                <c:pt idx="7">
                  <c:v>6.0559254342348892E-2</c:v>
                </c:pt>
                <c:pt idx="8">
                  <c:v>0.2020486535339818</c:v>
                </c:pt>
                <c:pt idx="9">
                  <c:v>0.20908165264331344</c:v>
                </c:pt>
                <c:pt idx="10">
                  <c:v>0.12083517489095989</c:v>
                </c:pt>
                <c:pt idx="11">
                  <c:v>6.1021004025266584E-2</c:v>
                </c:pt>
                <c:pt idx="12">
                  <c:v>0.12892532442554316</c:v>
                </c:pt>
                <c:pt idx="13">
                  <c:v>0.48063394825218664</c:v>
                </c:pt>
                <c:pt idx="14">
                  <c:v>0.30468149075211071</c:v>
                </c:pt>
                <c:pt idx="15">
                  <c:v>0.20199269828083258</c:v>
                </c:pt>
                <c:pt idx="16">
                  <c:v>0.33759204636383006</c:v>
                </c:pt>
                <c:pt idx="17">
                  <c:v>7.5920297309548884E-2</c:v>
                </c:pt>
                <c:pt idx="18">
                  <c:v>0.32064259707900833</c:v>
                </c:pt>
                <c:pt idx="19">
                  <c:v>0.43854797640778259</c:v>
                </c:pt>
                <c:pt idx="20">
                  <c:v>3.8792817356082303E-2</c:v>
                </c:pt>
                <c:pt idx="21">
                  <c:v>9.3884881383018745E-2</c:v>
                </c:pt>
                <c:pt idx="22">
                  <c:v>3.1470123940502471E-3</c:v>
                </c:pt>
                <c:pt idx="23">
                  <c:v>0.16778957577275699</c:v>
                </c:pt>
                <c:pt idx="24">
                  <c:v>0.18250997402039401</c:v>
                </c:pt>
                <c:pt idx="25">
                  <c:v>0.15194441431742065</c:v>
                </c:pt>
                <c:pt idx="26">
                  <c:v>4.4754473933966178E-2</c:v>
                </c:pt>
                <c:pt idx="27">
                  <c:v>4.6536819845997918E-2</c:v>
                </c:pt>
                <c:pt idx="28">
                  <c:v>7.9157747737103948E-2</c:v>
                </c:pt>
                <c:pt idx="29">
                  <c:v>0.1478994250564194</c:v>
                </c:pt>
                <c:pt idx="30">
                  <c:v>3.3638936892355094E-2</c:v>
                </c:pt>
                <c:pt idx="31">
                  <c:v>0.12050130560562232</c:v>
                </c:pt>
                <c:pt idx="32">
                  <c:v>0.14394472174589876</c:v>
                </c:pt>
                <c:pt idx="33">
                  <c:v>0.15611013819964192</c:v>
                </c:pt>
                <c:pt idx="34">
                  <c:v>0.18383515678176274</c:v>
                </c:pt>
                <c:pt idx="35">
                  <c:v>1.9677571724540172E-2</c:v>
                </c:pt>
                <c:pt idx="36">
                  <c:v>0.10676966773878348</c:v>
                </c:pt>
                <c:pt idx="37">
                  <c:v>0.2867974572704815</c:v>
                </c:pt>
                <c:pt idx="38">
                  <c:v>0.23772272061715982</c:v>
                </c:pt>
                <c:pt idx="39">
                  <c:v>0.18734205450026187</c:v>
                </c:pt>
                <c:pt idx="40">
                  <c:v>0.1547295076872173</c:v>
                </c:pt>
                <c:pt idx="41">
                  <c:v>0.1585710185107175</c:v>
                </c:pt>
                <c:pt idx="42">
                  <c:v>0.1471692414771596</c:v>
                </c:pt>
                <c:pt idx="43">
                  <c:v>0.12851973970580052</c:v>
                </c:pt>
                <c:pt idx="44">
                  <c:v>2.142566527644155E-2</c:v>
                </c:pt>
                <c:pt idx="45">
                  <c:v>0.20704744255784058</c:v>
                </c:pt>
                <c:pt idx="46">
                  <c:v>9.966732701656867E-3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47"/>
                <c:pt idx="0">
                  <c:v>BC08</c:v>
                </c:pt>
                <c:pt idx="1">
                  <c:v>BC09</c:v>
                </c:pt>
                <c:pt idx="2">
                  <c:v>BC10</c:v>
                </c:pt>
                <c:pt idx="3">
                  <c:v>BC11</c:v>
                </c:pt>
                <c:pt idx="4">
                  <c:v>BC13</c:v>
                </c:pt>
                <c:pt idx="5">
                  <c:v>BC15</c:v>
                </c:pt>
                <c:pt idx="6">
                  <c:v>BC17</c:v>
                </c:pt>
                <c:pt idx="7">
                  <c:v>BC18</c:v>
                </c:pt>
                <c:pt idx="8">
                  <c:v>BC19</c:v>
                </c:pt>
                <c:pt idx="9">
                  <c:v>BC20</c:v>
                </c:pt>
                <c:pt idx="10">
                  <c:v>BC21</c:v>
                </c:pt>
                <c:pt idx="11">
                  <c:v>BC22</c:v>
                </c:pt>
                <c:pt idx="12">
                  <c:v>BC23</c:v>
                </c:pt>
                <c:pt idx="13">
                  <c:v>BC24</c:v>
                </c:pt>
                <c:pt idx="14">
                  <c:v>BC25</c:v>
                </c:pt>
                <c:pt idx="15">
                  <c:v>BC26</c:v>
                </c:pt>
                <c:pt idx="16">
                  <c:v>NC01</c:v>
                </c:pt>
                <c:pt idx="17">
                  <c:v>NC02</c:v>
                </c:pt>
                <c:pt idx="18">
                  <c:v>NC05</c:v>
                </c:pt>
                <c:pt idx="19">
                  <c:v>NC06</c:v>
                </c:pt>
                <c:pt idx="20">
                  <c:v>NC08</c:v>
                </c:pt>
                <c:pt idx="21">
                  <c:v>NC09</c:v>
                </c:pt>
                <c:pt idx="22">
                  <c:v>PC32</c:v>
                </c:pt>
                <c:pt idx="23">
                  <c:v>SI01</c:v>
                </c:pt>
                <c:pt idx="24">
                  <c:v>SI02</c:v>
                </c:pt>
                <c:pt idx="25">
                  <c:v>SI03</c:v>
                </c:pt>
                <c:pt idx="26">
                  <c:v>SI06</c:v>
                </c:pt>
                <c:pt idx="27">
                  <c:v>SI08</c:v>
                </c:pt>
                <c:pt idx="28">
                  <c:v>SI09</c:v>
                </c:pt>
                <c:pt idx="29">
                  <c:v>SI10</c:v>
                </c:pt>
                <c:pt idx="30">
                  <c:v>SI11</c:v>
                </c:pt>
                <c:pt idx="31">
                  <c:v>SI12</c:v>
                </c:pt>
                <c:pt idx="32">
                  <c:v>SI13</c:v>
                </c:pt>
                <c:pt idx="33">
                  <c:v>SI14</c:v>
                </c:pt>
                <c:pt idx="34">
                  <c:v>SI15</c:v>
                </c:pt>
                <c:pt idx="35">
                  <c:v>SI22</c:v>
                </c:pt>
                <c:pt idx="36">
                  <c:v>SI30</c:v>
                </c:pt>
                <c:pt idx="37">
                  <c:v>SI31</c:v>
                </c:pt>
                <c:pt idx="38">
                  <c:v>SI33</c:v>
                </c:pt>
                <c:pt idx="39">
                  <c:v>VI02</c:v>
                </c:pt>
                <c:pt idx="40">
                  <c:v>VI04</c:v>
                </c:pt>
                <c:pt idx="41">
                  <c:v>VI05</c:v>
                </c:pt>
                <c:pt idx="42">
                  <c:v>VI06</c:v>
                </c:pt>
                <c:pt idx="43">
                  <c:v>VI07</c:v>
                </c:pt>
                <c:pt idx="44">
                  <c:v>VI08</c:v>
                </c:pt>
                <c:pt idx="45">
                  <c:v>VI09</c:v>
                </c:pt>
                <c:pt idx="46">
                  <c:v>VI13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47"/>
                <c:pt idx="0">
                  <c:v>0.35036567194850921</c:v>
                </c:pt>
                <c:pt idx="1">
                  <c:v>0.34055882562827944</c:v>
                </c:pt>
                <c:pt idx="2">
                  <c:v>0.45142213905211137</c:v>
                </c:pt>
                <c:pt idx="3">
                  <c:v>0.37463923136287081</c:v>
                </c:pt>
                <c:pt idx="4">
                  <c:v>0.36958289833615587</c:v>
                </c:pt>
                <c:pt idx="5">
                  <c:v>0.35364469771834606</c:v>
                </c:pt>
                <c:pt idx="6">
                  <c:v>0.426923309712955</c:v>
                </c:pt>
                <c:pt idx="7">
                  <c:v>5.639946607339575E-2</c:v>
                </c:pt>
                <c:pt idx="8">
                  <c:v>0.17956953459363631</c:v>
                </c:pt>
                <c:pt idx="9">
                  <c:v>0.16719111675537388</c:v>
                </c:pt>
                <c:pt idx="10">
                  <c:v>0.22678908770293074</c:v>
                </c:pt>
                <c:pt idx="11">
                  <c:v>0.11290239680283458</c:v>
                </c:pt>
                <c:pt idx="12">
                  <c:v>0.20427228769706979</c:v>
                </c:pt>
                <c:pt idx="13">
                  <c:v>0.39366700439054925</c:v>
                </c:pt>
                <c:pt idx="14">
                  <c:v>0.25662833081970432</c:v>
                </c:pt>
                <c:pt idx="15">
                  <c:v>0.14735433882607502</c:v>
                </c:pt>
                <c:pt idx="16">
                  <c:v>0.66240795363617</c:v>
                </c:pt>
                <c:pt idx="17">
                  <c:v>0.17664049980604907</c:v>
                </c:pt>
                <c:pt idx="18">
                  <c:v>0.28254579133192936</c:v>
                </c:pt>
                <c:pt idx="19">
                  <c:v>0.35602660413846471</c:v>
                </c:pt>
                <c:pt idx="20">
                  <c:v>8.2067384146400746E-2</c:v>
                </c:pt>
                <c:pt idx="21">
                  <c:v>0.1495375287923682</c:v>
                </c:pt>
                <c:pt idx="22">
                  <c:v>1.1208110900738778E-3</c:v>
                </c:pt>
                <c:pt idx="23">
                  <c:v>0.17187985872419032</c:v>
                </c:pt>
                <c:pt idx="24">
                  <c:v>0.19731085608879592</c:v>
                </c:pt>
                <c:pt idx="25">
                  <c:v>0.10119765196670781</c:v>
                </c:pt>
                <c:pt idx="26">
                  <c:v>4.2161636108118558E-2</c:v>
                </c:pt>
                <c:pt idx="27">
                  <c:v>3.4190985121012388E-2</c:v>
                </c:pt>
                <c:pt idx="28">
                  <c:v>3.59439758401277E-2</c:v>
                </c:pt>
                <c:pt idx="29">
                  <c:v>8.9019741306253855E-2</c:v>
                </c:pt>
                <c:pt idx="30">
                  <c:v>5.8851429522957091E-2</c:v>
                </c:pt>
                <c:pt idx="31">
                  <c:v>1.0473708087009653E-2</c:v>
                </c:pt>
                <c:pt idx="32">
                  <c:v>0.18555568333579919</c:v>
                </c:pt>
                <c:pt idx="33">
                  <c:v>2.7566696497074814E-2</c:v>
                </c:pt>
                <c:pt idx="34">
                  <c:v>9.2639034415845367E-2</c:v>
                </c:pt>
                <c:pt idx="35">
                  <c:v>1.6501934867827844E-2</c:v>
                </c:pt>
                <c:pt idx="36">
                  <c:v>7.582662503973002E-2</c:v>
                </c:pt>
                <c:pt idx="37">
                  <c:v>3.8280055233248053E-2</c:v>
                </c:pt>
                <c:pt idx="38">
                  <c:v>9.0355327968367122E-2</c:v>
                </c:pt>
                <c:pt idx="39">
                  <c:v>0.60315137591464285</c:v>
                </c:pt>
                <c:pt idx="40">
                  <c:v>0.56819441249515656</c:v>
                </c:pt>
                <c:pt idx="41">
                  <c:v>0.54478132048257688</c:v>
                </c:pt>
                <c:pt idx="42">
                  <c:v>0.53667273152549522</c:v>
                </c:pt>
                <c:pt idx="43">
                  <c:v>0.45012643584397499</c:v>
                </c:pt>
                <c:pt idx="44">
                  <c:v>3.8127814760791481E-2</c:v>
                </c:pt>
                <c:pt idx="45">
                  <c:v>0.5303678068910942</c:v>
                </c:pt>
                <c:pt idx="46">
                  <c:v>1.8771061985309347E-2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hub\BC%20Hydro%20Project\Plateau%20Wind%20Bootstrapping\100m_ter_random_pts_output\plateau_average_sums.csv" TargetMode="External"/><Relationship Id="rId1" Type="http://schemas.openxmlformats.org/officeDocument/2006/relationships/externalLinkPath" Target="/Github/BC%20Hydro%20Project/Plateau%20Wind%20Bootstrapping/100m_ter_random_pts_output/plateau_average_sum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hub\BC%20Hydro%20Project\Plateau%20Wind%20Bootstrapping\100m_fw_random_pts_output\plateau_average_sums.csv" TargetMode="External"/><Relationship Id="rId1" Type="http://schemas.openxmlformats.org/officeDocument/2006/relationships/externalLinkPath" Target="/Github/BC%20Hydro%20Project/Plateau%20Wind%20Bootstrapping/100m_fw_random_pts_output/plateau_average_su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au_average_sums"/>
    </sheetNames>
    <sheetDataSet>
      <sheetData sheetId="0">
        <row r="4">
          <cell r="B4">
            <v>44.649133150056002</v>
          </cell>
        </row>
        <row r="5">
          <cell r="B5">
            <v>170.56124673128099</v>
          </cell>
        </row>
        <row r="6">
          <cell r="B6">
            <v>46.135444285869497</v>
          </cell>
        </row>
        <row r="7">
          <cell r="B7">
            <v>45.693813393115903</v>
          </cell>
        </row>
        <row r="8">
          <cell r="B8">
            <v>30.423545670509299</v>
          </cell>
        </row>
        <row r="9">
          <cell r="B9">
            <v>50.554326195716797</v>
          </cell>
        </row>
        <row r="10">
          <cell r="B10">
            <v>82.112586660385105</v>
          </cell>
        </row>
        <row r="11">
          <cell r="B11">
            <v>75.951694257259305</v>
          </cell>
        </row>
        <row r="12">
          <cell r="B12">
            <v>96.281690709590904</v>
          </cell>
        </row>
        <row r="13">
          <cell r="B13">
            <v>70.384285409450499</v>
          </cell>
        </row>
        <row r="14">
          <cell r="B14">
            <v>64.013208968490304</v>
          </cell>
        </row>
        <row r="15">
          <cell r="B15">
            <v>76.2847449622396</v>
          </cell>
        </row>
        <row r="16">
          <cell r="B16">
            <v>43.984439432080798</v>
          </cell>
        </row>
        <row r="17">
          <cell r="B17">
            <v>69.502149440105995</v>
          </cell>
        </row>
        <row r="18">
          <cell r="B18">
            <v>369.85212922215402</v>
          </cell>
        </row>
        <row r="19">
          <cell r="B19">
            <v>186.14020948598099</v>
          </cell>
        </row>
        <row r="20">
          <cell r="B20">
            <v>33.941867551486901</v>
          </cell>
        </row>
        <row r="21">
          <cell r="B21">
            <v>32.604698239136397</v>
          </cell>
        </row>
        <row r="22">
          <cell r="B22">
            <v>323.37518449753497</v>
          </cell>
        </row>
        <row r="23">
          <cell r="B23">
            <v>365.09904737830101</v>
          </cell>
        </row>
        <row r="24">
          <cell r="B24">
            <v>24.580235374607099</v>
          </cell>
        </row>
        <row r="25">
          <cell r="B25">
            <v>47.065503259897199</v>
          </cell>
        </row>
        <row r="26">
          <cell r="B26">
            <v>20.650642566308299</v>
          </cell>
        </row>
        <row r="27">
          <cell r="B27">
            <v>46.0807019853196</v>
          </cell>
        </row>
        <row r="28">
          <cell r="B28">
            <v>25.473352807089601</v>
          </cell>
        </row>
        <row r="29">
          <cell r="B29">
            <v>36.329435245245698</v>
          </cell>
        </row>
        <row r="30">
          <cell r="B30">
            <v>18.8188020981382</v>
          </cell>
        </row>
        <row r="31">
          <cell r="B31">
            <v>6.2063131239730804</v>
          </cell>
        </row>
        <row r="32">
          <cell r="B32">
            <v>76.029435062701793</v>
          </cell>
        </row>
        <row r="33">
          <cell r="B33">
            <v>56.610074649331999</v>
          </cell>
        </row>
        <row r="34">
          <cell r="B34">
            <v>141.74361976116799</v>
          </cell>
        </row>
        <row r="37">
          <cell r="B37">
            <v>85.546463911714895</v>
          </cell>
        </row>
        <row r="38">
          <cell r="B38">
            <v>88.127726513743397</v>
          </cell>
        </row>
        <row r="39">
          <cell r="B39">
            <v>69.818522757887806</v>
          </cell>
        </row>
        <row r="40">
          <cell r="B40">
            <v>27.447410240061501</v>
          </cell>
        </row>
        <row r="41">
          <cell r="B41">
            <v>13.0459563091164</v>
          </cell>
        </row>
        <row r="42">
          <cell r="B42">
            <v>27.803917906684799</v>
          </cell>
        </row>
        <row r="43">
          <cell r="B43">
            <v>352.59202091522502</v>
          </cell>
        </row>
        <row r="44">
          <cell r="B44">
            <v>25.5906991561083</v>
          </cell>
        </row>
        <row r="45">
          <cell r="B45">
            <v>45.239941660137802</v>
          </cell>
        </row>
        <row r="46">
          <cell r="B46">
            <v>24.366470100386</v>
          </cell>
        </row>
        <row r="47">
          <cell r="B47">
            <v>10.908172741178401</v>
          </cell>
        </row>
        <row r="48">
          <cell r="B48">
            <v>58.372261480372401</v>
          </cell>
        </row>
        <row r="49">
          <cell r="B49">
            <v>54.498234384804903</v>
          </cell>
        </row>
        <row r="51">
          <cell r="B51">
            <v>59.837220511482997</v>
          </cell>
        </row>
        <row r="52">
          <cell r="B52">
            <v>9.1083406676538292</v>
          </cell>
        </row>
        <row r="53">
          <cell r="B53">
            <v>100.39219123024399</v>
          </cell>
        </row>
        <row r="54">
          <cell r="B54">
            <v>39.728329752208602</v>
          </cell>
        </row>
        <row r="55">
          <cell r="B55">
            <v>36.126869093933998</v>
          </cell>
        </row>
        <row r="56">
          <cell r="B56">
            <v>8.11980383472517</v>
          </cell>
        </row>
        <row r="57">
          <cell r="B57">
            <v>21.6876724659279</v>
          </cell>
        </row>
        <row r="58">
          <cell r="B58">
            <v>14.199942589532499</v>
          </cell>
        </row>
        <row r="59">
          <cell r="B59">
            <v>1.89427960094064</v>
          </cell>
        </row>
        <row r="60">
          <cell r="B60">
            <v>11.0538719915412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au_average_sums"/>
    </sheetNames>
    <sheetDataSet>
      <sheetData sheetId="0">
        <row r="2">
          <cell r="B2">
            <v>36.944450401961802</v>
          </cell>
        </row>
        <row r="3">
          <cell r="B3">
            <v>60.470047837421298</v>
          </cell>
        </row>
        <row r="4">
          <cell r="B4">
            <v>11.4872984243556</v>
          </cell>
        </row>
        <row r="5">
          <cell r="B5">
            <v>74.855958781056103</v>
          </cell>
        </row>
        <row r="6">
          <cell r="B6">
            <v>19.791112743569499</v>
          </cell>
        </row>
        <row r="7">
          <cell r="B7">
            <v>10.2139614921063</v>
          </cell>
        </row>
        <row r="8">
          <cell r="B8">
            <v>33.722507495880102</v>
          </cell>
        </row>
        <row r="9">
          <cell r="B9">
            <v>13.177066203541999</v>
          </cell>
        </row>
        <row r="10">
          <cell r="B10">
            <v>13.735571576766599</v>
          </cell>
        </row>
        <row r="11">
          <cell r="B11">
            <v>13.9400774047244</v>
          </cell>
        </row>
        <row r="12">
          <cell r="B12">
            <v>20.779146362505799</v>
          </cell>
        </row>
        <row r="13">
          <cell r="B13">
            <v>16.196858913153399</v>
          </cell>
        </row>
        <row r="14">
          <cell r="B14">
            <v>95.1835201792139</v>
          </cell>
        </row>
        <row r="15">
          <cell r="B15">
            <v>70.728635392733807</v>
          </cell>
        </row>
        <row r="16">
          <cell r="B16">
            <v>208.16026775687899</v>
          </cell>
        </row>
        <row r="17">
          <cell r="B17">
            <v>152.80931369125801</v>
          </cell>
        </row>
        <row r="18">
          <cell r="B18">
            <v>340.58923667520202</v>
          </cell>
        </row>
        <row r="19">
          <cell r="B19">
            <v>576.61011020481499</v>
          </cell>
        </row>
        <row r="20">
          <cell r="B20">
            <v>318.42014808028898</v>
          </cell>
        </row>
        <row r="21">
          <cell r="B21">
            <v>160.690194171369</v>
          </cell>
        </row>
        <row r="22">
          <cell r="B22">
            <v>137.25373126029899</v>
          </cell>
        </row>
        <row r="23">
          <cell r="B23">
            <v>194.39474975109101</v>
          </cell>
        </row>
        <row r="24">
          <cell r="B24">
            <v>86.739458971321497</v>
          </cell>
        </row>
        <row r="25">
          <cell r="B25">
            <v>72.386199440956105</v>
          </cell>
        </row>
        <row r="26">
          <cell r="B26">
            <v>117.15887076348</v>
          </cell>
        </row>
        <row r="27">
          <cell r="B27">
            <v>208.03465762226301</v>
          </cell>
        </row>
        <row r="30">
          <cell r="B30">
            <v>149.661898972317</v>
          </cell>
        </row>
        <row r="31">
          <cell r="B31">
            <v>6.6994303550757399</v>
          </cell>
        </row>
        <row r="32">
          <cell r="B32">
            <v>350.09181491911397</v>
          </cell>
        </row>
        <row r="33">
          <cell r="B33">
            <v>76.064790633618799</v>
          </cell>
        </row>
        <row r="34">
          <cell r="B34">
            <v>124.219499780237</v>
          </cell>
        </row>
        <row r="37">
          <cell r="B37">
            <v>72.930504102408804</v>
          </cell>
        </row>
        <row r="38">
          <cell r="B38">
            <v>63.583065192699401</v>
          </cell>
        </row>
        <row r="39">
          <cell r="B39">
            <v>50.050288125574497</v>
          </cell>
        </row>
        <row r="40">
          <cell r="B40">
            <v>76.001025597751095</v>
          </cell>
        </row>
        <row r="41">
          <cell r="B41">
            <v>112.14177565217</v>
          </cell>
        </row>
        <row r="42">
          <cell r="B42">
            <v>40.322808739906101</v>
          </cell>
        </row>
        <row r="43">
          <cell r="B43">
            <v>279.53480426891201</v>
          </cell>
        </row>
        <row r="44">
          <cell r="B44">
            <v>90.853867511432597</v>
          </cell>
        </row>
        <row r="45">
          <cell r="B45">
            <v>149.611463670078</v>
          </cell>
        </row>
        <row r="46">
          <cell r="B46">
            <v>34.705512011051098</v>
          </cell>
        </row>
        <row r="47">
          <cell r="B47">
            <v>4.8876022705715103</v>
          </cell>
        </row>
        <row r="48">
          <cell r="B48">
            <v>3.9419357632426499</v>
          </cell>
        </row>
        <row r="49">
          <cell r="B49">
            <v>3.2514170921780101</v>
          </cell>
        </row>
        <row r="51">
          <cell r="B51">
            <v>150.61140783309901</v>
          </cell>
        </row>
        <row r="52">
          <cell r="B52">
            <v>32.2642793568968</v>
          </cell>
        </row>
        <row r="53">
          <cell r="B53">
            <v>221.80710514128199</v>
          </cell>
        </row>
        <row r="54">
          <cell r="B54">
            <v>85.1150300961732</v>
          </cell>
        </row>
        <row r="55">
          <cell r="B55">
            <v>111.521298545794</v>
          </cell>
        </row>
        <row r="56">
          <cell r="B56">
            <v>16.334087065607299</v>
          </cell>
        </row>
        <row r="57">
          <cell r="B57">
            <v>16.9615303777158</v>
          </cell>
        </row>
        <row r="58">
          <cell r="B58">
            <v>28.997447565197898</v>
          </cell>
        </row>
        <row r="59">
          <cell r="B59">
            <v>147.00411310762101</v>
          </cell>
        </row>
        <row r="60">
          <cell r="B60">
            <v>197.837865275144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51" dataDxfId="50" tableBorderDxfId="49">
  <autoFilter ref="A1:AE362" xr:uid="{7487D282-B447-4764-A9C5-BD326D24376D}">
    <filterColumn colId="1">
      <filters>
        <filter val="Onshore Wind"/>
      </filters>
    </filterColumn>
    <filterColumn colId="19">
      <filters>
        <filter val="P"/>
      </filters>
    </filterColumn>
  </autoFilter>
  <sortState xmlns:xlrd2="http://schemas.microsoft.com/office/spreadsheetml/2017/richdata2" ref="A2:AE362">
    <sortCondition ref="A1:A362"/>
  </sortState>
  <tableColumns count="31">
    <tableColumn id="1" xr3:uid="{DAAD63E8-A842-434A-9E5F-23C179FCC6A5}" name="BC Hydro Names" dataDxfId="48"/>
    <tableColumn id="2" xr3:uid="{78DE7446-6DB5-4474-A9F0-6027A2E91A72}" name="Project Type" dataDxfId="47"/>
    <tableColumn id="3" xr3:uid="{86B5DED2-C44D-4900-80B0-72FD8A073162}" name="Region" dataDxfId="46"/>
    <tableColumn id="24" xr3:uid="{5C9A4829-A635-417D-99D7-5930371D2B0F}" name="In 2021?" dataDxfId="45"/>
    <tableColumn id="4" xr3:uid="{A5B63A59-D607-4B2C-9E2E-4BA726C588E8}" name="Latitude" dataDxfId="44"/>
    <tableColumn id="5" xr3:uid="{12B40F59-FA4D-42DB-BBAE-3C068151F3A7}" name="Longitude" dataDxfId="43"/>
    <tableColumn id="6" xr3:uid="{FB631301-F7A8-4F01-8A25-0AC44C05120D}" name="Installed Capacity (MW)" dataDxfId="42"/>
    <tableColumn id="7" xr3:uid="{450C8D47-6576-4DF4-8F8E-12D6EAECF3C4}" name="Dependable Generating Capacity (MW)" dataDxfId="41"/>
    <tableColumn id="8" xr3:uid="{ADB136BC-A8BF-4007-A88B-D80A12F0CF4E}" name="Effective Load-Carrying Capacity (MW)" dataDxfId="40"/>
    <tableColumn id="10" xr3:uid="{1BF6A5A1-CA05-4A0D-AB75-AC2A58D024E9}" name="Annual Firm Energy (GWh/yr)" dataDxfId="39"/>
    <tableColumn id="11" xr3:uid="{F80D1D4D-23A0-41B6-9E43-703178D7EC62}" name="UEC ($/MWh)" dataDxfId="38"/>
    <tableColumn id="12" xr3:uid="{F22D587B-9306-483E-ABFE-275918EDC782}" name="UCC ($/kW-yr)" dataDxfId="37"/>
    <tableColumn id="13" xr3:uid="{07A1EE1D-5689-45FA-A022-73422F5C8B88}" name="R1 Length (km)" dataDxfId="36"/>
    <tableColumn id="14" xr3:uid="{77106FD0-3E49-415B-8200-E55C32812EA9}" name="T1 Length (km)" dataDxfId="35"/>
    <tableColumn id="30" xr3:uid="{13D389FF-9114-433E-9443-8C05957BB7A0}" name="Linear Features (km)" dataDxfId="34">
      <calculatedColumnFormula>Table1[[#This Row],[R1 Length (km)]]+Table1[[#This Row],[T1 Length (km)]]</calculatedColumnFormula>
    </tableColumn>
    <tableColumn id="15" xr3:uid="{9C17B7DD-1C68-493A-ACF3-1F346727F440}" name="Line Voltage" dataDxfId="33"/>
    <tableColumn id="23" xr3:uid="{9523C191-202F-49D1-A00B-898F1C90B775}" name="Linear Area (ha)" dataDxfId="0">
      <calculatedColumnFormula>(Table1[[#This Row],[Linear Features (km)]]*1)*100</calculatedColumnFormula>
    </tableColumn>
    <tableColumn id="9" xr3:uid="{1AC91F17-0C60-405B-BFD1-C9F2FE6D06AD}" name="ATG (ha)" dataDxfId="32" dataCellStyle="Comma"/>
    <tableColumn id="31" xr3:uid="{7D3E405E-BA45-4E21-80D9-24E29B087A6E}" name="ATG/Linear Ratio" dataDxfId="31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30"/>
    <tableColumn id="16" xr3:uid="{F0179228-D88A-43CD-BCC3-D320BAD9A3EC}" name="Number of Turbines - WIND" dataDxfId="29" dataCellStyle="Comma"/>
    <tableColumn id="18" xr3:uid="{BD1F6288-65C7-49DD-AF15-5D96B4B6A259}" name="Footprint of Plant (ha) - SOLAR" dataDxfId="28" dataCellStyle="Comma"/>
    <tableColumn id="19" xr3:uid="{C270132B-9BD7-47D4-9629-60E0B9CD8CB5}" name="Footprint of Panels (ha) - SOLAR" dataDxfId="27" dataCellStyle="Comma"/>
    <tableColumn id="20" xr3:uid="{AD2CE6A5-4859-4EBD-A0CA-7B55EBCEEFD8}" name="Raw Terrestrial Score" dataDxfId="26"/>
    <tableColumn id="26" xr3:uid="{3EB508D6-4830-4E53-927E-AC9ED404856D}" name="Terrestrial % of Summed Score" dataDxfId="25">
      <calculatedColumnFormula>Table1[[#This Row],[Raw Terrestrial Score]]/Table1[[#This Row],[Summed Raw Scores]]</calculatedColumnFormula>
    </tableColumn>
    <tableColumn id="21" xr3:uid="{70D7E5C1-7F6D-4FDF-A711-BA80729BB28F}" name="Raw Freshwater Score" dataDxfId="24"/>
    <tableColumn id="27" xr3:uid="{5D2D2130-2F0B-42B9-A126-21C68F62BA79}" name="Freshwater % of Summed Score" dataDxfId="23">
      <calculatedColumnFormula>Table1[[#This Row],[Raw Freshwater Score]]/Table1[[#This Row],[Summed Raw Scores]]</calculatedColumnFormula>
    </tableColumn>
    <tableColumn id="22" xr3:uid="{663C1351-B6C8-4221-9ECD-FE5987E748FB}" name="Summed Raw Scores" dataDxfId="22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21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20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9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M44" activePane="bottomRight" state="frozen"/>
      <selection pane="topRight" activeCell="B1" sqref="B1"/>
      <selection pane="bottomLeft" activeCell="A2" sqref="A2"/>
      <selection pane="bottomRight" activeCell="Q109" sqref="Q109"/>
    </sheetView>
  </sheetViews>
  <sheetFormatPr defaultRowHeight="14.4" x14ac:dyDescent="0.3"/>
  <cols>
    <col min="1" max="1" width="41.6640625" style="20" bestFit="1" customWidth="1"/>
    <col min="2" max="2" width="20.88671875" bestFit="1" customWidth="1"/>
    <col min="3" max="4" width="16.44140625" customWidth="1"/>
    <col min="5" max="5" width="14.6640625" style="16" customWidth="1"/>
    <col min="6" max="6" width="16.109375" style="16" customWidth="1"/>
    <col min="7" max="7" width="14.6640625" style="21" customWidth="1"/>
    <col min="8" max="8" width="20" customWidth="1"/>
    <col min="9" max="9" width="20.109375" style="16" customWidth="1"/>
    <col min="10" max="10" width="17.88671875" style="21" customWidth="1"/>
    <col min="11" max="11" width="14.6640625" style="21" customWidth="1"/>
    <col min="12" max="12" width="15.21875" style="16" customWidth="1"/>
    <col min="13" max="13" width="15.6640625" style="16" customWidth="1"/>
    <col min="14" max="15" width="15.5546875" style="16" customWidth="1"/>
    <col min="16" max="16" width="13.21875" style="20" customWidth="1"/>
    <col min="17" max="17" width="17.44140625" style="16" bestFit="1" customWidth="1"/>
    <col min="18" max="18" width="14.6640625" bestFit="1" customWidth="1"/>
    <col min="19" max="19" width="17.21875" style="22" bestFit="1" customWidth="1"/>
    <col min="20" max="20" width="21.6640625" bestFit="1" customWidth="1"/>
    <col min="21" max="21" width="23" style="16" customWidth="1"/>
    <col min="22" max="22" width="24.109375" style="16" customWidth="1"/>
    <col min="23" max="23" width="13.88671875" style="16" bestFit="1" customWidth="1"/>
    <col min="24" max="24" width="20.5546875" style="23" bestFit="1" customWidth="1"/>
    <col min="25" max="25" width="20.5546875" style="23" customWidth="1"/>
    <col min="26" max="26" width="21.21875" style="24" customWidth="1"/>
    <col min="27" max="27" width="21.21875" style="23" customWidth="1"/>
    <col min="28" max="28" width="20.33203125" style="23" customWidth="1"/>
    <col min="29" max="30" width="20.33203125" style="22" customWidth="1"/>
    <col min="31" max="31" width="18" style="22" bestFit="1" customWidth="1"/>
    <col min="32" max="32" width="14.6640625" style="16" customWidth="1"/>
  </cols>
  <sheetData>
    <row r="1" spans="1:32" ht="43.2" x14ac:dyDescent="0.3">
      <c r="A1" s="1" t="s">
        <v>0</v>
      </c>
      <c r="B1" s="1" t="s">
        <v>1</v>
      </c>
      <c r="C1" s="1" t="s">
        <v>2</v>
      </c>
      <c r="D1" s="1" t="s">
        <v>249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244</v>
      </c>
      <c r="P1" s="1" t="s">
        <v>13</v>
      </c>
      <c r="Q1" s="2" t="s">
        <v>247</v>
      </c>
      <c r="R1" s="2" t="s">
        <v>239</v>
      </c>
      <c r="S1" s="3" t="s">
        <v>248</v>
      </c>
      <c r="T1" s="1" t="s">
        <v>14</v>
      </c>
      <c r="U1" s="1" t="s">
        <v>238</v>
      </c>
      <c r="V1" s="2" t="s">
        <v>15</v>
      </c>
      <c r="W1" s="2" t="s">
        <v>16</v>
      </c>
      <c r="X1" s="4" t="s">
        <v>17</v>
      </c>
      <c r="Y1" s="4" t="s">
        <v>241</v>
      </c>
      <c r="Z1" s="4" t="s">
        <v>18</v>
      </c>
      <c r="AA1" s="4" t="s">
        <v>242</v>
      </c>
      <c r="AB1" s="4" t="s">
        <v>19</v>
      </c>
      <c r="AC1" s="3" t="s">
        <v>245</v>
      </c>
      <c r="AD1" s="3" t="s">
        <v>246</v>
      </c>
      <c r="AE1" s="3" t="s">
        <v>243</v>
      </c>
      <c r="AF1" s="2" t="s">
        <v>240</v>
      </c>
    </row>
    <row r="2" spans="1:32" hidden="1" x14ac:dyDescent="0.3">
      <c r="A2" s="26" t="s">
        <v>96</v>
      </c>
      <c r="B2" s="26" t="s">
        <v>97</v>
      </c>
      <c r="C2" s="26" t="s">
        <v>30</v>
      </c>
      <c r="D2" s="26" t="s">
        <v>250</v>
      </c>
      <c r="E2" s="6">
        <v>55.12</v>
      </c>
      <c r="F2" s="6">
        <v>-129.53</v>
      </c>
      <c r="G2" s="6">
        <v>160</v>
      </c>
      <c r="H2" s="6">
        <v>40</v>
      </c>
      <c r="I2" s="6">
        <v>3</v>
      </c>
      <c r="J2" s="6">
        <v>345</v>
      </c>
      <c r="K2" s="6">
        <v>92.74</v>
      </c>
      <c r="L2" s="6" t="s">
        <v>22</v>
      </c>
      <c r="M2" s="6">
        <v>6.1449999999999996</v>
      </c>
      <c r="N2" s="6">
        <v>41.758800000000001</v>
      </c>
      <c r="O2" s="6">
        <f>Table1[[#This Row],[R1 Length (km)]]+Table1[[#This Row],[T1 Length (km)]]</f>
        <v>47.903800000000004</v>
      </c>
      <c r="P2" s="26">
        <v>69</v>
      </c>
      <c r="Q2" s="6">
        <f>(Table1[[#This Row],[Linear Features (km)]]*1)*100</f>
        <v>4790.38</v>
      </c>
      <c r="R2" s="7">
        <v>56.9</v>
      </c>
      <c r="S2" s="8">
        <f>Table1[[#This Row],[ATG (ha)]]/Table1[[#This Row],[Linear Area (ha)]]</f>
        <v>1.1877972102421936E-2</v>
      </c>
      <c r="T2" s="9" t="s">
        <v>22</v>
      </c>
      <c r="U2" s="9" t="s">
        <v>22</v>
      </c>
      <c r="V2" s="7" t="s">
        <v>22</v>
      </c>
      <c r="W2" s="7" t="s">
        <v>22</v>
      </c>
      <c r="X2" s="31">
        <v>12497.1295143813</v>
      </c>
      <c r="Y2" s="27">
        <f>Table1[[#This Row],[Raw Terrestrial Score]]/Table1[[#This Row],[Summed Raw Scores]]</f>
        <v>0.28119403452583219</v>
      </c>
      <c r="Z2" s="31">
        <v>31945.9524146318</v>
      </c>
      <c r="AA2" s="27">
        <f>Table1[[#This Row],[Raw Freshwater Score]]/Table1[[#This Row],[Summed Raw Scores]]</f>
        <v>0.71880596547416775</v>
      </c>
      <c r="AB2" s="27">
        <f>Table1[[#This Row],[Raw Terrestrial Score]]+Table1[[#This Row],[Raw Freshwater Score]]</f>
        <v>44443.081929013104</v>
      </c>
      <c r="AC2" s="28">
        <f>Table1[[#This Row],[Terrestrial % of Summed Score]]*Table1[[#This Row],[Scaled Summed Score]]</f>
        <v>7.4100931824943012E-2</v>
      </c>
      <c r="AD2" s="28">
        <f>Table1[[#This Row],[Freshwater % of Summed Score]]*Table1[[#This Row],[Scaled Summed Score]]</f>
        <v>0.18942148588884972</v>
      </c>
      <c r="AE2" s="28">
        <f>Table1[[#This Row],[Summed Raw Scores]]/MAX(Table1[Summed Raw Scores])</f>
        <v>0.26352241771379276</v>
      </c>
      <c r="AF2" s="7"/>
    </row>
    <row r="3" spans="1:32" hidden="1" x14ac:dyDescent="0.3">
      <c r="A3" s="26" t="s">
        <v>98</v>
      </c>
      <c r="B3" s="26" t="s">
        <v>97</v>
      </c>
      <c r="C3" s="26" t="s">
        <v>30</v>
      </c>
      <c r="D3" s="26" t="s">
        <v>250</v>
      </c>
      <c r="E3" s="6">
        <v>57.26</v>
      </c>
      <c r="F3" s="6">
        <v>-130.32</v>
      </c>
      <c r="G3" s="6">
        <v>43.2</v>
      </c>
      <c r="H3" s="6">
        <v>40</v>
      </c>
      <c r="I3" s="6">
        <v>2</v>
      </c>
      <c r="J3" s="6">
        <v>46</v>
      </c>
      <c r="K3" s="6">
        <v>363.72</v>
      </c>
      <c r="L3" s="6" t="s">
        <v>22</v>
      </c>
      <c r="M3" s="6">
        <f>3797.0562748453/1000</f>
        <v>3.7970562748452998</v>
      </c>
      <c r="N3" s="6">
        <v>36.497100000000003</v>
      </c>
      <c r="O3" s="6">
        <f>Table1[[#This Row],[R1 Length (km)]]+Table1[[#This Row],[T1 Length (km)]]</f>
        <v>40.294156274845307</v>
      </c>
      <c r="P3" s="26">
        <v>69</v>
      </c>
      <c r="Q3" s="6">
        <f>(Table1[[#This Row],[Linear Features (km)]]*1)*100</f>
        <v>4029.4156274845309</v>
      </c>
      <c r="R3" s="7">
        <v>139.30000000000001</v>
      </c>
      <c r="S3" s="8">
        <f>Table1[[#This Row],[ATG (ha)]]/Table1[[#This Row],[Linear Area (ha)]]</f>
        <v>3.457076977858492E-2</v>
      </c>
      <c r="T3" s="9" t="s">
        <v>22</v>
      </c>
      <c r="U3" s="9" t="s">
        <v>22</v>
      </c>
      <c r="V3" s="7" t="s">
        <v>22</v>
      </c>
      <c r="W3" s="7" t="s">
        <v>22</v>
      </c>
      <c r="X3" s="31">
        <v>9238.8221732787806</v>
      </c>
      <c r="Y3" s="27">
        <f>Table1[[#This Row],[Raw Terrestrial Score]]/Table1[[#This Row],[Summed Raw Scores]]</f>
        <v>0.38816320660892101</v>
      </c>
      <c r="Z3" s="31">
        <v>14562.563470639299</v>
      </c>
      <c r="AA3" s="27">
        <f>Table1[[#This Row],[Raw Freshwater Score]]/Table1[[#This Row],[Summed Raw Scores]]</f>
        <v>0.61183679339107888</v>
      </c>
      <c r="AB3" s="27">
        <f>Table1[[#This Row],[Raw Terrestrial Score]]+Table1[[#This Row],[Raw Freshwater Score]]</f>
        <v>23801.385643918082</v>
      </c>
      <c r="AC3" s="28">
        <f>Table1[[#This Row],[Terrestrial % of Summed Score]]*Table1[[#This Row],[Scaled Summed Score]]</f>
        <v>5.4781006407677912E-2</v>
      </c>
      <c r="AD3" s="28">
        <f>Table1[[#This Row],[Freshwater % of Summed Score]]*Table1[[#This Row],[Scaled Summed Score]]</f>
        <v>8.6347790642039415E-2</v>
      </c>
      <c r="AE3" s="28">
        <f>Table1[[#This Row],[Summed Raw Scores]]/MAX(Table1[Summed Raw Scores])</f>
        <v>0.14112879704971734</v>
      </c>
      <c r="AF3" s="7"/>
    </row>
    <row r="4" spans="1:32" hidden="1" x14ac:dyDescent="0.3">
      <c r="A4" s="26" t="s">
        <v>425</v>
      </c>
      <c r="B4" s="26" t="s">
        <v>20</v>
      </c>
      <c r="C4" s="26" t="s">
        <v>21</v>
      </c>
      <c r="D4" s="26" t="s">
        <v>250</v>
      </c>
      <c r="E4" s="10">
        <v>48.494855999999999</v>
      </c>
      <c r="F4" s="10">
        <v>-123.42505199999999</v>
      </c>
      <c r="G4" s="6">
        <v>50</v>
      </c>
      <c r="H4" s="6" t="s">
        <v>22</v>
      </c>
      <c r="I4" s="6">
        <v>40</v>
      </c>
      <c r="J4" s="26" t="s">
        <v>22</v>
      </c>
      <c r="K4" s="26" t="s">
        <v>22</v>
      </c>
      <c r="L4" s="11">
        <v>250.36602238805969</v>
      </c>
      <c r="M4" s="10">
        <v>0</v>
      </c>
      <c r="N4" s="7">
        <v>0.6</v>
      </c>
      <c r="O4" s="7">
        <f>Table1[[#This Row],[R1 Length (km)]]+Table1[[#This Row],[T1 Length (km)]]</f>
        <v>0.6</v>
      </c>
      <c r="P4" s="9">
        <v>69</v>
      </c>
      <c r="Q4" s="7">
        <f>(Table1[[#This Row],[Linear Features (km)]]*1)*100</f>
        <v>60</v>
      </c>
      <c r="R4" s="7">
        <v>0.3</v>
      </c>
      <c r="S4" s="8">
        <f>Table1[[#This Row],[ATG (ha)]]/Table1[[#This Row],[Linear Area (ha)]]</f>
        <v>5.0000000000000001E-3</v>
      </c>
      <c r="T4" s="9" t="s">
        <v>22</v>
      </c>
      <c r="U4" s="9" t="s">
        <v>22</v>
      </c>
      <c r="V4" s="9" t="s">
        <v>22</v>
      </c>
      <c r="W4" s="9" t="s">
        <v>22</v>
      </c>
      <c r="X4" s="31">
        <v>1494.0117921829201</v>
      </c>
      <c r="Y4" s="27">
        <f>Table1[[#This Row],[Raw Terrestrial Score]]/Table1[[#This Row],[Summed Raw Scores]]</f>
        <v>0.73829116191141297</v>
      </c>
      <c r="Z4" s="31">
        <v>529.59605965018295</v>
      </c>
      <c r="AA4" s="27">
        <f>Table1[[#This Row],[Raw Freshwater Score]]/Table1[[#This Row],[Summed Raw Scores]]</f>
        <v>0.26170883808858703</v>
      </c>
      <c r="AB4" s="27">
        <f>Table1[[#This Row],[Raw Terrestrial Score]]+Table1[[#This Row],[Raw Freshwater Score]]</f>
        <v>2023.607851833103</v>
      </c>
      <c r="AC4" s="28">
        <f>Table1[[#This Row],[Terrestrial % of Summed Score]]*Table1[[#This Row],[Scaled Summed Score]]</f>
        <v>8.8586475662918128E-3</v>
      </c>
      <c r="AD4" s="28">
        <f>Table1[[#This Row],[Freshwater % of Summed Score]]*Table1[[#This Row],[Scaled Summed Score]]</f>
        <v>3.1402060341726005E-3</v>
      </c>
      <c r="AE4" s="28">
        <f>Table1[[#This Row],[Summed Raw Scores]]/MAX(Table1[Summed Raw Scores])</f>
        <v>1.1998853600464413E-2</v>
      </c>
      <c r="AF4" s="7"/>
    </row>
    <row r="5" spans="1:32" x14ac:dyDescent="0.3">
      <c r="A5" s="26" t="s">
        <v>113</v>
      </c>
      <c r="B5" s="26" t="s">
        <v>114</v>
      </c>
      <c r="C5" s="26" t="s">
        <v>30</v>
      </c>
      <c r="D5" s="26"/>
      <c r="E5" s="6">
        <v>58.373600000000003</v>
      </c>
      <c r="F5" s="6">
        <v>-131.53800000000001</v>
      </c>
      <c r="G5" s="6">
        <v>160</v>
      </c>
      <c r="H5" s="26" t="s">
        <v>22</v>
      </c>
      <c r="I5" s="6">
        <v>38.4</v>
      </c>
      <c r="J5" s="6">
        <v>526.72127999999998</v>
      </c>
      <c r="K5" s="6">
        <v>102.84130249951509</v>
      </c>
      <c r="L5" s="6" t="s">
        <v>22</v>
      </c>
      <c r="M5" s="6">
        <v>72.276757812499994</v>
      </c>
      <c r="N5" s="6">
        <v>192.94692187499999</v>
      </c>
      <c r="O5" s="6">
        <f>Table1[[#This Row],[R1 Length (km)]]+Table1[[#This Row],[T1 Length (km)]]</f>
        <v>265.22367968749995</v>
      </c>
      <c r="P5" s="26">
        <v>230</v>
      </c>
      <c r="Q5" s="6">
        <f>(Table1[[#This Row],[Linear Features (km)]]*1)*100</f>
        <v>26522.367968749997</v>
      </c>
      <c r="R5" s="7">
        <f>((PI()*(45^2))*Table1[[#This Row],[Number of Turbines - WIND]])/10000</f>
        <v>44.532075864635317</v>
      </c>
      <c r="S5" s="8">
        <f>Table1[[#This Row],[ATG (ha)]]/Table1[[#This Row],[Linear Area (ha)]]</f>
        <v>1.6790384598051454E-3</v>
      </c>
      <c r="T5" s="26" t="s">
        <v>115</v>
      </c>
      <c r="U5" s="26">
        <f>26+44</f>
        <v>70</v>
      </c>
      <c r="V5" s="7" t="s">
        <v>22</v>
      </c>
      <c r="W5" s="7" t="s">
        <v>22</v>
      </c>
      <c r="X5" s="31">
        <f>32741.557928402+90.75632+150.7548</f>
        <v>32983.069048402001</v>
      </c>
      <c r="Y5" s="27">
        <f>Table1[[#This Row],[Raw Terrestrial Score]]/Table1[[#This Row],[Summed Raw Scores]]</f>
        <v>0.35823019743794232</v>
      </c>
      <c r="Z5" s="31">
        <f>58991.7908855435+[2]plateau_average_sums!$B$2+[2]plateau_average_sums!$B$3</f>
        <v>59089.205383782886</v>
      </c>
      <c r="AA5" s="27">
        <f>Table1[[#This Row],[Raw Freshwater Score]]/Table1[[#This Row],[Summed Raw Scores]]</f>
        <v>0.64176980256205762</v>
      </c>
      <c r="AB5" s="27">
        <f>Table1[[#This Row],[Raw Terrestrial Score]]+Table1[[#This Row],[Raw Freshwater Score]]</f>
        <v>92072.274432184888</v>
      </c>
      <c r="AC5" s="28">
        <f>Table1[[#This Row],[Terrestrial % of Summed Score]]*Table1[[#This Row],[Scaled Summed Score]]</f>
        <v>0.19557100277471393</v>
      </c>
      <c r="AD5" s="28">
        <f>Table1[[#This Row],[Freshwater % of Summed Score]]*Table1[[#This Row],[Scaled Summed Score]]</f>
        <v>0.35036567194850921</v>
      </c>
      <c r="AE5" s="28">
        <f>Table1[[#This Row],[Summed Raw Scores]]/MAX(Table1[Summed Raw Scores])</f>
        <v>0.54593667472322316</v>
      </c>
      <c r="AF5" s="7"/>
    </row>
    <row r="6" spans="1:32" x14ac:dyDescent="0.3">
      <c r="A6" s="26" t="s">
        <v>116</v>
      </c>
      <c r="B6" s="26" t="s">
        <v>114</v>
      </c>
      <c r="C6" s="26" t="s">
        <v>30</v>
      </c>
      <c r="D6" s="26"/>
      <c r="E6" s="6">
        <v>58.516399999999997</v>
      </c>
      <c r="F6" s="6">
        <v>-131.28</v>
      </c>
      <c r="G6" s="6">
        <v>145</v>
      </c>
      <c r="H6" s="26" t="s">
        <v>22</v>
      </c>
      <c r="I6" s="6">
        <v>34.799999999999997</v>
      </c>
      <c r="J6" s="6">
        <v>477.34116000000006</v>
      </c>
      <c r="K6" s="6">
        <v>110.96678109296646</v>
      </c>
      <c r="L6" s="6" t="s">
        <v>22</v>
      </c>
      <c r="M6" s="6">
        <v>72.276757812499994</v>
      </c>
      <c r="N6" s="6">
        <v>192.94692187499999</v>
      </c>
      <c r="O6" s="6">
        <f>Table1[[#This Row],[R1 Length (km)]]+Table1[[#This Row],[T1 Length (km)]]</f>
        <v>265.22367968749995</v>
      </c>
      <c r="P6" s="26">
        <v>230</v>
      </c>
      <c r="Q6" s="6">
        <f>(Table1[[#This Row],[Linear Features (km)]]*1)*100</f>
        <v>26522.367968749997</v>
      </c>
      <c r="R6" s="7">
        <f>((PI()*(45^2))*Table1[[#This Row],[Number of Turbines - WIND]])/10000</f>
        <v>40.078868278171782</v>
      </c>
      <c r="S6" s="8">
        <f>Table1[[#This Row],[ATG (ha)]]/Table1[[#This Row],[Linear Area (ha)]]</f>
        <v>1.5111346138246308E-3</v>
      </c>
      <c r="T6" s="26" t="s">
        <v>115</v>
      </c>
      <c r="U6" s="26">
        <f>13+50</f>
        <v>63</v>
      </c>
      <c r="V6" s="7" t="s">
        <v>22</v>
      </c>
      <c r="W6" s="7" t="s">
        <v>22</v>
      </c>
      <c r="X6" s="31">
        <f>46729.8877895065+[1]plateau_average_sums!$B$4+[1]plateau_average_sums!$B$5</f>
        <v>46945.098169387842</v>
      </c>
      <c r="Y6" s="27">
        <f>Table1[[#This Row],[Raw Terrestrial Score]]/Table1[[#This Row],[Summed Raw Scores]]</f>
        <v>0.44975022214669436</v>
      </c>
      <c r="Z6" s="31">
        <f>57348.9365203371+[2]plateau_average_sums!$B$4+[2]plateau_average_sums!$B$5</f>
        <v>57435.279777542513</v>
      </c>
      <c r="AA6" s="27">
        <f>Table1[[#This Row],[Raw Freshwater Score]]/Table1[[#This Row],[Summed Raw Scores]]</f>
        <v>0.55024977785330564</v>
      </c>
      <c r="AB6" s="27">
        <f>Table1[[#This Row],[Raw Terrestrial Score]]+Table1[[#This Row],[Raw Freshwater Score]]</f>
        <v>104380.37794693036</v>
      </c>
      <c r="AC6" s="28">
        <f>Table1[[#This Row],[Terrestrial % of Summed Score]]*Table1[[#This Row],[Scaled Summed Score]]</f>
        <v>0.27835796331965001</v>
      </c>
      <c r="AD6" s="28">
        <f>Table1[[#This Row],[Freshwater % of Summed Score]]*Table1[[#This Row],[Scaled Summed Score]]</f>
        <v>0.34055882562827944</v>
      </c>
      <c r="AE6" s="28">
        <f>Table1[[#This Row],[Summed Raw Scores]]/MAX(Table1[Summed Raw Scores])</f>
        <v>0.61891678894792945</v>
      </c>
      <c r="AF6" s="7"/>
    </row>
    <row r="7" spans="1:32" x14ac:dyDescent="0.3">
      <c r="A7" s="26" t="s">
        <v>117</v>
      </c>
      <c r="B7" s="26" t="s">
        <v>114</v>
      </c>
      <c r="C7" s="26" t="s">
        <v>30</v>
      </c>
      <c r="D7" s="26"/>
      <c r="E7" s="6">
        <v>59.016599999999997</v>
      </c>
      <c r="F7" s="6">
        <v>-131.26</v>
      </c>
      <c r="G7" s="6">
        <v>165</v>
      </c>
      <c r="H7" s="26" t="s">
        <v>22</v>
      </c>
      <c r="I7" s="6">
        <v>39.6</v>
      </c>
      <c r="J7" s="6">
        <v>507.91356000000002</v>
      </c>
      <c r="K7" s="6">
        <v>125.28558797417327</v>
      </c>
      <c r="L7" s="6" t="s">
        <v>22</v>
      </c>
      <c r="M7" s="6">
        <v>54.375484374999999</v>
      </c>
      <c r="N7" s="6">
        <v>203.42195312499999</v>
      </c>
      <c r="O7" s="6">
        <f>Table1[[#This Row],[R1 Length (km)]]+Table1[[#This Row],[T1 Length (km)]]</f>
        <v>257.7974375</v>
      </c>
      <c r="P7" s="26">
        <v>230</v>
      </c>
      <c r="Q7" s="6">
        <f>(Table1[[#This Row],[Linear Features (km)]]*1)*100</f>
        <v>25779.743750000001</v>
      </c>
      <c r="R7" s="7">
        <f>((PI()*(45^2))*Table1[[#This Row],[Number of Turbines - WIND]])/10000</f>
        <v>45.168248376987243</v>
      </c>
      <c r="S7" s="8">
        <f>Table1[[#This Row],[ATG (ha)]]/Table1[[#This Row],[Linear Area (ha)]]</f>
        <v>1.7520829072239028E-3</v>
      </c>
      <c r="T7" s="26" t="s">
        <v>115</v>
      </c>
      <c r="U7" s="26">
        <f>20+20+13+18</f>
        <v>71</v>
      </c>
      <c r="V7" s="7" t="s">
        <v>22</v>
      </c>
      <c r="W7" s="7" t="s">
        <v>22</v>
      </c>
      <c r="X7" s="31">
        <f>64065.2177697159+[1]plateau_average_sums!$B$6+[1]plateau_average_sums!$B$7+[1]plateau_average_sums!$B$8+[1]plateau_average_sums!$B$9</f>
        <v>64238.024899261109</v>
      </c>
      <c r="Y7" s="27">
        <f>Table1[[#This Row],[Raw Terrestrial Score]]/Table1[[#This Row],[Summed Raw Scores]]</f>
        <v>0.45763222674512144</v>
      </c>
      <c r="Z7" s="31">
        <f>76055.4839530718+[2]plateau_average_sums!$B$6+[2]plateau_average_sums!$B$7+[2]plateau_average_sums!$B$8+[2]plateau_average_sums!$B$9</f>
        <v>76132.388601006896</v>
      </c>
      <c r="AA7" s="27">
        <f>Table1[[#This Row],[Raw Freshwater Score]]/Table1[[#This Row],[Summed Raw Scores]]</f>
        <v>0.5423677732548785</v>
      </c>
      <c r="AB7" s="27">
        <f>Table1[[#This Row],[Raw Terrestrial Score]]+Table1[[#This Row],[Raw Freshwater Score]]</f>
        <v>140370.41350026801</v>
      </c>
      <c r="AC7" s="28">
        <f>Table1[[#This Row],[Terrestrial % of Summed Score]]*Table1[[#This Row],[Scaled Summed Score]]</f>
        <v>0.38089526864160045</v>
      </c>
      <c r="AD7" s="28">
        <f>Table1[[#This Row],[Freshwater % of Summed Score]]*Table1[[#This Row],[Scaled Summed Score]]</f>
        <v>0.45142213905211137</v>
      </c>
      <c r="AE7" s="28">
        <f>Table1[[#This Row],[Summed Raw Scores]]/MAX(Table1[Summed Raw Scores])</f>
        <v>0.83231740769371187</v>
      </c>
      <c r="AF7" s="7"/>
    </row>
    <row r="8" spans="1:32" x14ac:dyDescent="0.3">
      <c r="A8" s="26" t="s">
        <v>118</v>
      </c>
      <c r="B8" s="26" t="s">
        <v>114</v>
      </c>
      <c r="C8" s="26" t="s">
        <v>30</v>
      </c>
      <c r="D8" s="26"/>
      <c r="E8" s="6">
        <v>58.9375</v>
      </c>
      <c r="F8" s="6">
        <v>-130.54900000000001</v>
      </c>
      <c r="G8" s="6">
        <v>150</v>
      </c>
      <c r="H8" s="26" t="s">
        <v>22</v>
      </c>
      <c r="I8" s="6">
        <v>36</v>
      </c>
      <c r="J8" s="6">
        <v>424.94760000000002</v>
      </c>
      <c r="K8" s="6">
        <v>129.55618024565354</v>
      </c>
      <c r="L8" s="6" t="s">
        <v>22</v>
      </c>
      <c r="M8" s="6">
        <v>125.70841406300001</v>
      </c>
      <c r="N8" s="6">
        <v>260.41310937499998</v>
      </c>
      <c r="O8" s="6">
        <f>Table1[[#This Row],[R1 Length (km)]]+Table1[[#This Row],[T1 Length (km)]]</f>
        <v>386.121523438</v>
      </c>
      <c r="P8" s="26">
        <v>230</v>
      </c>
      <c r="Q8" s="6">
        <f>(Table1[[#This Row],[Linear Features (km)]]*1)*100</f>
        <v>38612.1523438</v>
      </c>
      <c r="R8" s="7">
        <f>((PI()*(45^2))*Table1[[#This Row],[Number of Turbines - WIND]])/10000</f>
        <v>41.987385815227583</v>
      </c>
      <c r="S8" s="8">
        <f>Table1[[#This Row],[ATG (ha)]]/Table1[[#This Row],[Linear Area (ha)]]</f>
        <v>1.0874137613820316E-3</v>
      </c>
      <c r="T8" s="26" t="s">
        <v>115</v>
      </c>
      <c r="U8" s="26">
        <f>35+31</f>
        <v>66</v>
      </c>
      <c r="V8" s="7" t="s">
        <v>22</v>
      </c>
      <c r="W8" s="7" t="s">
        <v>22</v>
      </c>
      <c r="X8" s="31">
        <f>47723.4675770961+[1]plateau_average_sums!$B$10+[1]plateau_average_sums!$B$11</f>
        <v>47881.531858013739</v>
      </c>
      <c r="Y8" s="27">
        <f>Table1[[#This Row],[Raw Terrestrial Score]]/Table1[[#This Row],[Summed Raw Scores]]</f>
        <v>0.43111473461327504</v>
      </c>
      <c r="Z8" s="31">
        <f>63155.2679416696+[2]plateau_average_sums!$B$10+[2]plateau_average_sums!$B$11</f>
        <v>63182.943590651092</v>
      </c>
      <c r="AA8" s="27">
        <f>Table1[[#This Row],[Raw Freshwater Score]]/Table1[[#This Row],[Summed Raw Scores]]</f>
        <v>0.56888526538672501</v>
      </c>
      <c r="AB8" s="27">
        <f>Table1[[#This Row],[Raw Terrestrial Score]]+Table1[[#This Row],[Raw Freshwater Score]]</f>
        <v>111064.47544866483</v>
      </c>
      <c r="AC8" s="28">
        <f>Table1[[#This Row],[Terrestrial % of Summed Score]]*Table1[[#This Row],[Scaled Summed Score]]</f>
        <v>0.28391048710838046</v>
      </c>
      <c r="AD8" s="28">
        <f>Table1[[#This Row],[Freshwater % of Summed Score]]*Table1[[#This Row],[Scaled Summed Score]]</f>
        <v>0.37463923136287081</v>
      </c>
      <c r="AE8" s="28">
        <f>Table1[[#This Row],[Summed Raw Scores]]/MAX(Table1[Summed Raw Scores])</f>
        <v>0.65854971847125121</v>
      </c>
      <c r="AF8" s="7"/>
    </row>
    <row r="9" spans="1:32" x14ac:dyDescent="0.3">
      <c r="A9" s="26" t="s">
        <v>119</v>
      </c>
      <c r="B9" s="26" t="s">
        <v>114</v>
      </c>
      <c r="C9" s="26" t="s">
        <v>30</v>
      </c>
      <c r="D9" s="26"/>
      <c r="E9" s="6">
        <v>58.5032</v>
      </c>
      <c r="F9" s="6">
        <v>-130.44200000000001</v>
      </c>
      <c r="G9" s="6">
        <v>160</v>
      </c>
      <c r="H9" s="26" t="s">
        <v>22</v>
      </c>
      <c r="I9" s="6">
        <v>38.4</v>
      </c>
      <c r="J9" s="6">
        <v>526.72127999999998</v>
      </c>
      <c r="K9" s="6">
        <v>97.630343521356849</v>
      </c>
      <c r="L9" s="6" t="s">
        <v>22</v>
      </c>
      <c r="M9" s="6">
        <v>43.094367187499998</v>
      </c>
      <c r="N9" s="6">
        <v>265.36450000000002</v>
      </c>
      <c r="O9" s="6">
        <f>Table1[[#This Row],[R1 Length (km)]]+Table1[[#This Row],[T1 Length (km)]]</f>
        <v>308.4588671875</v>
      </c>
      <c r="P9" s="26">
        <v>230</v>
      </c>
      <c r="Q9" s="6">
        <f>(Table1[[#This Row],[Linear Features (km)]]*1)*100</f>
        <v>30845.88671875</v>
      </c>
      <c r="R9" s="7">
        <f>((PI()*(45^2))*Table1[[#This Row],[Number of Turbines - WIND]])/10000</f>
        <v>44.532075864635317</v>
      </c>
      <c r="S9" s="8">
        <f>Table1[[#This Row],[ATG (ha)]]/Table1[[#This Row],[Linear Area (ha)]]</f>
        <v>1.4436957598487846E-3</v>
      </c>
      <c r="T9" s="26" t="s">
        <v>115</v>
      </c>
      <c r="U9" s="26">
        <f>29+41</f>
        <v>70</v>
      </c>
      <c r="V9" s="7" t="s">
        <v>22</v>
      </c>
      <c r="W9" s="7" t="s">
        <v>22</v>
      </c>
      <c r="X9" s="31">
        <f>27742.7571257055+[1]plateau_average_sums!$B$12+[1]plateau_average_sums!$B$13</f>
        <v>27909.423101824541</v>
      </c>
      <c r="Y9" s="27">
        <f>Table1[[#This Row],[Raw Terrestrial Score]]/Table1[[#This Row],[Summed Raw Scores]]</f>
        <v>0.30928127196103211</v>
      </c>
      <c r="Z9" s="31">
        <f>62293.2165180612+[2]plateau_average_sums!$B$12+[2]plateau_average_sums!$B$13</f>
        <v>62330.192523336853</v>
      </c>
      <c r="AA9" s="27">
        <f>Table1[[#This Row],[Raw Freshwater Score]]/Table1[[#This Row],[Summed Raw Scores]]</f>
        <v>0.69071872803896794</v>
      </c>
      <c r="AB9" s="27">
        <f>Table1[[#This Row],[Raw Terrestrial Score]]+Table1[[#This Row],[Raw Freshwater Score]]</f>
        <v>90239.615625161387</v>
      </c>
      <c r="AC9" s="28">
        <f>Table1[[#This Row],[Terrestrial % of Summed Score]]*Table1[[#This Row],[Scaled Summed Score]]</f>
        <v>0.16548714296045902</v>
      </c>
      <c r="AD9" s="28">
        <f>Table1[[#This Row],[Freshwater % of Summed Score]]*Table1[[#This Row],[Scaled Summed Score]]</f>
        <v>0.36958289833615587</v>
      </c>
      <c r="AE9" s="28">
        <f>Table1[[#This Row],[Summed Raw Scores]]/MAX(Table1[Summed Raw Scores])</f>
        <v>0.53507004129661484</v>
      </c>
      <c r="AF9" s="7"/>
    </row>
    <row r="10" spans="1:32" x14ac:dyDescent="0.3">
      <c r="A10" s="26" t="s">
        <v>120</v>
      </c>
      <c r="B10" s="26" t="s">
        <v>114</v>
      </c>
      <c r="C10" s="26" t="s">
        <v>27</v>
      </c>
      <c r="D10" s="26"/>
      <c r="E10" s="6">
        <v>59.872</v>
      </c>
      <c r="F10" s="6">
        <v>-125.95399999999999</v>
      </c>
      <c r="G10" s="6">
        <v>230</v>
      </c>
      <c r="H10" s="26" t="s">
        <v>22</v>
      </c>
      <c r="I10" s="6">
        <v>55.199999999999996</v>
      </c>
      <c r="J10" s="6">
        <v>677.57723999999996</v>
      </c>
      <c r="K10" s="6">
        <v>133.41293737782709</v>
      </c>
      <c r="L10" s="6" t="s">
        <v>22</v>
      </c>
      <c r="M10" s="6">
        <v>18.295330078100001</v>
      </c>
      <c r="N10" s="6">
        <v>244.59537499999999</v>
      </c>
      <c r="O10" s="6">
        <f>Table1[[#This Row],[R1 Length (km)]]+Table1[[#This Row],[T1 Length (km)]]</f>
        <v>262.89070507809998</v>
      </c>
      <c r="P10" s="26">
        <v>130</v>
      </c>
      <c r="Q10" s="6">
        <f>(Table1[[#This Row],[Linear Features (km)]]*1)*100</f>
        <v>26289.07050781</v>
      </c>
      <c r="R10" s="7">
        <f>((PI()*(45^2))*Table1[[#This Row],[Number of Turbines - WIND]])/10000</f>
        <v>64.253423747545241</v>
      </c>
      <c r="S10" s="8">
        <f>Table1[[#This Row],[ATG (ha)]]/Table1[[#This Row],[Linear Area (ha)]]</f>
        <v>2.4441116595756676E-3</v>
      </c>
      <c r="T10" s="26" t="s">
        <v>115</v>
      </c>
      <c r="U10" s="26">
        <v>101</v>
      </c>
      <c r="V10" s="7" t="s">
        <v>22</v>
      </c>
      <c r="W10" s="7" t="s">
        <v>22</v>
      </c>
      <c r="X10" s="31">
        <f>47914.0334644644+[1]plateau_average_sums!$B$14</f>
        <v>47978.046673432895</v>
      </c>
      <c r="Y10" s="27">
        <f>Table1[[#This Row],[Raw Terrestrial Score]]/Table1[[#This Row],[Summed Raw Scores]]</f>
        <v>0.44580868544806823</v>
      </c>
      <c r="Z10" s="31">
        <f>59547.0298854657+[2]plateau_average_sums!$B$14</f>
        <v>59642.213405644914</v>
      </c>
      <c r="AA10" s="27">
        <f>Table1[[#This Row],[Raw Freshwater Score]]/Table1[[#This Row],[Summed Raw Scores]]</f>
        <v>0.55419131455193171</v>
      </c>
      <c r="AB10" s="27">
        <f>Table1[[#This Row],[Raw Terrestrial Score]]+Table1[[#This Row],[Raw Freshwater Score]]</f>
        <v>107620.26007907781</v>
      </c>
      <c r="AC10" s="28">
        <f>Table1[[#This Row],[Terrestrial % of Summed Score]]*Table1[[#This Row],[Scaled Summed Score]]</f>
        <v>0.28448276554634028</v>
      </c>
      <c r="AD10" s="28">
        <f>Table1[[#This Row],[Freshwater % of Summed Score]]*Table1[[#This Row],[Scaled Summed Score]]</f>
        <v>0.35364469771834606</v>
      </c>
      <c r="AE10" s="28">
        <f>Table1[[#This Row],[Summed Raw Scores]]/MAX(Table1[Summed Raw Scores])</f>
        <v>0.63812746326468639</v>
      </c>
      <c r="AF10" s="7"/>
    </row>
    <row r="11" spans="1:32" x14ac:dyDescent="0.3">
      <c r="A11" s="26" t="s">
        <v>121</v>
      </c>
      <c r="B11" s="26" t="s">
        <v>114</v>
      </c>
      <c r="C11" s="26" t="s">
        <v>27</v>
      </c>
      <c r="D11" s="26"/>
      <c r="E11" s="6">
        <v>59.7913</v>
      </c>
      <c r="F11" s="6">
        <v>-125.352</v>
      </c>
      <c r="G11" s="6">
        <v>290</v>
      </c>
      <c r="H11" s="26" t="s">
        <v>22</v>
      </c>
      <c r="I11" s="6">
        <v>69.599999999999994</v>
      </c>
      <c r="J11" s="6">
        <v>892.69655999999998</v>
      </c>
      <c r="K11" s="6">
        <v>112.49687077743719</v>
      </c>
      <c r="L11" s="6" t="s">
        <v>22</v>
      </c>
      <c r="M11" s="6">
        <v>30.673519531300002</v>
      </c>
      <c r="N11" s="6">
        <v>572.73781250000002</v>
      </c>
      <c r="O11" s="6">
        <f>Table1[[#This Row],[R1 Length (km)]]+Table1[[#This Row],[T1 Length (km)]]</f>
        <v>603.41133203130005</v>
      </c>
      <c r="P11" s="26">
        <v>230</v>
      </c>
      <c r="Q11" s="6">
        <f>(Table1[[#This Row],[Linear Features (km)]]*1)*100</f>
        <v>60341.133203130004</v>
      </c>
      <c r="R11" s="7">
        <f>((PI()*(45^2))*Table1[[#This Row],[Number of Turbines - WIND]])/10000</f>
        <v>80.157736556343565</v>
      </c>
      <c r="S11" s="8">
        <f>Table1[[#This Row],[ATG (ha)]]/Table1[[#This Row],[Linear Area (ha)]]</f>
        <v>1.3284095326235213E-3</v>
      </c>
      <c r="T11" s="26" t="s">
        <v>115</v>
      </c>
      <c r="U11" s="26">
        <v>126</v>
      </c>
      <c r="V11" s="7" t="s">
        <v>22</v>
      </c>
      <c r="W11" s="7" t="s">
        <v>22</v>
      </c>
      <c r="X11" s="31">
        <f>53033.0245573875+[1]plateau_average_sums!$B$15</f>
        <v>53109.309302349742</v>
      </c>
      <c r="Y11" s="27">
        <f>Table1[[#This Row],[Raw Terrestrial Score]]/Table1[[#This Row],[Summed Raw Scores]]</f>
        <v>0.42450102252645405</v>
      </c>
      <c r="Z11" s="31">
        <f>71929.9299635482+[2]plateau_average_sums!$B$15</f>
        <v>72000.658598940936</v>
      </c>
      <c r="AA11" s="27">
        <f>Table1[[#This Row],[Raw Freshwater Score]]/Table1[[#This Row],[Summed Raw Scores]]</f>
        <v>0.57549897747354584</v>
      </c>
      <c r="AB11" s="27">
        <f>Table1[[#This Row],[Raw Terrestrial Score]]+Table1[[#This Row],[Raw Freshwater Score]]</f>
        <v>125109.96790129069</v>
      </c>
      <c r="AC11" s="28">
        <f>Table1[[#This Row],[Terrestrial % of Summed Score]]*Table1[[#This Row],[Scaled Summed Score]]</f>
        <v>0.3149082598011359</v>
      </c>
      <c r="AD11" s="28">
        <f>Table1[[#This Row],[Freshwater % of Summed Score]]*Table1[[#This Row],[Scaled Summed Score]]</f>
        <v>0.426923309712955</v>
      </c>
      <c r="AE11" s="28">
        <f>Table1[[#This Row],[Summed Raw Scores]]/MAX(Table1[Summed Raw Scores])</f>
        <v>0.74183156951409102</v>
      </c>
      <c r="AF11" s="7"/>
    </row>
    <row r="12" spans="1:32" x14ac:dyDescent="0.3">
      <c r="A12" s="26" t="s">
        <v>122</v>
      </c>
      <c r="B12" s="26" t="s">
        <v>114</v>
      </c>
      <c r="C12" s="26" t="s">
        <v>30</v>
      </c>
      <c r="D12" s="26" t="s">
        <v>250</v>
      </c>
      <c r="E12" s="6">
        <v>54.712200000000003</v>
      </c>
      <c r="F12" s="6">
        <v>-126.67100000000001</v>
      </c>
      <c r="G12" s="6">
        <v>170</v>
      </c>
      <c r="H12" s="26" t="s">
        <v>22</v>
      </c>
      <c r="I12" s="6">
        <v>40.799999999999997</v>
      </c>
      <c r="J12" s="6">
        <v>481.60728</v>
      </c>
      <c r="K12" s="6">
        <v>78.565597635227192</v>
      </c>
      <c r="L12" s="6" t="s">
        <v>22</v>
      </c>
      <c r="M12" s="6">
        <v>94.627750000000006</v>
      </c>
      <c r="N12" s="6">
        <v>535.23418749999996</v>
      </c>
      <c r="O12" s="6">
        <f>Table1[[#This Row],[R1 Length (km)]]+Table1[[#This Row],[T1 Length (km)]]</f>
        <v>629.86193749999995</v>
      </c>
      <c r="P12" s="26">
        <v>230</v>
      </c>
      <c r="Q12" s="6">
        <f>(Table1[[#This Row],[Linear Features (km)]]*1)*100</f>
        <v>62986.193749999999</v>
      </c>
      <c r="R12" s="7">
        <f>((PI()*(45^2))*Table1[[#This Row],[Number of Turbines - WIND]])/10000</f>
        <v>46.44059340169111</v>
      </c>
      <c r="S12" s="8">
        <f>Table1[[#This Row],[ATG (ha)]]/Table1[[#This Row],[Linear Area (ha)]]</f>
        <v>7.3731385620822831E-4</v>
      </c>
      <c r="T12" s="26" t="s">
        <v>115</v>
      </c>
      <c r="U12" s="26">
        <v>73</v>
      </c>
      <c r="V12" s="7" t="s">
        <v>22</v>
      </c>
      <c r="W12" s="7" t="s">
        <v>22</v>
      </c>
      <c r="X12" s="31">
        <f>10169.3398221117+[1]plateau_average_sums!$B$16</f>
        <v>10213.324261543781</v>
      </c>
      <c r="Y12" s="27">
        <f>Table1[[#This Row],[Raw Terrestrial Score]]/Table1[[#This Row],[Summed Raw Scores]]</f>
        <v>0.51778314714014761</v>
      </c>
      <c r="Z12" s="31">
        <f>9303.61528894305+[2]plateau_average_sums!$B$16</f>
        <v>9511.7755566999294</v>
      </c>
      <c r="AA12" s="27">
        <f>Table1[[#This Row],[Raw Freshwater Score]]/Table1[[#This Row],[Summed Raw Scores]]</f>
        <v>0.48221685285985244</v>
      </c>
      <c r="AB12" s="27">
        <f>Table1[[#This Row],[Raw Terrestrial Score]]+Table1[[#This Row],[Raw Freshwater Score]]</f>
        <v>19725.099818243711</v>
      </c>
      <c r="AC12" s="28">
        <f>Table1[[#This Row],[Terrestrial % of Summed Score]]*Table1[[#This Row],[Scaled Summed Score]]</f>
        <v>6.0559254342348892E-2</v>
      </c>
      <c r="AD12" s="28">
        <f>Table1[[#This Row],[Freshwater % of Summed Score]]*Table1[[#This Row],[Scaled Summed Score]]</f>
        <v>5.639946607339575E-2</v>
      </c>
      <c r="AE12" s="28">
        <f>Table1[[#This Row],[Summed Raw Scores]]/MAX(Table1[Summed Raw Scores])</f>
        <v>0.11695872041574464</v>
      </c>
      <c r="AF12" s="7"/>
    </row>
    <row r="13" spans="1:32" x14ac:dyDescent="0.3">
      <c r="A13" s="26" t="s">
        <v>123</v>
      </c>
      <c r="B13" s="26" t="s">
        <v>114</v>
      </c>
      <c r="C13" s="26" t="s">
        <v>30</v>
      </c>
      <c r="D13" s="26" t="s">
        <v>250</v>
      </c>
      <c r="E13" s="6">
        <v>54.700099999999999</v>
      </c>
      <c r="F13" s="6">
        <v>-127.529</v>
      </c>
      <c r="G13" s="6">
        <v>105</v>
      </c>
      <c r="H13" s="26" t="s">
        <v>22</v>
      </c>
      <c r="I13" s="6">
        <v>25.2</v>
      </c>
      <c r="J13" s="6">
        <v>309.32873999999998</v>
      </c>
      <c r="K13" s="6">
        <v>79.891535204200608</v>
      </c>
      <c r="L13" s="6" t="s">
        <v>22</v>
      </c>
      <c r="M13" s="6">
        <v>1.0899495849600001</v>
      </c>
      <c r="N13" s="6">
        <v>24.509544921875001</v>
      </c>
      <c r="O13" s="6">
        <f>Table1[[#This Row],[R1 Length (km)]]+Table1[[#This Row],[T1 Length (km)]]</f>
        <v>25.599494506835001</v>
      </c>
      <c r="P13" s="26">
        <v>230</v>
      </c>
      <c r="Q13" s="6">
        <f>(Table1[[#This Row],[Linear Features (km)]]*1)*100</f>
        <v>2559.9494506834999</v>
      </c>
      <c r="R13" s="7">
        <f>((PI()*(45^2))*Table1[[#This Row],[Number of Turbines - WIND]])/10000</f>
        <v>28.627763055836986</v>
      </c>
      <c r="S13" s="8">
        <f>Table1[[#This Row],[ATG (ha)]]/Table1[[#This Row],[Linear Area (ha)]]</f>
        <v>1.1182940760097215E-2</v>
      </c>
      <c r="T13" s="26" t="s">
        <v>115</v>
      </c>
      <c r="U13" s="26">
        <v>45</v>
      </c>
      <c r="V13" s="7" t="s">
        <v>22</v>
      </c>
      <c r="W13" s="7" t="s">
        <v>22</v>
      </c>
      <c r="X13" s="31">
        <f>34006.0233430825+[1]plateau_average_sums!$B$17</f>
        <v>34075.525492522611</v>
      </c>
      <c r="Y13" s="27">
        <f>Table1[[#This Row],[Raw Terrestrial Score]]/Table1[[#This Row],[Summed Raw Scores]]</f>
        <v>0.52945236841388199</v>
      </c>
      <c r="Z13" s="31">
        <f>30131.6105361879+[2]plateau_average_sums!$B$17</f>
        <v>30284.419849879159</v>
      </c>
      <c r="AA13" s="27">
        <f>Table1[[#This Row],[Raw Freshwater Score]]/Table1[[#This Row],[Summed Raw Scores]]</f>
        <v>0.47054763158611801</v>
      </c>
      <c r="AB13" s="27">
        <f>Table1[[#This Row],[Raw Terrestrial Score]]+Table1[[#This Row],[Raw Freshwater Score]]</f>
        <v>64359.94534240177</v>
      </c>
      <c r="AC13" s="28">
        <f>Table1[[#This Row],[Terrestrial % of Summed Score]]*Table1[[#This Row],[Scaled Summed Score]]</f>
        <v>0.2020486535339818</v>
      </c>
      <c r="AD13" s="28">
        <f>Table1[[#This Row],[Freshwater % of Summed Score]]*Table1[[#This Row],[Scaled Summed Score]]</f>
        <v>0.17956953459363631</v>
      </c>
      <c r="AE13" s="28">
        <f>Table1[[#This Row],[Summed Raw Scores]]/MAX(Table1[Summed Raw Scores])</f>
        <v>0.38161818812761811</v>
      </c>
      <c r="AF13" s="7"/>
    </row>
    <row r="14" spans="1:32" x14ac:dyDescent="0.3">
      <c r="A14" s="26" t="s">
        <v>124</v>
      </c>
      <c r="B14" s="26" t="s">
        <v>114</v>
      </c>
      <c r="C14" s="26" t="s">
        <v>30</v>
      </c>
      <c r="D14" s="26" t="s">
        <v>250</v>
      </c>
      <c r="E14" s="6">
        <v>54.531500000000001</v>
      </c>
      <c r="F14" s="6">
        <v>-127.35899999999999</v>
      </c>
      <c r="G14" s="6">
        <v>105</v>
      </c>
      <c r="H14" s="26" t="s">
        <v>22</v>
      </c>
      <c r="I14" s="6">
        <v>25.2</v>
      </c>
      <c r="J14" s="6">
        <v>323.21771999999999</v>
      </c>
      <c r="K14" s="6">
        <v>76.87076421151724</v>
      </c>
      <c r="L14" s="6" t="s">
        <v>22</v>
      </c>
      <c r="M14" s="6">
        <v>1.80710681152</v>
      </c>
      <c r="N14" s="6">
        <v>27.706601562500001</v>
      </c>
      <c r="O14" s="6">
        <f>Table1[[#This Row],[R1 Length (km)]]+Table1[[#This Row],[T1 Length (km)]]</f>
        <v>29.513708374020002</v>
      </c>
      <c r="P14" s="26">
        <v>130</v>
      </c>
      <c r="Q14" s="6">
        <f>(Table1[[#This Row],[Linear Features (km)]]*1)*100</f>
        <v>2951.3708374020002</v>
      </c>
      <c r="R14" s="7">
        <f>((PI()*(45^2))*Table1[[#This Row],[Number of Turbines - WIND]])/10000</f>
        <v>28.627763055836986</v>
      </c>
      <c r="S14" s="8">
        <f>Table1[[#This Row],[ATG (ha)]]/Table1[[#This Row],[Linear Area (ha)]]</f>
        <v>9.6998190444400785E-3</v>
      </c>
      <c r="T14" s="26" t="s">
        <v>115</v>
      </c>
      <c r="U14" s="26">
        <v>45</v>
      </c>
      <c r="V14" s="7" t="s">
        <v>22</v>
      </c>
      <c r="W14" s="7" t="s">
        <v>22</v>
      </c>
      <c r="X14" s="31">
        <f>34891.7893618345+[1]plateau_average_sums!$B$18</f>
        <v>35261.641491056653</v>
      </c>
      <c r="Y14" s="27">
        <f>Table1[[#This Row],[Raw Terrestrial Score]]/Table1[[#This Row],[Summed Raw Scores]]</f>
        <v>0.55566511756203329</v>
      </c>
      <c r="Z14" s="31">
        <f>27856.2092149556+[2]plateau_average_sums!$B$18</f>
        <v>28196.798451630802</v>
      </c>
      <c r="AA14" s="27">
        <f>Table1[[#This Row],[Raw Freshwater Score]]/Table1[[#This Row],[Summed Raw Scores]]</f>
        <v>0.44433488243796671</v>
      </c>
      <c r="AB14" s="27">
        <f>Table1[[#This Row],[Raw Terrestrial Score]]+Table1[[#This Row],[Raw Freshwater Score]]</f>
        <v>63458.439942687459</v>
      </c>
      <c r="AC14" s="28">
        <f>Table1[[#This Row],[Terrestrial % of Summed Score]]*Table1[[#This Row],[Scaled Summed Score]]</f>
        <v>0.20908165264331344</v>
      </c>
      <c r="AD14" s="28">
        <f>Table1[[#This Row],[Freshwater % of Summed Score]]*Table1[[#This Row],[Scaled Summed Score]]</f>
        <v>0.16719111675537388</v>
      </c>
      <c r="AE14" s="28">
        <f>Table1[[#This Row],[Summed Raw Scores]]/MAX(Table1[Summed Raw Scores])</f>
        <v>0.37627276939868731</v>
      </c>
      <c r="AF14" s="7"/>
    </row>
    <row r="15" spans="1:32" x14ac:dyDescent="0.3">
      <c r="A15" s="26" t="s">
        <v>125</v>
      </c>
      <c r="B15" s="26" t="s">
        <v>114</v>
      </c>
      <c r="C15" s="26" t="s">
        <v>30</v>
      </c>
      <c r="D15" s="26" t="s">
        <v>250</v>
      </c>
      <c r="E15" s="6">
        <v>54.953699999999998</v>
      </c>
      <c r="F15" s="6">
        <v>-125.59099999999999</v>
      </c>
      <c r="G15" s="6">
        <v>220</v>
      </c>
      <c r="H15" s="26" t="s">
        <v>22</v>
      </c>
      <c r="I15" s="6">
        <v>52.8</v>
      </c>
      <c r="J15" s="6">
        <v>648.11735999999996</v>
      </c>
      <c r="K15" s="6">
        <v>83.829652025682037</v>
      </c>
      <c r="L15" s="6" t="s">
        <v>22</v>
      </c>
      <c r="M15" s="6">
        <v>0.241421356201</v>
      </c>
      <c r="N15" s="6">
        <v>32.540412109374998</v>
      </c>
      <c r="O15" s="6">
        <f>Table1[[#This Row],[R1 Length (km)]]+Table1[[#This Row],[T1 Length (km)]]</f>
        <v>32.781833465576</v>
      </c>
      <c r="P15" s="26">
        <v>130</v>
      </c>
      <c r="Q15" s="6">
        <f>(Table1[[#This Row],[Linear Features (km)]]*1)*100</f>
        <v>3278.1833465576001</v>
      </c>
      <c r="R15" s="7">
        <f>((PI()*(45^2))*Table1[[#This Row],[Number of Turbines - WIND]])/10000</f>
        <v>60.43638867343364</v>
      </c>
      <c r="S15" s="8">
        <f>Table1[[#This Row],[ATG (ha)]]/Table1[[#This Row],[Linear Area (ha)]]</f>
        <v>1.8435939141993846E-2</v>
      </c>
      <c r="T15" s="26" t="s">
        <v>115</v>
      </c>
      <c r="U15" s="26">
        <v>95</v>
      </c>
      <c r="V15" s="7" t="s">
        <v>22</v>
      </c>
      <c r="W15" s="7" t="s">
        <v>22</v>
      </c>
      <c r="X15" s="31">
        <f>20192.7240411378+[1]plateau_average_sums!$B$19</f>
        <v>20378.864250623781</v>
      </c>
      <c r="Y15" s="27">
        <f>Table1[[#This Row],[Raw Terrestrial Score]]/Table1[[#This Row],[Summed Raw Scores]]</f>
        <v>0.34760282262611991</v>
      </c>
      <c r="Z15" s="31">
        <f>37671.3920629323+[2]plateau_average_sums!$B$19</f>
        <v>38248.002173137109</v>
      </c>
      <c r="AA15" s="27">
        <f>Table1[[#This Row],[Raw Freshwater Score]]/Table1[[#This Row],[Summed Raw Scores]]</f>
        <v>0.65239717737388014</v>
      </c>
      <c r="AB15" s="27">
        <f>Table1[[#This Row],[Raw Terrestrial Score]]+Table1[[#This Row],[Raw Freshwater Score]]</f>
        <v>58626.86642376089</v>
      </c>
      <c r="AC15" s="28">
        <f>Table1[[#This Row],[Terrestrial % of Summed Score]]*Table1[[#This Row],[Scaled Summed Score]]</f>
        <v>0.12083517489095989</v>
      </c>
      <c r="AD15" s="28">
        <f>Table1[[#This Row],[Freshwater % of Summed Score]]*Table1[[#This Row],[Scaled Summed Score]]</f>
        <v>0.22678908770293074</v>
      </c>
      <c r="AE15" s="28">
        <f>Table1[[#This Row],[Summed Raw Scores]]/MAX(Table1[Summed Raw Scores])</f>
        <v>0.34762426259389062</v>
      </c>
      <c r="AF15" s="7"/>
    </row>
    <row r="16" spans="1:32" x14ac:dyDescent="0.3">
      <c r="A16" s="26" t="s">
        <v>126</v>
      </c>
      <c r="B16" s="26" t="s">
        <v>114</v>
      </c>
      <c r="C16" s="26" t="s">
        <v>30</v>
      </c>
      <c r="D16" s="26" t="s">
        <v>250</v>
      </c>
      <c r="E16" s="6">
        <v>54.610999999999997</v>
      </c>
      <c r="F16" s="6">
        <v>-126.136</v>
      </c>
      <c r="G16" s="6">
        <v>260</v>
      </c>
      <c r="H16" s="26" t="s">
        <v>22</v>
      </c>
      <c r="I16" s="6">
        <v>62.4</v>
      </c>
      <c r="J16" s="6">
        <v>765.95687999999996</v>
      </c>
      <c r="K16" s="6">
        <v>74.242169125861622</v>
      </c>
      <c r="L16" s="6" t="s">
        <v>22</v>
      </c>
      <c r="M16" s="6">
        <v>3.5213208007799999</v>
      </c>
      <c r="N16" s="6">
        <v>98.315343749999997</v>
      </c>
      <c r="O16" s="6">
        <f>Table1[[#This Row],[R1 Length (km)]]+Table1[[#This Row],[T1 Length (km)]]</f>
        <v>101.83666455078</v>
      </c>
      <c r="P16" s="26">
        <v>230</v>
      </c>
      <c r="Q16" s="6">
        <f>(Table1[[#This Row],[Linear Features (km)]]*1)*100</f>
        <v>10183.666455078001</v>
      </c>
      <c r="R16" s="7">
        <f>((PI()*(45^2))*Table1[[#This Row],[Number of Turbines - WIND]])/10000</f>
        <v>71.887493895768429</v>
      </c>
      <c r="S16" s="8">
        <f>Table1[[#This Row],[ATG (ha)]]/Table1[[#This Row],[Linear Area (ha)]]</f>
        <v>7.0590974491237706E-3</v>
      </c>
      <c r="T16" s="26" t="s">
        <v>115</v>
      </c>
      <c r="U16" s="26">
        <v>113</v>
      </c>
      <c r="V16" s="7" t="s">
        <v>22</v>
      </c>
      <c r="W16" s="7" t="s">
        <v>22</v>
      </c>
      <c r="X16" s="31">
        <f>10257.2565238923+[1]plateau_average_sums!$B$20</f>
        <v>10291.198391443786</v>
      </c>
      <c r="Y16" s="27">
        <f>Table1[[#This Row],[Raw Terrestrial Score]]/Table1[[#This Row],[Summed Raw Scores]]</f>
        <v>0.35084987836442588</v>
      </c>
      <c r="Z16" s="31">
        <f>18722.5802898407+[2]plateau_average_sums!$B$20</f>
        <v>19041.000437920986</v>
      </c>
      <c r="AA16" s="27">
        <f>Table1[[#This Row],[Raw Freshwater Score]]/Table1[[#This Row],[Summed Raw Scores]]</f>
        <v>0.64915012163557406</v>
      </c>
      <c r="AB16" s="27">
        <f>Table1[[#This Row],[Raw Terrestrial Score]]+Table1[[#This Row],[Raw Freshwater Score]]</f>
        <v>29332.198829364774</v>
      </c>
      <c r="AC16" s="28">
        <f>Table1[[#This Row],[Terrestrial % of Summed Score]]*Table1[[#This Row],[Scaled Summed Score]]</f>
        <v>6.1021004025266584E-2</v>
      </c>
      <c r="AD16" s="28">
        <f>Table1[[#This Row],[Freshwater % of Summed Score]]*Table1[[#This Row],[Scaled Summed Score]]</f>
        <v>0.11290239680283458</v>
      </c>
      <c r="AE16" s="28">
        <f>Table1[[#This Row],[Summed Raw Scores]]/MAX(Table1[Summed Raw Scores])</f>
        <v>0.17392340082810118</v>
      </c>
      <c r="AF16" s="7"/>
    </row>
    <row r="17" spans="1:32" x14ac:dyDescent="0.3">
      <c r="A17" s="26" t="s">
        <v>127</v>
      </c>
      <c r="B17" s="26" t="s">
        <v>114</v>
      </c>
      <c r="C17" s="26" t="s">
        <v>30</v>
      </c>
      <c r="D17" s="26" t="s">
        <v>250</v>
      </c>
      <c r="E17" s="6">
        <v>55.331899999999997</v>
      </c>
      <c r="F17" s="6">
        <v>-126.911</v>
      </c>
      <c r="G17" s="6">
        <v>105</v>
      </c>
      <c r="H17" s="26" t="s">
        <v>22</v>
      </c>
      <c r="I17" s="6">
        <v>25.2</v>
      </c>
      <c r="J17" s="6">
        <v>309.32873999999998</v>
      </c>
      <c r="K17" s="6">
        <v>84.230430873324536</v>
      </c>
      <c r="L17" s="6" t="s">
        <v>22</v>
      </c>
      <c r="M17" s="6">
        <v>14.226689453100001</v>
      </c>
      <c r="N17" s="6">
        <v>45.149242187500001</v>
      </c>
      <c r="O17" s="6">
        <f>Table1[[#This Row],[R1 Length (km)]]+Table1[[#This Row],[T1 Length (km)]]</f>
        <v>59.375931640600001</v>
      </c>
      <c r="P17" s="26">
        <v>230</v>
      </c>
      <c r="Q17" s="6">
        <f>(Table1[[#This Row],[Linear Features (km)]]*1)*100</f>
        <v>5937.5931640600002</v>
      </c>
      <c r="R17" s="7">
        <f>((PI()*(45^2))*Table1[[#This Row],[Number of Turbines - WIND]])/10000</f>
        <v>28.627763055836986</v>
      </c>
      <c r="S17" s="8">
        <f>Table1[[#This Row],[ATG (ha)]]/Table1[[#This Row],[Linear Area (ha)]]</f>
        <v>4.8214423361168665E-3</v>
      </c>
      <c r="T17" s="26" t="s">
        <v>115</v>
      </c>
      <c r="U17" s="26">
        <v>45</v>
      </c>
      <c r="V17" s="7" t="s">
        <v>22</v>
      </c>
      <c r="W17" s="7" t="s">
        <v>22</v>
      </c>
      <c r="X17" s="31">
        <f>21710.6640751678+[1]plateau_average_sums!$B$21</f>
        <v>21743.268773406937</v>
      </c>
      <c r="Y17" s="27">
        <f>Table1[[#This Row],[Raw Terrestrial Score]]/Table1[[#This Row],[Summed Raw Scores]]</f>
        <v>0.38693351853344049</v>
      </c>
      <c r="Z17" s="31">
        <f>34289.8514208794+[2]plateau_average_sums!$B$21</f>
        <v>34450.541615050766</v>
      </c>
      <c r="AA17" s="27">
        <f>Table1[[#This Row],[Raw Freshwater Score]]/Table1[[#This Row],[Summed Raw Scores]]</f>
        <v>0.61306648146655962</v>
      </c>
      <c r="AB17" s="27">
        <f>Table1[[#This Row],[Raw Terrestrial Score]]+Table1[[#This Row],[Raw Freshwater Score]]</f>
        <v>56193.810388457699</v>
      </c>
      <c r="AC17" s="28">
        <f>Table1[[#This Row],[Terrestrial % of Summed Score]]*Table1[[#This Row],[Scaled Summed Score]]</f>
        <v>0.12892532442554316</v>
      </c>
      <c r="AD17" s="28">
        <f>Table1[[#This Row],[Freshwater % of Summed Score]]*Table1[[#This Row],[Scaled Summed Score]]</f>
        <v>0.20427228769706979</v>
      </c>
      <c r="AE17" s="28">
        <f>Table1[[#This Row],[Summed Raw Scores]]/MAX(Table1[Summed Raw Scores])</f>
        <v>0.3331976121226129</v>
      </c>
      <c r="AF17" s="7"/>
    </row>
    <row r="18" spans="1:32" x14ac:dyDescent="0.3">
      <c r="A18" s="26" t="s">
        <v>128</v>
      </c>
      <c r="B18" s="26" t="s">
        <v>114</v>
      </c>
      <c r="C18" s="26" t="s">
        <v>59</v>
      </c>
      <c r="D18" s="26"/>
      <c r="E18" s="6">
        <v>51.829300000000003</v>
      </c>
      <c r="F18" s="6">
        <v>-124.224</v>
      </c>
      <c r="G18" s="6">
        <v>130</v>
      </c>
      <c r="H18" s="26" t="s">
        <v>22</v>
      </c>
      <c r="I18" s="6">
        <v>31.2</v>
      </c>
      <c r="J18" s="6">
        <v>342.32327999999995</v>
      </c>
      <c r="K18" s="6">
        <v>117.50848183458334</v>
      </c>
      <c r="L18" s="6" t="s">
        <v>22</v>
      </c>
      <c r="M18" s="6">
        <v>5.2455844726600001</v>
      </c>
      <c r="N18" s="6">
        <v>48.727921875</v>
      </c>
      <c r="O18" s="6">
        <f>Table1[[#This Row],[R1 Length (km)]]+Table1[[#This Row],[T1 Length (km)]]</f>
        <v>53.973506347659999</v>
      </c>
      <c r="P18" s="26">
        <v>130</v>
      </c>
      <c r="Q18" s="6">
        <f>(Table1[[#This Row],[Linear Features (km)]]*1)*100</f>
        <v>5397.3506347659995</v>
      </c>
      <c r="R18" s="7">
        <f>((PI()*(45^2))*Table1[[#This Row],[Number of Turbines - WIND]])/10000</f>
        <v>36.261833204060189</v>
      </c>
      <c r="S18" s="8">
        <f>Table1[[#This Row],[ATG (ha)]]/Table1[[#This Row],[Linear Area (ha)]]</f>
        <v>6.7184505246864158E-3</v>
      </c>
      <c r="T18" s="26" t="s">
        <v>115</v>
      </c>
      <c r="U18" s="26">
        <v>57</v>
      </c>
      <c r="V18" s="7" t="s">
        <v>22</v>
      </c>
      <c r="W18" s="7" t="s">
        <v>22</v>
      </c>
      <c r="X18" s="31">
        <f>80735.5879403651+[1]plateau_average_sums!$B$22</f>
        <v>81058.963124862639</v>
      </c>
      <c r="Y18" s="27">
        <f>Table1[[#This Row],[Raw Terrestrial Score]]/Table1[[#This Row],[Summed Raw Scores]]</f>
        <v>0.54973513044836786</v>
      </c>
      <c r="Z18" s="31">
        <f>66254.7256709635+[2]plateau_average_sums!$B$22</f>
        <v>66391.979402223791</v>
      </c>
      <c r="AA18" s="27">
        <f>Table1[[#This Row],[Raw Freshwater Score]]/Table1[[#This Row],[Summed Raw Scores]]</f>
        <v>0.45026486955163225</v>
      </c>
      <c r="AB18" s="27">
        <f>Table1[[#This Row],[Raw Terrestrial Score]]+Table1[[#This Row],[Raw Freshwater Score]]</f>
        <v>147450.94252708642</v>
      </c>
      <c r="AC18" s="28">
        <f>Table1[[#This Row],[Terrestrial % of Summed Score]]*Table1[[#This Row],[Scaled Summed Score]]</f>
        <v>0.48063394825218664</v>
      </c>
      <c r="AD18" s="28">
        <f>Table1[[#This Row],[Freshwater % of Summed Score]]*Table1[[#This Row],[Scaled Summed Score]]</f>
        <v>0.39366700439054925</v>
      </c>
      <c r="AE18" s="28">
        <f>Table1[[#This Row],[Summed Raw Scores]]/MAX(Table1[Summed Raw Scores])</f>
        <v>0.87430095264273577</v>
      </c>
      <c r="AF18" s="7"/>
    </row>
    <row r="19" spans="1:32" x14ac:dyDescent="0.3">
      <c r="A19" s="26" t="s">
        <v>129</v>
      </c>
      <c r="B19" s="26" t="s">
        <v>114</v>
      </c>
      <c r="C19" s="26" t="s">
        <v>59</v>
      </c>
      <c r="D19" s="26"/>
      <c r="E19" s="6">
        <v>51.5627</v>
      </c>
      <c r="F19" s="6">
        <v>-123.431</v>
      </c>
      <c r="G19" s="6">
        <v>160</v>
      </c>
      <c r="H19" s="26" t="s">
        <v>22</v>
      </c>
      <c r="I19" s="6">
        <v>38.4</v>
      </c>
      <c r="J19" s="6">
        <v>471.35807999999997</v>
      </c>
      <c r="K19" s="6">
        <v>92.683466422761668</v>
      </c>
      <c r="L19" s="6" t="s">
        <v>22</v>
      </c>
      <c r="M19" s="6">
        <v>3.57989916992</v>
      </c>
      <c r="N19" s="6">
        <v>159.10723437499999</v>
      </c>
      <c r="O19" s="6">
        <f>Table1[[#This Row],[R1 Length (km)]]+Table1[[#This Row],[T1 Length (km)]]</f>
        <v>162.68713354491999</v>
      </c>
      <c r="P19" s="26">
        <v>230</v>
      </c>
      <c r="Q19" s="6">
        <f>(Table1[[#This Row],[Linear Features (km)]]*1)*100</f>
        <v>16268.713354491998</v>
      </c>
      <c r="R19" s="7">
        <f>((PI()*(45^2))*Table1[[#This Row],[Number of Turbines - WIND]])/10000</f>
        <v>43.895903352283383</v>
      </c>
      <c r="S19" s="8">
        <f>Table1[[#This Row],[ATG (ha)]]/Table1[[#This Row],[Linear Area (ha)]]</f>
        <v>2.698179161178912E-3</v>
      </c>
      <c r="T19" s="26" t="s">
        <v>115</v>
      </c>
      <c r="U19" s="26">
        <v>69</v>
      </c>
      <c r="V19" s="7" t="s">
        <v>22</v>
      </c>
      <c r="W19" s="7" t="s">
        <v>22</v>
      </c>
      <c r="X19" s="31">
        <f>51019.4646387994+[1]plateau_average_sums!$B$23</f>
        <v>51384.563686177702</v>
      </c>
      <c r="Y19" s="27">
        <f>Table1[[#This Row],[Raw Terrestrial Score]]/Table1[[#This Row],[Summed Raw Scores]]</f>
        <v>0.54280448879180931</v>
      </c>
      <c r="Z19" s="31">
        <f>43085.99873963+[2]plateau_average_sums!$B$23</f>
        <v>43280.393489381087</v>
      </c>
      <c r="AA19" s="27">
        <f>Table1[[#This Row],[Raw Freshwater Score]]/Table1[[#This Row],[Summed Raw Scores]]</f>
        <v>0.4571955112081908</v>
      </c>
      <c r="AB19" s="27">
        <f>Table1[[#This Row],[Raw Terrestrial Score]]+Table1[[#This Row],[Raw Freshwater Score]]</f>
        <v>94664.957175558782</v>
      </c>
      <c r="AC19" s="28">
        <f>Table1[[#This Row],[Terrestrial % of Summed Score]]*Table1[[#This Row],[Scaled Summed Score]]</f>
        <v>0.30468149075211071</v>
      </c>
      <c r="AD19" s="28">
        <f>Table1[[#This Row],[Freshwater % of Summed Score]]*Table1[[#This Row],[Scaled Summed Score]]</f>
        <v>0.25662833081970432</v>
      </c>
      <c r="AE19" s="28">
        <f>Table1[[#This Row],[Summed Raw Scores]]/MAX(Table1[Summed Raw Scores])</f>
        <v>0.56130982157181497</v>
      </c>
      <c r="AF19" s="7"/>
    </row>
    <row r="20" spans="1:32" x14ac:dyDescent="0.3">
      <c r="A20" s="26" t="s">
        <v>130</v>
      </c>
      <c r="B20" s="26" t="s">
        <v>114</v>
      </c>
      <c r="C20" s="26" t="s">
        <v>25</v>
      </c>
      <c r="D20" s="26"/>
      <c r="E20" s="6">
        <v>51.816400000000002</v>
      </c>
      <c r="F20" s="6">
        <v>-120.271</v>
      </c>
      <c r="G20" s="6">
        <v>165</v>
      </c>
      <c r="H20" s="26" t="s">
        <v>22</v>
      </c>
      <c r="I20" s="6">
        <v>39.6</v>
      </c>
      <c r="J20" s="6">
        <v>414.82979999999998</v>
      </c>
      <c r="K20" s="6">
        <v>98.213081982336419</v>
      </c>
      <c r="L20" s="6" t="s">
        <v>22</v>
      </c>
      <c r="M20" s="6">
        <v>2.1313708496099997</v>
      </c>
      <c r="N20" s="6">
        <v>121.614546875</v>
      </c>
      <c r="O20" s="6">
        <f>Table1[[#This Row],[R1 Length (km)]]+Table1[[#This Row],[T1 Length (km)]]</f>
        <v>123.74591772461</v>
      </c>
      <c r="P20" s="26">
        <v>230</v>
      </c>
      <c r="Q20" s="6">
        <f>(Table1[[#This Row],[Linear Features (km)]]*1)*100</f>
        <v>12374.591772460999</v>
      </c>
      <c r="R20" s="7">
        <f>((PI()*(45^2))*Table1[[#This Row],[Number of Turbines - WIND]])/10000</f>
        <v>45.168248376987243</v>
      </c>
      <c r="S20" s="8">
        <f>Table1[[#This Row],[ATG (ha)]]/Table1[[#This Row],[Linear Area (ha)]]</f>
        <v>3.6500798739483912E-3</v>
      </c>
      <c r="T20" s="26" t="s">
        <v>115</v>
      </c>
      <c r="U20" s="26">
        <f>17+24+30</f>
        <v>71</v>
      </c>
      <c r="V20" s="7" t="s">
        <v>22</v>
      </c>
      <c r="W20" s="7" t="s">
        <v>22</v>
      </c>
      <c r="X20" s="31">
        <f>33973.7922523189+[1]plateau_average_sums!$B$24+[1]plateau_average_sums!$B$25+[1]plateau_average_sums!$B$26</f>
        <v>34066.088633519706</v>
      </c>
      <c r="Y20" s="27">
        <f>Table1[[#This Row],[Raw Terrestrial Score]]/Table1[[#This Row],[Summed Raw Scores]]</f>
        <v>0.5782006910767602</v>
      </c>
      <c r="Z20" s="31">
        <f>24575.0393538475+[2]plateau_average_sums!$B$24+[2]plateau_average_sums!$B$25+[2]plateau_average_sums!$B$26</f>
        <v>24851.323883023259</v>
      </c>
      <c r="AA20" s="27">
        <f>Table1[[#This Row],[Raw Freshwater Score]]/Table1[[#This Row],[Summed Raw Scores]]</f>
        <v>0.42179930892323975</v>
      </c>
      <c r="AB20" s="27">
        <f>Table1[[#This Row],[Raw Terrestrial Score]]+Table1[[#This Row],[Raw Freshwater Score]]</f>
        <v>58917.412516542965</v>
      </c>
      <c r="AC20" s="28">
        <f>Table1[[#This Row],[Terrestrial % of Summed Score]]*Table1[[#This Row],[Scaled Summed Score]]</f>
        <v>0.20199269828083258</v>
      </c>
      <c r="AD20" s="28">
        <f>Table1[[#This Row],[Freshwater % of Summed Score]]*Table1[[#This Row],[Scaled Summed Score]]</f>
        <v>0.14735433882607502</v>
      </c>
      <c r="AE20" s="28">
        <f>Table1[[#This Row],[Summed Raw Scores]]/MAX(Table1[Summed Raw Scores])</f>
        <v>0.34934703710690762</v>
      </c>
      <c r="AF20" s="7"/>
    </row>
    <row r="21" spans="1:32" hidden="1" x14ac:dyDescent="0.3">
      <c r="A21" s="26" t="s">
        <v>416</v>
      </c>
      <c r="B21" s="26" t="s">
        <v>42</v>
      </c>
      <c r="C21" s="26" t="s">
        <v>32</v>
      </c>
      <c r="D21" s="26"/>
      <c r="E21" s="6">
        <v>49.43853</v>
      </c>
      <c r="F21" s="6">
        <v>-122.22681</v>
      </c>
      <c r="G21" s="6">
        <v>1000</v>
      </c>
      <c r="H21" s="26" t="s">
        <v>22</v>
      </c>
      <c r="I21" s="6">
        <v>1000</v>
      </c>
      <c r="J21" s="26" t="s">
        <v>22</v>
      </c>
      <c r="K21" s="26" t="s">
        <v>22</v>
      </c>
      <c r="L21" s="6"/>
      <c r="M21" s="5">
        <v>0</v>
      </c>
      <c r="N21" s="5">
        <v>43.6</v>
      </c>
      <c r="O21" s="6">
        <f>Table1[[#This Row],[R1 Length (km)]]+Table1[[#This Row],[T1 Length (km)]]</f>
        <v>43.6</v>
      </c>
      <c r="P21" s="5">
        <v>500</v>
      </c>
      <c r="Q21" s="6">
        <f>(Table1[[#This Row],[Linear Features (km)]]*1)*100</f>
        <v>4360</v>
      </c>
      <c r="R21" s="7">
        <v>25.1</v>
      </c>
      <c r="S21" s="8">
        <f>Table1[[#This Row],[ATG (ha)]]/Table1[[#This Row],[Linear Area (ha)]]</f>
        <v>5.7568807339449541E-3</v>
      </c>
      <c r="T21" s="9" t="s">
        <v>22</v>
      </c>
      <c r="U21" s="9" t="s">
        <v>22</v>
      </c>
      <c r="V21" s="9" t="s">
        <v>22</v>
      </c>
      <c r="W21" s="9" t="s">
        <v>22</v>
      </c>
      <c r="X21" s="31">
        <v>15180.9986935258</v>
      </c>
      <c r="Y21" s="27">
        <f>Table1[[#This Row],[Raw Terrestrial Score]]/Table1[[#This Row],[Summed Raw Scores]]</f>
        <v>0.36140804051850917</v>
      </c>
      <c r="Z21" s="31">
        <v>26824.150588005799</v>
      </c>
      <c r="AA21" s="27">
        <f>Table1[[#This Row],[Raw Freshwater Score]]/Table1[[#This Row],[Summed Raw Scores]]</f>
        <v>0.63859195948149072</v>
      </c>
      <c r="AB21" s="27">
        <f>Table1[[#This Row],[Raw Terrestrial Score]]+Table1[[#This Row],[Raw Freshwater Score]]</f>
        <v>42005.149281531601</v>
      </c>
      <c r="AC21" s="28">
        <f>Table1[[#This Row],[Terrestrial % of Summed Score]]*Table1[[#This Row],[Scaled Summed Score]]</f>
        <v>9.001476282445299E-2</v>
      </c>
      <c r="AD21" s="28">
        <f>Table1[[#This Row],[Freshwater % of Summed Score]]*Table1[[#This Row],[Scaled Summed Score]]</f>
        <v>0.15905208885740094</v>
      </c>
      <c r="AE21" s="28">
        <f>Table1[[#This Row],[Summed Raw Scores]]/MAX(Table1[Summed Raw Scores])</f>
        <v>0.24906685168185397</v>
      </c>
      <c r="AF21" s="7"/>
    </row>
    <row r="22" spans="1:32" hidden="1" x14ac:dyDescent="0.3">
      <c r="A22" s="26" t="s">
        <v>41</v>
      </c>
      <c r="B22" s="26" t="s">
        <v>42</v>
      </c>
      <c r="C22" s="26" t="s">
        <v>21</v>
      </c>
      <c r="D22" s="26" t="s">
        <v>250</v>
      </c>
      <c r="E22" s="10">
        <v>49.326725104700003</v>
      </c>
      <c r="F22" s="10">
        <v>-125.058627449</v>
      </c>
      <c r="G22" s="6">
        <v>1000</v>
      </c>
      <c r="H22" s="26" t="s">
        <v>22</v>
      </c>
      <c r="I22" s="7">
        <v>495</v>
      </c>
      <c r="J22" s="26" t="s">
        <v>22</v>
      </c>
      <c r="K22" s="26" t="s">
        <v>22</v>
      </c>
      <c r="L22" s="11">
        <v>181.76816646464647</v>
      </c>
      <c r="M22" s="6">
        <v>4.14558496094</v>
      </c>
      <c r="N22" s="6">
        <v>78.547015625</v>
      </c>
      <c r="O22" s="6">
        <f>Table1[[#This Row],[R1 Length (km)]]+Table1[[#This Row],[T1 Length (km)]]</f>
        <v>82.692600585939999</v>
      </c>
      <c r="P22" s="26">
        <v>230</v>
      </c>
      <c r="Q22" s="6">
        <f>(Table1[[#This Row],[Linear Features (km)]]*1)*100</f>
        <v>8269.2600585939999</v>
      </c>
      <c r="R22" s="7">
        <v>46.3</v>
      </c>
      <c r="S22" s="8">
        <f>Table1[[#This Row],[ATG (ha)]]/Table1[[#This Row],[Linear Area (ha)]]</f>
        <v>5.5990499357777192E-3</v>
      </c>
      <c r="T22" s="9" t="s">
        <v>22</v>
      </c>
      <c r="U22" s="9" t="s">
        <v>22</v>
      </c>
      <c r="V22" s="7" t="s">
        <v>22</v>
      </c>
      <c r="W22" s="7" t="s">
        <v>22</v>
      </c>
      <c r="X22" s="31">
        <v>10473.7647619331</v>
      </c>
      <c r="Y22" s="27">
        <f>Table1[[#This Row],[Raw Terrestrial Score]]/Table1[[#This Row],[Summed Raw Scores]]</f>
        <v>0.47154812551297026</v>
      </c>
      <c r="Z22" s="31">
        <v>11737.6791931018</v>
      </c>
      <c r="AA22" s="27">
        <f>Table1[[#This Row],[Raw Freshwater Score]]/Table1[[#This Row],[Summed Raw Scores]]</f>
        <v>0.52845187448702979</v>
      </c>
      <c r="AB22" s="27">
        <f>Table1[[#This Row],[Raw Terrestrial Score]]+Table1[[#This Row],[Raw Freshwater Score]]</f>
        <v>22211.443955034898</v>
      </c>
      <c r="AC22" s="28">
        <f>Table1[[#This Row],[Terrestrial % of Summed Score]]*Table1[[#This Row],[Scaled Summed Score]]</f>
        <v>6.2103519666765535E-2</v>
      </c>
      <c r="AD22" s="28">
        <f>Table1[[#This Row],[Freshwater % of Summed Score]]*Table1[[#This Row],[Scaled Summed Score]]</f>
        <v>6.9597819616911333E-2</v>
      </c>
      <c r="AE22" s="28">
        <f>Table1[[#This Row],[Summed Raw Scores]]/MAX(Table1[Summed Raw Scores])</f>
        <v>0.13170133928367686</v>
      </c>
      <c r="AF22" s="7"/>
    </row>
    <row r="23" spans="1:32" hidden="1" x14ac:dyDescent="0.3">
      <c r="A23" s="26" t="s">
        <v>23</v>
      </c>
      <c r="B23" s="26" t="s">
        <v>24</v>
      </c>
      <c r="C23" s="26" t="s">
        <v>25</v>
      </c>
      <c r="D23" s="26" t="s">
        <v>250</v>
      </c>
      <c r="E23" s="12">
        <v>52.673324999999998</v>
      </c>
      <c r="F23" s="12">
        <v>-119.05634499999999</v>
      </c>
      <c r="G23" s="6">
        <v>14.3</v>
      </c>
      <c r="H23" s="6">
        <v>52</v>
      </c>
      <c r="I23" s="6" t="s">
        <v>22</v>
      </c>
      <c r="J23" s="13">
        <v>385.16461135371998</v>
      </c>
      <c r="K23" s="11">
        <v>88.585188657271829</v>
      </c>
      <c r="L23" s="6" t="s">
        <v>22</v>
      </c>
      <c r="M23" s="6">
        <v>0</v>
      </c>
      <c r="N23" s="7">
        <v>21.552185546874998</v>
      </c>
      <c r="O23" s="7">
        <f>Table1[[#This Row],[R1 Length (km)]]+Table1[[#This Row],[T1 Length (km)]]</f>
        <v>21.552185546874998</v>
      </c>
      <c r="P23" s="9">
        <v>25</v>
      </c>
      <c r="Q23" s="7">
        <f>(Table1[[#This Row],[Linear Features (km)]]*1)*100</f>
        <v>2155.2185546874998</v>
      </c>
      <c r="R23" s="7">
        <v>15.6</v>
      </c>
      <c r="S23" s="8">
        <f>Table1[[#This Row],[ATG (ha)]]/Table1[[#This Row],[Linear Area (ha)]]</f>
        <v>7.238245033697732E-3</v>
      </c>
      <c r="T23" s="9" t="s">
        <v>22</v>
      </c>
      <c r="U23" s="9" t="s">
        <v>22</v>
      </c>
      <c r="V23" s="7" t="s">
        <v>22</v>
      </c>
      <c r="W23" s="7" t="s">
        <v>22</v>
      </c>
      <c r="X23" s="31">
        <v>6571.4460801035202</v>
      </c>
      <c r="Y23" s="27">
        <f>Table1[[#This Row],[Raw Terrestrial Score]]/Table1[[#This Row],[Summed Raw Scores]]</f>
        <v>0.94090692872342963</v>
      </c>
      <c r="Z23" s="31">
        <v>412.715561706573</v>
      </c>
      <c r="AA23" s="27">
        <f>Table1[[#This Row],[Raw Freshwater Score]]/Table1[[#This Row],[Summed Raw Scores]]</f>
        <v>5.909307127657043E-2</v>
      </c>
      <c r="AB23" s="27">
        <f>Table1[[#This Row],[Raw Terrestrial Score]]+Table1[[#This Row],[Raw Freshwater Score]]</f>
        <v>6984.161641810093</v>
      </c>
      <c r="AC23" s="28">
        <f>Table1[[#This Row],[Terrestrial % of Summed Score]]*Table1[[#This Row],[Scaled Summed Score]]</f>
        <v>3.8964970108749615E-2</v>
      </c>
      <c r="AD23" s="28">
        <f>Table1[[#This Row],[Freshwater % of Summed Score]]*Table1[[#This Row],[Scaled Summed Score]]</f>
        <v>2.4471705815258078E-3</v>
      </c>
      <c r="AE23" s="28">
        <f>Table1[[#This Row],[Summed Raw Scores]]/MAX(Table1[Summed Raw Scores])</f>
        <v>4.141214069027542E-2</v>
      </c>
      <c r="AF23" s="7"/>
    </row>
    <row r="24" spans="1:32" hidden="1" x14ac:dyDescent="0.3">
      <c r="A24" s="26" t="s">
        <v>99</v>
      </c>
      <c r="B24" s="26" t="s">
        <v>97</v>
      </c>
      <c r="C24" s="26" t="s">
        <v>21</v>
      </c>
      <c r="D24" s="26" t="s">
        <v>250</v>
      </c>
      <c r="E24" s="12">
        <v>48.88</v>
      </c>
      <c r="F24" s="12">
        <v>-123.8</v>
      </c>
      <c r="G24" s="6">
        <v>40.1</v>
      </c>
      <c r="H24" s="6">
        <v>40</v>
      </c>
      <c r="I24" s="6">
        <v>21</v>
      </c>
      <c r="J24" s="11">
        <v>113.7</v>
      </c>
      <c r="K24" s="11">
        <v>91.427448071216631</v>
      </c>
      <c r="L24" s="6" t="s">
        <v>22</v>
      </c>
      <c r="M24" s="6">
        <v>0.3</v>
      </c>
      <c r="N24" s="6">
        <v>8</v>
      </c>
      <c r="O24" s="6">
        <f>Table1[[#This Row],[R1 Length (km)]]+Table1[[#This Row],[T1 Length (km)]]</f>
        <v>8.3000000000000007</v>
      </c>
      <c r="P24" s="26">
        <v>69</v>
      </c>
      <c r="Q24" s="6">
        <f>(Table1[[#This Row],[Linear Features (km)]]*1)*100</f>
        <v>830.00000000000011</v>
      </c>
      <c r="R24" s="7">
        <v>7.99</v>
      </c>
      <c r="S24" s="8">
        <f>Table1[[#This Row],[ATG (ha)]]/Table1[[#This Row],[Linear Area (ha)]]</f>
        <v>9.6265060240963846E-3</v>
      </c>
      <c r="T24" s="9" t="s">
        <v>22</v>
      </c>
      <c r="U24" s="9" t="s">
        <v>22</v>
      </c>
      <c r="V24" s="7" t="s">
        <v>22</v>
      </c>
      <c r="W24" s="7" t="s">
        <v>22</v>
      </c>
      <c r="X24" s="31">
        <v>106.8677475648</v>
      </c>
      <c r="Y24" s="27">
        <f>Table1[[#This Row],[Raw Terrestrial Score]]/Table1[[#This Row],[Summed Raw Scores]]</f>
        <v>0.10466860829697446</v>
      </c>
      <c r="Z24" s="31">
        <v>914.14274740219105</v>
      </c>
      <c r="AA24" s="27">
        <f>Table1[[#This Row],[Raw Freshwater Score]]/Table1[[#This Row],[Summed Raw Scores]]</f>
        <v>0.89533139170302556</v>
      </c>
      <c r="AB24" s="27">
        <f>Table1[[#This Row],[Raw Terrestrial Score]]+Table1[[#This Row],[Raw Freshwater Score]]</f>
        <v>1021.010494966991</v>
      </c>
      <c r="AC24" s="28">
        <f>Table1[[#This Row],[Terrestrial % of Summed Score]]*Table1[[#This Row],[Scaled Summed Score]]</f>
        <v>6.3366548834046491E-4</v>
      </c>
      <c r="AD24" s="28">
        <f>Table1[[#This Row],[Freshwater % of Summed Score]]*Table1[[#This Row],[Scaled Summed Score]]</f>
        <v>5.4203510754661033E-3</v>
      </c>
      <c r="AE24" s="28">
        <f>Table1[[#This Row],[Summed Raw Scores]]/MAX(Table1[Summed Raw Scores])</f>
        <v>6.054016563806568E-3</v>
      </c>
      <c r="AF24" s="7"/>
    </row>
    <row r="25" spans="1:32" hidden="1" x14ac:dyDescent="0.3">
      <c r="A25" s="26" t="s">
        <v>26</v>
      </c>
      <c r="B25" s="26" t="s">
        <v>24</v>
      </c>
      <c r="C25" s="26" t="s">
        <v>27</v>
      </c>
      <c r="D25" s="26" t="s">
        <v>250</v>
      </c>
      <c r="E25" s="6">
        <v>58.721628000000003</v>
      </c>
      <c r="F25" s="6">
        <v>-122.531644</v>
      </c>
      <c r="G25" s="6">
        <v>18.399999999999999</v>
      </c>
      <c r="H25" s="6">
        <v>14</v>
      </c>
      <c r="I25" s="6" t="s">
        <v>22</v>
      </c>
      <c r="J25" s="6">
        <v>104</v>
      </c>
      <c r="K25" s="6">
        <v>187.25</v>
      </c>
      <c r="L25" s="6" t="s">
        <v>22</v>
      </c>
      <c r="M25" s="6">
        <v>0</v>
      </c>
      <c r="N25" s="6">
        <v>338.25099999999998</v>
      </c>
      <c r="O25" s="6">
        <f>Table1[[#This Row],[R1 Length (km)]]+Table1[[#This Row],[T1 Length (km)]]</f>
        <v>338.25099999999998</v>
      </c>
      <c r="P25" s="26">
        <v>230</v>
      </c>
      <c r="Q25" s="6">
        <f>(Table1[[#This Row],[Linear Features (km)]]*1)*100</f>
        <v>33825.1</v>
      </c>
      <c r="R25" s="7">
        <v>4.2</v>
      </c>
      <c r="S25" s="8">
        <f>Table1[[#This Row],[ATG (ha)]]/Table1[[#This Row],[Linear Area (ha)]]</f>
        <v>1.2416814732255042E-4</v>
      </c>
      <c r="T25" s="9" t="s">
        <v>22</v>
      </c>
      <c r="U25" s="9" t="s">
        <v>22</v>
      </c>
      <c r="V25" s="7" t="s">
        <v>22</v>
      </c>
      <c r="W25" s="7" t="s">
        <v>22</v>
      </c>
      <c r="X25" s="31">
        <v>52952.745726510002</v>
      </c>
      <c r="Y25" s="27">
        <f>Table1[[#This Row],[Raw Terrestrial Score]]/Table1[[#This Row],[Summed Raw Scores]]</f>
        <v>0.51812546553863936</v>
      </c>
      <c r="Z25" s="31">
        <v>49247.877961153601</v>
      </c>
      <c r="AA25" s="27">
        <f>Table1[[#This Row],[Raw Freshwater Score]]/Table1[[#This Row],[Summed Raw Scores]]</f>
        <v>0.48187453446136058</v>
      </c>
      <c r="AB25" s="27">
        <f>Table1[[#This Row],[Raw Terrestrial Score]]+Table1[[#This Row],[Raw Freshwater Score]]</f>
        <v>102200.62368766361</v>
      </c>
      <c r="AC25" s="28">
        <f>Table1[[#This Row],[Terrestrial % of Summed Score]]*Table1[[#This Row],[Scaled Summed Score]]</f>
        <v>0.31397992607088054</v>
      </c>
      <c r="AD25" s="28">
        <f>Table1[[#This Row],[Freshwater % of Summed Score]]*Table1[[#This Row],[Scaled Summed Score]]</f>
        <v>0.29201214911976725</v>
      </c>
      <c r="AE25" s="28">
        <f>Table1[[#This Row],[Summed Raw Scores]]/MAX(Table1[Summed Raw Scores])</f>
        <v>0.60599207519064779</v>
      </c>
      <c r="AF25" s="7"/>
    </row>
    <row r="26" spans="1:32" hidden="1" x14ac:dyDescent="0.3">
      <c r="A26" s="26" t="s">
        <v>415</v>
      </c>
      <c r="B26" s="26" t="s">
        <v>42</v>
      </c>
      <c r="C26" s="26" t="s">
        <v>30</v>
      </c>
      <c r="D26" s="26"/>
      <c r="E26" s="6">
        <v>54.2049083</v>
      </c>
      <c r="F26" s="6">
        <v>-130.168269799999</v>
      </c>
      <c r="G26" s="6">
        <v>500</v>
      </c>
      <c r="H26" s="26" t="s">
        <v>22</v>
      </c>
      <c r="I26" s="6">
        <v>500</v>
      </c>
      <c r="J26" s="26" t="s">
        <v>22</v>
      </c>
      <c r="K26" s="26" t="s">
        <v>22</v>
      </c>
      <c r="L26" s="6"/>
      <c r="M26" s="5">
        <v>1.9</v>
      </c>
      <c r="N26" s="5">
        <v>64.099999999999994</v>
      </c>
      <c r="O26" s="6">
        <f>Table1[[#This Row],[R1 Length (km)]]+Table1[[#This Row],[T1 Length (km)]]</f>
        <v>66</v>
      </c>
      <c r="P26" s="5">
        <v>500</v>
      </c>
      <c r="Q26" s="6">
        <f>(Table1[[#This Row],[Linear Features (km)]]*1)*100</f>
        <v>6600</v>
      </c>
      <c r="R26" s="7">
        <v>53.7</v>
      </c>
      <c r="S26" s="8">
        <f>Table1[[#This Row],[ATG (ha)]]/Table1[[#This Row],[Linear Area (ha)]]</f>
        <v>8.136363636363636E-3</v>
      </c>
      <c r="T26" s="26" t="s">
        <v>22</v>
      </c>
      <c r="U26" s="26" t="s">
        <v>22</v>
      </c>
      <c r="V26" s="26" t="s">
        <v>22</v>
      </c>
      <c r="W26" s="26" t="s">
        <v>22</v>
      </c>
      <c r="X26" s="31">
        <v>39384.8061952106</v>
      </c>
      <c r="Y26" s="27">
        <f>Table1[[#This Row],[Raw Terrestrial Score]]/Table1[[#This Row],[Summed Raw Scores]]</f>
        <v>0.30458901924623571</v>
      </c>
      <c r="Z26" s="31">
        <v>89919.941207292301</v>
      </c>
      <c r="AA26" s="27">
        <f>Table1[[#This Row],[Raw Freshwater Score]]/Table1[[#This Row],[Summed Raw Scores]]</f>
        <v>0.6954109807537644</v>
      </c>
      <c r="AB26" s="27">
        <f>Table1[[#This Row],[Raw Terrestrial Score]]+Table1[[#This Row],[Raw Freshwater Score]]</f>
        <v>129304.74740250289</v>
      </c>
      <c r="AC26" s="28">
        <f>Table1[[#This Row],[Terrestrial % of Summed Score]]*Table1[[#This Row],[Scaled Summed Score]]</f>
        <v>0.2335296945951815</v>
      </c>
      <c r="AD26" s="28">
        <f>Table1[[#This Row],[Freshwater % of Summed Score]]*Table1[[#This Row],[Scaled Summed Score]]</f>
        <v>0.53317455223911281</v>
      </c>
      <c r="AE26" s="28">
        <f>Table1[[#This Row],[Summed Raw Scores]]/MAX(Table1[Summed Raw Scores])</f>
        <v>0.76670424683429417</v>
      </c>
      <c r="AF26" s="7"/>
    </row>
    <row r="27" spans="1:32" hidden="1" x14ac:dyDescent="0.3">
      <c r="A27" s="26" t="s">
        <v>100</v>
      </c>
      <c r="B27" s="26" t="s">
        <v>97</v>
      </c>
      <c r="C27" s="26" t="s">
        <v>32</v>
      </c>
      <c r="D27" s="26" t="s">
        <v>250</v>
      </c>
      <c r="E27" s="10">
        <v>50.11</v>
      </c>
      <c r="F27" s="10">
        <v>-123.4</v>
      </c>
      <c r="G27" s="6">
        <v>63.9</v>
      </c>
      <c r="H27" s="6">
        <v>40</v>
      </c>
      <c r="I27" s="6">
        <v>9</v>
      </c>
      <c r="J27" s="11">
        <v>325.89999999999998</v>
      </c>
      <c r="K27" s="11">
        <v>85.147334930927542</v>
      </c>
      <c r="L27" s="6" t="s">
        <v>22</v>
      </c>
      <c r="M27" s="10">
        <v>0</v>
      </c>
      <c r="N27" s="7">
        <v>43.755844122716695</v>
      </c>
      <c r="O27" s="7">
        <f>Table1[[#This Row],[R1 Length (km)]]+Table1[[#This Row],[T1 Length (km)]]</f>
        <v>43.755844122716695</v>
      </c>
      <c r="P27" s="9">
        <v>130</v>
      </c>
      <c r="Q27" s="7">
        <f>(Table1[[#This Row],[Linear Features (km)]]*1)*100</f>
        <v>4375.5844122716699</v>
      </c>
      <c r="R27" s="7">
        <v>43.76</v>
      </c>
      <c r="S27" s="8">
        <f>Table1[[#This Row],[ATG (ha)]]/Table1[[#This Row],[Linear Area (ha)]]</f>
        <v>1.0000949787934988E-2</v>
      </c>
      <c r="T27" s="9" t="s">
        <v>22</v>
      </c>
      <c r="U27" s="9" t="s">
        <v>22</v>
      </c>
      <c r="V27" s="7" t="s">
        <v>22</v>
      </c>
      <c r="W27" s="7" t="s">
        <v>22</v>
      </c>
      <c r="X27" s="31">
        <v>16729.999429732601</v>
      </c>
      <c r="Y27" s="27">
        <f>Table1[[#This Row],[Raw Terrestrial Score]]/Table1[[#This Row],[Summed Raw Scores]]</f>
        <v>0.30736752725875449</v>
      </c>
      <c r="Z27" s="31">
        <v>37699.951511859901</v>
      </c>
      <c r="AA27" s="27">
        <f>Table1[[#This Row],[Raw Freshwater Score]]/Table1[[#This Row],[Summed Raw Scores]]</f>
        <v>0.69263247274124562</v>
      </c>
      <c r="AB27" s="27">
        <f>Table1[[#This Row],[Raw Terrestrial Score]]+Table1[[#This Row],[Raw Freshwater Score]]</f>
        <v>54429.950941592499</v>
      </c>
      <c r="AC27" s="28">
        <f>Table1[[#This Row],[Terrestrial % of Summed Score]]*Table1[[#This Row],[Scaled Summed Score]]</f>
        <v>9.9199463824659384E-2</v>
      </c>
      <c r="AD27" s="28">
        <f>Table1[[#This Row],[Freshwater % of Summed Score]]*Table1[[#This Row],[Scaled Summed Score]]</f>
        <v>0.22353945628627755</v>
      </c>
      <c r="AE27" s="28">
        <f>Table1[[#This Row],[Summed Raw Scores]]/MAX(Table1[Summed Raw Scores])</f>
        <v>0.32273892011093691</v>
      </c>
      <c r="AF27" s="7"/>
    </row>
    <row r="28" spans="1:32" hidden="1" x14ac:dyDescent="0.3">
      <c r="A28" s="26" t="s">
        <v>101</v>
      </c>
      <c r="B28" s="26" t="s">
        <v>97</v>
      </c>
      <c r="C28" s="26" t="s">
        <v>32</v>
      </c>
      <c r="D28" s="26" t="s">
        <v>250</v>
      </c>
      <c r="E28" s="10">
        <v>49.95</v>
      </c>
      <c r="F28" s="10">
        <v>-124.23</v>
      </c>
      <c r="G28" s="6">
        <v>40.1</v>
      </c>
      <c r="H28" s="6">
        <v>40</v>
      </c>
      <c r="I28" s="6">
        <v>16</v>
      </c>
      <c r="J28" s="11">
        <v>172.2</v>
      </c>
      <c r="K28" s="11">
        <v>79.419958709065014</v>
      </c>
      <c r="L28" s="6" t="s">
        <v>22</v>
      </c>
      <c r="M28" s="10">
        <v>0</v>
      </c>
      <c r="N28" s="7">
        <v>21.230865786513867</v>
      </c>
      <c r="O28" s="7">
        <f>Table1[[#This Row],[R1 Length (km)]]+Table1[[#This Row],[T1 Length (km)]]</f>
        <v>21.230865786513867</v>
      </c>
      <c r="P28" s="9">
        <v>130</v>
      </c>
      <c r="Q28" s="7">
        <f>(Table1[[#This Row],[Linear Features (km)]]*1)*100</f>
        <v>2123.0865786513868</v>
      </c>
      <c r="R28" s="7">
        <v>21.23</v>
      </c>
      <c r="S28" s="8">
        <f>Table1[[#This Row],[ATG (ha)]]/Table1[[#This Row],[Linear Area (ha)]]</f>
        <v>9.9995922038589591E-3</v>
      </c>
      <c r="T28" s="9" t="s">
        <v>22</v>
      </c>
      <c r="U28" s="9" t="s">
        <v>22</v>
      </c>
      <c r="V28" s="7" t="s">
        <v>22</v>
      </c>
      <c r="W28" s="7" t="s">
        <v>22</v>
      </c>
      <c r="X28" s="31">
        <v>5524.36632084753</v>
      </c>
      <c r="Y28" s="27">
        <f>Table1[[#This Row],[Raw Terrestrial Score]]/Table1[[#This Row],[Summed Raw Scores]]</f>
        <v>0.34376452060287976</v>
      </c>
      <c r="Z28" s="31">
        <v>10545.838687973999</v>
      </c>
      <c r="AA28" s="27">
        <f>Table1[[#This Row],[Raw Freshwater Score]]/Table1[[#This Row],[Summed Raw Scores]]</f>
        <v>0.65623547939712024</v>
      </c>
      <c r="AB28" s="27">
        <f>Table1[[#This Row],[Raw Terrestrial Score]]+Table1[[#This Row],[Raw Freshwater Score]]</f>
        <v>16070.205008821529</v>
      </c>
      <c r="AC28" s="28">
        <f>Table1[[#This Row],[Terrestrial % of Summed Score]]*Table1[[#This Row],[Scaled Summed Score]]</f>
        <v>3.2756377506214907E-2</v>
      </c>
      <c r="AD28" s="28">
        <f>Table1[[#This Row],[Freshwater % of Summed Score]]*Table1[[#This Row],[Scaled Summed Score]]</f>
        <v>6.2530877411099278E-2</v>
      </c>
      <c r="AE28" s="28">
        <f>Table1[[#This Row],[Summed Raw Scores]]/MAX(Table1[Summed Raw Scores])</f>
        <v>9.5287254917314185E-2</v>
      </c>
      <c r="AF28" s="7"/>
    </row>
    <row r="29" spans="1:32" hidden="1" x14ac:dyDescent="0.3">
      <c r="A29" s="26" t="s">
        <v>43</v>
      </c>
      <c r="B29" s="26" t="s">
        <v>42</v>
      </c>
      <c r="C29" s="26" t="s">
        <v>30</v>
      </c>
      <c r="D29" s="26"/>
      <c r="E29" s="6">
        <v>54.033148683900002</v>
      </c>
      <c r="F29" s="6">
        <v>-128.334012847</v>
      </c>
      <c r="G29" s="6">
        <v>1000</v>
      </c>
      <c r="H29" s="6" t="s">
        <v>22</v>
      </c>
      <c r="I29" s="7">
        <v>1000</v>
      </c>
      <c r="J29" s="26" t="s">
        <v>22</v>
      </c>
      <c r="K29" s="26" t="s">
        <v>22</v>
      </c>
      <c r="L29" s="6">
        <v>121.5536031</v>
      </c>
      <c r="M29" s="6">
        <v>4.7698484809838195</v>
      </c>
      <c r="N29" s="6">
        <v>56.137467504308347</v>
      </c>
      <c r="O29" s="6">
        <f>Table1[[#This Row],[R1 Length (km)]]+Table1[[#This Row],[T1 Length (km)]]</f>
        <v>60.907315985292165</v>
      </c>
      <c r="P29" s="26">
        <v>500</v>
      </c>
      <c r="Q29" s="6">
        <f>(Table1[[#This Row],[Linear Features (km)]]*1)*100</f>
        <v>6090.7315985292162</v>
      </c>
      <c r="R29" s="7">
        <v>84.8</v>
      </c>
      <c r="S29" s="8">
        <f>Table1[[#This Row],[ATG (ha)]]/Table1[[#This Row],[Linear Area (ha)]]</f>
        <v>1.3922793777430189E-2</v>
      </c>
      <c r="T29" s="9" t="s">
        <v>22</v>
      </c>
      <c r="U29" s="9" t="s">
        <v>22</v>
      </c>
      <c r="V29" s="7" t="s">
        <v>22</v>
      </c>
      <c r="W29" s="7" t="s">
        <v>22</v>
      </c>
      <c r="X29" s="31">
        <v>21419.728247582902</v>
      </c>
      <c r="Y29" s="27">
        <f>Table1[[#This Row],[Raw Terrestrial Score]]/Table1[[#This Row],[Summed Raw Scores]]</f>
        <v>0.47409279803688442</v>
      </c>
      <c r="Z29" s="31">
        <v>23760.726583786301</v>
      </c>
      <c r="AA29" s="27">
        <f>Table1[[#This Row],[Raw Freshwater Score]]/Table1[[#This Row],[Summed Raw Scores]]</f>
        <v>0.52590720196311547</v>
      </c>
      <c r="AB29" s="27">
        <f>Table1[[#This Row],[Raw Terrestrial Score]]+Table1[[#This Row],[Raw Freshwater Score]]</f>
        <v>45180.454831369207</v>
      </c>
      <c r="AC29" s="28">
        <f>Table1[[#This Row],[Terrestrial % of Summed Score]]*Table1[[#This Row],[Scaled Summed Score]]</f>
        <v>0.12700691152767696</v>
      </c>
      <c r="AD29" s="28">
        <f>Table1[[#This Row],[Freshwater % of Summed Score]]*Table1[[#This Row],[Scaled Summed Score]]</f>
        <v>0.14088771174773465</v>
      </c>
      <c r="AE29" s="28">
        <f>Table1[[#This Row],[Summed Raw Scores]]/MAX(Table1[Summed Raw Scores])</f>
        <v>0.26789462327541164</v>
      </c>
      <c r="AF29" s="7"/>
    </row>
    <row r="30" spans="1:32" hidden="1" x14ac:dyDescent="0.3">
      <c r="A30" s="26" t="s">
        <v>28</v>
      </c>
      <c r="B30" s="26" t="s">
        <v>24</v>
      </c>
      <c r="C30" s="26" t="s">
        <v>27</v>
      </c>
      <c r="D30" s="26" t="s">
        <v>250</v>
      </c>
      <c r="E30" s="6">
        <v>57.498854999999999</v>
      </c>
      <c r="F30" s="6">
        <v>-122.24574699999999</v>
      </c>
      <c r="G30" s="6">
        <v>12.2</v>
      </c>
      <c r="H30" s="6">
        <v>9</v>
      </c>
      <c r="I30" s="6" t="s">
        <v>22</v>
      </c>
      <c r="J30" s="6">
        <v>69</v>
      </c>
      <c r="K30" s="6">
        <v>216.85</v>
      </c>
      <c r="L30" s="6" t="s">
        <v>22</v>
      </c>
      <c r="M30" s="6">
        <v>0</v>
      </c>
      <c r="N30" s="6">
        <v>193.38300000000001</v>
      </c>
      <c r="O30" s="6">
        <f>Table1[[#This Row],[R1 Length (km)]]+Table1[[#This Row],[T1 Length (km)]]</f>
        <v>193.38300000000001</v>
      </c>
      <c r="P30" s="26">
        <v>230</v>
      </c>
      <c r="Q30" s="6">
        <f>(Table1[[#This Row],[Linear Features (km)]]*1)*100</f>
        <v>19338.3</v>
      </c>
      <c r="R30" s="7">
        <v>2.8</v>
      </c>
      <c r="S30" s="8">
        <f>Table1[[#This Row],[ATG (ha)]]/Table1[[#This Row],[Linear Area (ha)]]</f>
        <v>1.4479039005496863E-4</v>
      </c>
      <c r="T30" s="9" t="s">
        <v>22</v>
      </c>
      <c r="U30" s="9" t="s">
        <v>22</v>
      </c>
      <c r="V30" s="7" t="s">
        <v>22</v>
      </c>
      <c r="W30" s="7" t="s">
        <v>22</v>
      </c>
      <c r="X30" s="31">
        <v>47343.667876858301</v>
      </c>
      <c r="Y30" s="27">
        <f>Table1[[#This Row],[Raw Terrestrial Score]]/Table1[[#This Row],[Summed Raw Scores]]</f>
        <v>0.62763969890751203</v>
      </c>
      <c r="Z30" s="31">
        <v>28087.6153247398</v>
      </c>
      <c r="AA30" s="27">
        <f>Table1[[#This Row],[Raw Freshwater Score]]/Table1[[#This Row],[Summed Raw Scores]]</f>
        <v>0.37236030109248802</v>
      </c>
      <c r="AB30" s="27">
        <f>Table1[[#This Row],[Raw Terrestrial Score]]+Table1[[#This Row],[Raw Freshwater Score]]</f>
        <v>75431.283201598097</v>
      </c>
      <c r="AC30" s="28">
        <f>Table1[[#This Row],[Terrestrial % of Summed Score]]*Table1[[#This Row],[Scaled Summed Score]]</f>
        <v>0.28072125696134337</v>
      </c>
      <c r="AD30" s="28">
        <f>Table1[[#This Row],[Freshwater % of Summed Score]]*Table1[[#This Row],[Scaled Summed Score]]</f>
        <v>0.16654372237309803</v>
      </c>
      <c r="AE30" s="28">
        <f>Table1[[#This Row],[Summed Raw Scores]]/MAX(Table1[Summed Raw Scores])</f>
        <v>0.44726497933444137</v>
      </c>
      <c r="AF30" s="7"/>
    </row>
    <row r="31" spans="1:32" hidden="1" x14ac:dyDescent="0.3">
      <c r="A31" s="26" t="s">
        <v>44</v>
      </c>
      <c r="B31" s="26" t="s">
        <v>42</v>
      </c>
      <c r="C31" s="26" t="s">
        <v>32</v>
      </c>
      <c r="D31" s="26" t="s">
        <v>250</v>
      </c>
      <c r="E31" s="10">
        <v>49.402025060500002</v>
      </c>
      <c r="F31" s="10">
        <v>-122.2587474</v>
      </c>
      <c r="G31" s="6">
        <v>1000</v>
      </c>
      <c r="H31" s="6" t="s">
        <v>22</v>
      </c>
      <c r="I31" s="7">
        <v>495</v>
      </c>
      <c r="J31" s="26" t="s">
        <v>22</v>
      </c>
      <c r="K31" s="26" t="s">
        <v>22</v>
      </c>
      <c r="L31" s="11">
        <v>169.30148060606061</v>
      </c>
      <c r="M31" s="6">
        <v>1.4</v>
      </c>
      <c r="N31" s="6">
        <v>39.6</v>
      </c>
      <c r="O31" s="6">
        <f>Table1[[#This Row],[R1 Length (km)]]+Table1[[#This Row],[T1 Length (km)]]</f>
        <v>41</v>
      </c>
      <c r="P31" s="26">
        <v>500</v>
      </c>
      <c r="Q31" s="6">
        <f>(Table1[[#This Row],[Linear Features (km)]]*1)*100</f>
        <v>4100</v>
      </c>
      <c r="R31" s="7">
        <v>42.72</v>
      </c>
      <c r="S31" s="8">
        <f>Table1[[#This Row],[ATG (ha)]]/Table1[[#This Row],[Linear Area (ha)]]</f>
        <v>1.041951219512195E-2</v>
      </c>
      <c r="T31" s="9" t="s">
        <v>22</v>
      </c>
      <c r="U31" s="9" t="s">
        <v>22</v>
      </c>
      <c r="V31" s="7" t="s">
        <v>22</v>
      </c>
      <c r="W31" s="7" t="s">
        <v>22</v>
      </c>
      <c r="X31" s="31">
        <v>12414.5296746762</v>
      </c>
      <c r="Y31" s="27">
        <f>Table1[[#This Row],[Raw Terrestrial Score]]/Table1[[#This Row],[Summed Raw Scores]]</f>
        <v>0.32909841134879547</v>
      </c>
      <c r="Z31" s="31">
        <v>25308.319316893801</v>
      </c>
      <c r="AA31" s="27">
        <f>Table1[[#This Row],[Raw Freshwater Score]]/Table1[[#This Row],[Summed Raw Scores]]</f>
        <v>0.67090158865120442</v>
      </c>
      <c r="AB31" s="27">
        <f>Table1[[#This Row],[Raw Terrestrial Score]]+Table1[[#This Row],[Raw Freshwater Score]]</f>
        <v>37722.848991570005</v>
      </c>
      <c r="AC31" s="28">
        <f>Table1[[#This Row],[Terrestrial % of Summed Score]]*Table1[[#This Row],[Scaled Summed Score]]</f>
        <v>7.3611161347354917E-2</v>
      </c>
      <c r="AD31" s="28">
        <f>Table1[[#This Row],[Freshwater % of Summed Score]]*Table1[[#This Row],[Scaled Summed Score]]</f>
        <v>0.15006406408342968</v>
      </c>
      <c r="AE31" s="28">
        <f>Table1[[#This Row],[Summed Raw Scores]]/MAX(Table1[Summed Raw Scores])</f>
        <v>0.22367522543078461</v>
      </c>
      <c r="AF31" s="7"/>
    </row>
    <row r="32" spans="1:32" hidden="1" x14ac:dyDescent="0.3">
      <c r="A32" s="26" t="s">
        <v>102</v>
      </c>
      <c r="B32" s="26" t="s">
        <v>97</v>
      </c>
      <c r="C32" s="26" t="s">
        <v>30</v>
      </c>
      <c r="D32" s="26" t="s">
        <v>250</v>
      </c>
      <c r="E32" s="12">
        <v>55.71</v>
      </c>
      <c r="F32" s="12">
        <v>-129.34</v>
      </c>
      <c r="G32" s="6">
        <v>40.1</v>
      </c>
      <c r="H32" s="6">
        <v>40</v>
      </c>
      <c r="I32" s="6">
        <v>3</v>
      </c>
      <c r="J32" s="11">
        <v>132.80000000000001</v>
      </c>
      <c r="K32" s="11">
        <v>116.36779578392621</v>
      </c>
      <c r="L32" s="6" t="s">
        <v>22</v>
      </c>
      <c r="M32" s="6">
        <v>9.1999999999999993</v>
      </c>
      <c r="N32" s="6">
        <v>33.299999999999997</v>
      </c>
      <c r="O32" s="6">
        <f>Table1[[#This Row],[R1 Length (km)]]+Table1[[#This Row],[T1 Length (km)]]</f>
        <v>42.5</v>
      </c>
      <c r="P32" s="26">
        <v>130</v>
      </c>
      <c r="Q32" s="6">
        <f>(Table1[[#This Row],[Linear Features (km)]]*1)*100</f>
        <v>4250</v>
      </c>
      <c r="R32" s="7">
        <v>49.02</v>
      </c>
      <c r="S32" s="8">
        <f>Table1[[#This Row],[ATG (ha)]]/Table1[[#This Row],[Linear Area (ha)]]</f>
        <v>1.1534117647058825E-2</v>
      </c>
      <c r="T32" s="9" t="s">
        <v>22</v>
      </c>
      <c r="U32" s="9" t="s">
        <v>22</v>
      </c>
      <c r="V32" s="7" t="s">
        <v>22</v>
      </c>
      <c r="W32" s="7" t="s">
        <v>22</v>
      </c>
      <c r="X32" s="31">
        <v>26539.166573211602</v>
      </c>
      <c r="Y32" s="27">
        <f>Table1[[#This Row],[Raw Terrestrial Score]]/Table1[[#This Row],[Summed Raw Scores]]</f>
        <v>0.54034292829389008</v>
      </c>
      <c r="Z32" s="31">
        <v>22576.247330710299</v>
      </c>
      <c r="AA32" s="27">
        <f>Table1[[#This Row],[Raw Freshwater Score]]/Table1[[#This Row],[Summed Raw Scores]]</f>
        <v>0.45965707170610998</v>
      </c>
      <c r="AB32" s="27">
        <f>Table1[[#This Row],[Raw Terrestrial Score]]+Table1[[#This Row],[Raw Freshwater Score]]</f>
        <v>49115.413903921901</v>
      </c>
      <c r="AC32" s="28">
        <f>Table1[[#This Row],[Terrestrial % of Summed Score]]*Table1[[#This Row],[Scaled Summed Score]]</f>
        <v>0.15736229433081295</v>
      </c>
      <c r="AD32" s="28">
        <f>Table1[[#This Row],[Freshwater % of Summed Score]]*Table1[[#This Row],[Scaled Summed Score]]</f>
        <v>0.13386441761613108</v>
      </c>
      <c r="AE32" s="28">
        <f>Table1[[#This Row],[Summed Raw Scores]]/MAX(Table1[Summed Raw Scores])</f>
        <v>0.29122671194694399</v>
      </c>
      <c r="AF32" s="7"/>
    </row>
    <row r="33" spans="1:32" hidden="1" x14ac:dyDescent="0.3">
      <c r="A33" s="26" t="s">
        <v>236</v>
      </c>
      <c r="B33" s="26" t="s">
        <v>42</v>
      </c>
      <c r="C33" s="26" t="s">
        <v>21</v>
      </c>
      <c r="D33" s="26" t="s">
        <v>250</v>
      </c>
      <c r="E33" s="6">
        <v>49.069879999999898</v>
      </c>
      <c r="F33" s="6">
        <v>-124.41682</v>
      </c>
      <c r="G33" s="6">
        <v>500</v>
      </c>
      <c r="H33" s="6" t="s">
        <v>22</v>
      </c>
      <c r="I33" s="11">
        <v>408</v>
      </c>
      <c r="J33" s="26" t="s">
        <v>22</v>
      </c>
      <c r="K33" s="26" t="s">
        <v>22</v>
      </c>
      <c r="L33" s="11">
        <v>172.06</v>
      </c>
      <c r="M33" s="6">
        <v>20.2</v>
      </c>
      <c r="N33" s="11">
        <v>43.7</v>
      </c>
      <c r="O33" s="11">
        <f>Table1[[#This Row],[R1 Length (km)]]+Table1[[#This Row],[T1 Length (km)]]</f>
        <v>63.900000000000006</v>
      </c>
      <c r="P33" s="14">
        <v>500</v>
      </c>
      <c r="Q33" s="11">
        <f>(Table1[[#This Row],[Linear Features (km)]]*1)*100</f>
        <v>6390.0000000000009</v>
      </c>
      <c r="R33" s="7">
        <v>54.03</v>
      </c>
      <c r="S33" s="8">
        <f>Table1[[#This Row],[ATG (ha)]]/Table1[[#This Row],[Linear Area (ha)]]</f>
        <v>8.4553990610328634E-3</v>
      </c>
      <c r="T33" s="14" t="s">
        <v>22</v>
      </c>
      <c r="U33" s="9" t="s">
        <v>22</v>
      </c>
      <c r="V33" s="7" t="s">
        <v>22</v>
      </c>
      <c r="W33" s="7" t="s">
        <v>22</v>
      </c>
      <c r="X33" s="31">
        <v>18293.577181030101</v>
      </c>
      <c r="Y33" s="27">
        <f>Table1[[#This Row],[Raw Terrestrial Score]]/Table1[[#This Row],[Summed Raw Scores]]</f>
        <v>0.44779214466441725</v>
      </c>
      <c r="Z33" s="31">
        <v>22559.254649549701</v>
      </c>
      <c r="AA33" s="27">
        <f>Table1[[#This Row],[Raw Freshwater Score]]/Table1[[#This Row],[Summed Raw Scores]]</f>
        <v>0.5522078553355827</v>
      </c>
      <c r="AB33" s="27">
        <f>Table1[[#This Row],[Raw Terrestrial Score]]+Table1[[#This Row],[Raw Freshwater Score]]</f>
        <v>40852.831830579802</v>
      </c>
      <c r="AC33" s="28">
        <f>Table1[[#This Row],[Terrestrial % of Summed Score]]*Table1[[#This Row],[Scaled Summed Score]]</f>
        <v>0.10847059830546658</v>
      </c>
      <c r="AD33" s="28">
        <f>Table1[[#This Row],[Freshwater % of Summed Score]]*Table1[[#This Row],[Scaled Summed Score]]</f>
        <v>0.13376366059774891</v>
      </c>
      <c r="AE33" s="28">
        <f>Table1[[#This Row],[Summed Raw Scores]]/MAX(Table1[Summed Raw Scores])</f>
        <v>0.24223425890321551</v>
      </c>
      <c r="AF33" s="7"/>
    </row>
    <row r="34" spans="1:32" hidden="1" x14ac:dyDescent="0.3">
      <c r="A34" s="26" t="s">
        <v>29</v>
      </c>
      <c r="B34" s="26" t="s">
        <v>24</v>
      </c>
      <c r="C34" s="26" t="s">
        <v>30</v>
      </c>
      <c r="D34" s="26" t="s">
        <v>250</v>
      </c>
      <c r="E34" s="6">
        <v>54.322493000000001</v>
      </c>
      <c r="F34" s="6">
        <v>-128.539906</v>
      </c>
      <c r="G34" s="6">
        <v>19.600000000000001</v>
      </c>
      <c r="H34" s="6">
        <v>17</v>
      </c>
      <c r="I34" s="6" t="s">
        <v>22</v>
      </c>
      <c r="J34" s="6">
        <v>130</v>
      </c>
      <c r="K34" s="6">
        <v>163.18</v>
      </c>
      <c r="L34" s="6" t="s">
        <v>22</v>
      </c>
      <c r="M34" s="6">
        <f>1145.3743238/1000</f>
        <v>1.1453743238</v>
      </c>
      <c r="N34" s="6">
        <f>18393.3047631/1000</f>
        <v>18.393304763100002</v>
      </c>
      <c r="O34" s="6">
        <f>Table1[[#This Row],[R1 Length (km)]]+Table1[[#This Row],[T1 Length (km)]]</f>
        <v>19.5386790869</v>
      </c>
      <c r="P34" s="26">
        <v>25</v>
      </c>
      <c r="Q34" s="6">
        <f>(Table1[[#This Row],[Linear Features (km)]]*1)*100</f>
        <v>1953.8679086899999</v>
      </c>
      <c r="R34" s="7">
        <v>5.2</v>
      </c>
      <c r="S34" s="8">
        <f>Table1[[#This Row],[ATG (ha)]]/Table1[[#This Row],[Linear Area (ha)]]</f>
        <v>2.6613876899623263E-3</v>
      </c>
      <c r="T34" s="9" t="s">
        <v>22</v>
      </c>
      <c r="U34" s="9" t="s">
        <v>22</v>
      </c>
      <c r="V34" s="7" t="s">
        <v>22</v>
      </c>
      <c r="W34" s="7" t="s">
        <v>22</v>
      </c>
      <c r="X34" s="31">
        <v>5489.2817614674595</v>
      </c>
      <c r="Y34" s="27">
        <f>Table1[[#This Row],[Raw Terrestrial Score]]/Table1[[#This Row],[Summed Raw Scores]]</f>
        <v>0.34513555147480679</v>
      </c>
      <c r="Z34" s="31">
        <v>10415.4308594465</v>
      </c>
      <c r="AA34" s="27">
        <f>Table1[[#This Row],[Raw Freshwater Score]]/Table1[[#This Row],[Summed Raw Scores]]</f>
        <v>0.6548644485251931</v>
      </c>
      <c r="AB34" s="27">
        <f>Table1[[#This Row],[Raw Terrestrial Score]]+Table1[[#This Row],[Raw Freshwater Score]]</f>
        <v>15904.712620913961</v>
      </c>
      <c r="AC34" s="28">
        <f>Table1[[#This Row],[Terrestrial % of Summed Score]]*Table1[[#This Row],[Scaled Summed Score]]</f>
        <v>3.2548345850646407E-2</v>
      </c>
      <c r="AD34" s="28">
        <f>Table1[[#This Row],[Freshwater % of Summed Score]]*Table1[[#This Row],[Scaled Summed Score]]</f>
        <v>6.1757632515138584E-2</v>
      </c>
      <c r="AE34" s="28">
        <f>Table1[[#This Row],[Summed Raw Scores]]/MAX(Table1[Summed Raw Scores])</f>
        <v>9.4305978365784998E-2</v>
      </c>
      <c r="AF34" s="7"/>
    </row>
    <row r="35" spans="1:32" hidden="1" x14ac:dyDescent="0.3">
      <c r="A35" s="26" t="s">
        <v>45</v>
      </c>
      <c r="B35" s="26" t="s">
        <v>42</v>
      </c>
      <c r="C35" s="26" t="s">
        <v>30</v>
      </c>
      <c r="D35" s="26"/>
      <c r="E35" s="6">
        <v>53.701966269899998</v>
      </c>
      <c r="F35" s="6">
        <v>-128.527487237</v>
      </c>
      <c r="G35" s="6">
        <v>1000</v>
      </c>
      <c r="H35" s="6" t="s">
        <v>22</v>
      </c>
      <c r="I35" s="7">
        <v>1000</v>
      </c>
      <c r="J35" s="26" t="s">
        <v>22</v>
      </c>
      <c r="K35" s="26" t="s">
        <v>22</v>
      </c>
      <c r="L35" s="6">
        <v>126.90449799999999</v>
      </c>
      <c r="M35" s="6">
        <v>4.169848480982953</v>
      </c>
      <c r="N35" s="6">
        <v>88.597770542344747</v>
      </c>
      <c r="O35" s="6">
        <f>Table1[[#This Row],[R1 Length (km)]]+Table1[[#This Row],[T1 Length (km)]]</f>
        <v>92.767619023327697</v>
      </c>
      <c r="P35" s="26">
        <v>500</v>
      </c>
      <c r="Q35" s="6">
        <f>(Table1[[#This Row],[Linear Features (km)]]*1)*100</f>
        <v>9276.7619023327698</v>
      </c>
      <c r="R35" s="7">
        <v>87.2</v>
      </c>
      <c r="S35" s="8">
        <f>Table1[[#This Row],[ATG (ha)]]/Table1[[#This Row],[Linear Area (ha)]]</f>
        <v>9.3998316350096638E-3</v>
      </c>
      <c r="T35" s="9" t="s">
        <v>22</v>
      </c>
      <c r="U35" s="9" t="s">
        <v>22</v>
      </c>
      <c r="V35" s="7" t="s">
        <v>22</v>
      </c>
      <c r="W35" s="7" t="s">
        <v>22</v>
      </c>
      <c r="X35" s="31">
        <v>37125.810335781403</v>
      </c>
      <c r="Y35" s="27">
        <f>Table1[[#This Row],[Raw Terrestrial Score]]/Table1[[#This Row],[Summed Raw Scores]]</f>
        <v>0.54820831583326313</v>
      </c>
      <c r="Z35" s="31">
        <v>30596.274980183</v>
      </c>
      <c r="AA35" s="27">
        <f>Table1[[#This Row],[Raw Freshwater Score]]/Table1[[#This Row],[Summed Raw Scores]]</f>
        <v>0.45179168416673687</v>
      </c>
      <c r="AB35" s="27">
        <f>Table1[[#This Row],[Raw Terrestrial Score]]+Table1[[#This Row],[Raw Freshwater Score]]</f>
        <v>67722.085315964403</v>
      </c>
      <c r="AC35" s="28">
        <f>Table1[[#This Row],[Terrestrial % of Summed Score]]*Table1[[#This Row],[Scaled Summed Score]]</f>
        <v>0.22013512282733991</v>
      </c>
      <c r="AD35" s="28">
        <f>Table1[[#This Row],[Freshwater % of Summed Score]]*Table1[[#This Row],[Scaled Summed Score]]</f>
        <v>0.18141865968458706</v>
      </c>
      <c r="AE35" s="28">
        <f>Table1[[#This Row],[Summed Raw Scores]]/MAX(Table1[Summed Raw Scores])</f>
        <v>0.40155378251192697</v>
      </c>
      <c r="AF35" s="7"/>
    </row>
    <row r="36" spans="1:32" hidden="1" x14ac:dyDescent="0.3">
      <c r="A36" s="26" t="s">
        <v>31</v>
      </c>
      <c r="B36" s="26" t="s">
        <v>24</v>
      </c>
      <c r="C36" s="26" t="s">
        <v>32</v>
      </c>
      <c r="D36" s="26" t="s">
        <v>250</v>
      </c>
      <c r="E36" s="12">
        <v>50.569090000000003</v>
      </c>
      <c r="F36" s="12">
        <v>-123.512111</v>
      </c>
      <c r="G36" s="6">
        <v>99</v>
      </c>
      <c r="H36" s="6">
        <v>89</v>
      </c>
      <c r="I36" s="6" t="s">
        <v>22</v>
      </c>
      <c r="J36" s="13">
        <v>656.90040009999996</v>
      </c>
      <c r="K36" s="11">
        <v>98.184276859616105</v>
      </c>
      <c r="L36" s="6" t="s">
        <v>22</v>
      </c>
      <c r="M36" s="6">
        <v>2.5</v>
      </c>
      <c r="N36" s="6">
        <v>67.8</v>
      </c>
      <c r="O36" s="6">
        <f>Table1[[#This Row],[R1 Length (km)]]+Table1[[#This Row],[T1 Length (km)]]</f>
        <v>70.3</v>
      </c>
      <c r="P36" s="26">
        <v>230</v>
      </c>
      <c r="Q36" s="6">
        <f>(Table1[[#This Row],[Linear Features (km)]]*1)*100</f>
        <v>7030</v>
      </c>
      <c r="R36" s="7">
        <v>26.5</v>
      </c>
      <c r="S36" s="8">
        <f>Table1[[#This Row],[ATG (ha)]]/Table1[[#This Row],[Linear Area (ha)]]</f>
        <v>3.7695590327169273E-3</v>
      </c>
      <c r="T36" s="9" t="s">
        <v>22</v>
      </c>
      <c r="U36" s="9" t="s">
        <v>22</v>
      </c>
      <c r="V36" s="7" t="s">
        <v>22</v>
      </c>
      <c r="W36" s="7" t="s">
        <v>22</v>
      </c>
      <c r="X36" s="31">
        <v>43336.465952455997</v>
      </c>
      <c r="Y36" s="27">
        <f>Table1[[#This Row],[Raw Terrestrial Score]]/Table1[[#This Row],[Summed Raw Scores]]</f>
        <v>0.51566276918673071</v>
      </c>
      <c r="Z36" s="31">
        <v>40703.857572943001</v>
      </c>
      <c r="AA36" s="27">
        <f>Table1[[#This Row],[Raw Freshwater Score]]/Table1[[#This Row],[Summed Raw Scores]]</f>
        <v>0.48433723081326929</v>
      </c>
      <c r="AB36" s="27">
        <f>Table1[[#This Row],[Raw Terrestrial Score]]+Table1[[#This Row],[Raw Freshwater Score]]</f>
        <v>84040.323525398999</v>
      </c>
      <c r="AC36" s="28">
        <f>Table1[[#This Row],[Terrestrial % of Summed Score]]*Table1[[#This Row],[Scaled Summed Score]]</f>
        <v>0.25696080891067624</v>
      </c>
      <c r="AD36" s="28">
        <f>Table1[[#This Row],[Freshwater % of Summed Score]]*Table1[[#This Row],[Scaled Summed Score]]</f>
        <v>0.24135092555085544</v>
      </c>
      <c r="AE36" s="28">
        <f>Table1[[#This Row],[Summed Raw Scores]]/MAX(Table1[Summed Raw Scores])</f>
        <v>0.49831173446153171</v>
      </c>
      <c r="AF36" s="7"/>
    </row>
    <row r="37" spans="1:32" hidden="1" x14ac:dyDescent="0.3">
      <c r="A37" s="26" t="s">
        <v>103</v>
      </c>
      <c r="B37" s="26" t="s">
        <v>97</v>
      </c>
      <c r="C37" s="26" t="s">
        <v>30</v>
      </c>
      <c r="D37" s="26" t="s">
        <v>250</v>
      </c>
      <c r="E37" s="6">
        <v>57.03</v>
      </c>
      <c r="F37" s="6">
        <v>-130.38</v>
      </c>
      <c r="G37" s="6">
        <v>76.599999999999994</v>
      </c>
      <c r="H37" s="6">
        <v>40</v>
      </c>
      <c r="I37" s="6">
        <v>3</v>
      </c>
      <c r="J37" s="6">
        <v>152</v>
      </c>
      <c r="K37" s="6">
        <v>154.71</v>
      </c>
      <c r="L37" s="6" t="s">
        <v>22</v>
      </c>
      <c r="M37" s="6">
        <f>3621.32034355755/1000</f>
        <v>3.6213203435575503</v>
      </c>
      <c r="N37" s="6">
        <v>13.109500000000001</v>
      </c>
      <c r="O37" s="6">
        <f>Table1[[#This Row],[R1 Length (km)]]+Table1[[#This Row],[T1 Length (km)]]</f>
        <v>16.73082034355755</v>
      </c>
      <c r="P37" s="26">
        <v>230</v>
      </c>
      <c r="Q37" s="6">
        <f>(Table1[[#This Row],[Linear Features (km)]]*1)*100</f>
        <v>1673.082034355755</v>
      </c>
      <c r="R37" s="7">
        <v>660.1</v>
      </c>
      <c r="S37" s="8">
        <f>Table1[[#This Row],[ATG (ha)]]/Table1[[#This Row],[Linear Area (ha)]]</f>
        <v>0.39454132340509013</v>
      </c>
      <c r="T37" s="9" t="s">
        <v>22</v>
      </c>
      <c r="U37" s="9" t="s">
        <v>22</v>
      </c>
      <c r="V37" s="7" t="s">
        <v>22</v>
      </c>
      <c r="W37" s="7" t="s">
        <v>22</v>
      </c>
      <c r="X37" s="31">
        <v>6794.2326574325598</v>
      </c>
      <c r="Y37" s="27">
        <f>Table1[[#This Row],[Raw Terrestrial Score]]/Table1[[#This Row],[Summed Raw Scores]]</f>
        <v>0.40496366323995131</v>
      </c>
      <c r="Z37" s="31">
        <v>9983.1557212546504</v>
      </c>
      <c r="AA37" s="27">
        <f>Table1[[#This Row],[Raw Freshwater Score]]/Table1[[#This Row],[Summed Raw Scores]]</f>
        <v>0.59503633676004875</v>
      </c>
      <c r="AB37" s="27">
        <f>Table1[[#This Row],[Raw Terrestrial Score]]+Table1[[#This Row],[Raw Freshwater Score]]</f>
        <v>16777.38837868721</v>
      </c>
      <c r="AC37" s="28">
        <f>Table1[[#This Row],[Terrestrial % of Summed Score]]*Table1[[#This Row],[Scaled Summed Score]]</f>
        <v>4.028596889964587E-2</v>
      </c>
      <c r="AD37" s="28">
        <f>Table1[[#This Row],[Freshwater % of Summed Score]]*Table1[[#This Row],[Scaled Summed Score]]</f>
        <v>5.919448467323532E-2</v>
      </c>
      <c r="AE37" s="28">
        <f>Table1[[#This Row],[Summed Raw Scores]]/MAX(Table1[Summed Raw Scores])</f>
        <v>9.9480453572881183E-2</v>
      </c>
      <c r="AF37" s="7"/>
    </row>
    <row r="38" spans="1:32" hidden="1" x14ac:dyDescent="0.3">
      <c r="A38" s="26" t="s">
        <v>36</v>
      </c>
      <c r="B38" s="26" t="s">
        <v>237</v>
      </c>
      <c r="C38" s="26" t="s">
        <v>21</v>
      </c>
      <c r="D38" s="26" t="s">
        <v>250</v>
      </c>
      <c r="E38" s="6">
        <v>49.681317</v>
      </c>
      <c r="F38" s="6">
        <v>-126.12749599999999</v>
      </c>
      <c r="G38" s="6">
        <v>12.2</v>
      </c>
      <c r="H38" s="6">
        <v>13</v>
      </c>
      <c r="I38" s="6" t="s">
        <v>22</v>
      </c>
      <c r="J38" s="6">
        <v>107</v>
      </c>
      <c r="K38" s="6">
        <v>178.98</v>
      </c>
      <c r="L38" s="6" t="s">
        <v>22</v>
      </c>
      <c r="M38" s="6">
        <v>0</v>
      </c>
      <c r="N38" s="6">
        <v>13.988200000000001</v>
      </c>
      <c r="O38" s="6">
        <f>Table1[[#This Row],[R1 Length (km)]]+Table1[[#This Row],[T1 Length (km)]]</f>
        <v>13.988200000000001</v>
      </c>
      <c r="P38" s="26">
        <v>25</v>
      </c>
      <c r="Q38" s="6">
        <f>(Table1[[#This Row],[Linear Features (km)]]*1)*100</f>
        <v>1398.8200000000002</v>
      </c>
      <c r="R38" s="7">
        <v>4</v>
      </c>
      <c r="S38" s="8">
        <f>Table1[[#This Row],[ATG (ha)]]/Table1[[#This Row],[Linear Area (ha)]]</f>
        <v>2.8595530518579944E-3</v>
      </c>
      <c r="T38" s="9" t="s">
        <v>22</v>
      </c>
      <c r="U38" s="9" t="s">
        <v>22</v>
      </c>
      <c r="V38" s="7" t="s">
        <v>22</v>
      </c>
      <c r="W38" s="7" t="s">
        <v>22</v>
      </c>
      <c r="X38" s="31">
        <v>2820.3729626224399</v>
      </c>
      <c r="Y38" s="27">
        <f>Table1[[#This Row],[Raw Terrestrial Score]]/Table1[[#This Row],[Summed Raw Scores]]</f>
        <v>0.3350953745853269</v>
      </c>
      <c r="Z38" s="31">
        <v>5596.2545903916498</v>
      </c>
      <c r="AA38" s="27">
        <f>Table1[[#This Row],[Raw Freshwater Score]]/Table1[[#This Row],[Summed Raw Scores]]</f>
        <v>0.66490462541467299</v>
      </c>
      <c r="AB38" s="27">
        <f>Table1[[#This Row],[Raw Terrestrial Score]]+Table1[[#This Row],[Raw Freshwater Score]]</f>
        <v>8416.6275530140902</v>
      </c>
      <c r="AC38" s="28">
        <f>Table1[[#This Row],[Terrestrial % of Summed Score]]*Table1[[#This Row],[Scaled Summed Score]]</f>
        <v>1.6723221471274367E-2</v>
      </c>
      <c r="AD38" s="28">
        <f>Table1[[#This Row],[Freshwater % of Summed Score]]*Table1[[#This Row],[Scaled Summed Score]]</f>
        <v>3.3182634412200547E-2</v>
      </c>
      <c r="AE38" s="28">
        <f>Table1[[#This Row],[Summed Raw Scores]]/MAX(Table1[Summed Raw Scores])</f>
        <v>4.9905855883474917E-2</v>
      </c>
      <c r="AF38" s="7"/>
    </row>
    <row r="39" spans="1:32" hidden="1" x14ac:dyDescent="0.3">
      <c r="A39" s="26" t="s">
        <v>38</v>
      </c>
      <c r="B39" s="26" t="s">
        <v>237</v>
      </c>
      <c r="C39" s="26" t="s">
        <v>21</v>
      </c>
      <c r="D39" s="26" t="s">
        <v>250</v>
      </c>
      <c r="E39" s="6">
        <v>49.101284</v>
      </c>
      <c r="F39" s="6">
        <v>-123.010378</v>
      </c>
      <c r="G39" s="6">
        <v>25.3</v>
      </c>
      <c r="H39" s="6">
        <v>27</v>
      </c>
      <c r="I39" s="6" t="s">
        <v>22</v>
      </c>
      <c r="J39" s="6">
        <v>222</v>
      </c>
      <c r="K39" s="6">
        <v>92.14</v>
      </c>
      <c r="L39" s="6" t="s">
        <v>22</v>
      </c>
      <c r="M39" s="6">
        <v>0</v>
      </c>
      <c r="N39" s="6">
        <v>2.5970599999999999</v>
      </c>
      <c r="O39" s="6">
        <f>Table1[[#This Row],[R1 Length (km)]]+Table1[[#This Row],[T1 Length (km)]]</f>
        <v>2.5970599999999999</v>
      </c>
      <c r="P39" s="26">
        <v>69</v>
      </c>
      <c r="Q39" s="6">
        <f>(Table1[[#This Row],[Linear Features (km)]]*1)*100</f>
        <v>259.70600000000002</v>
      </c>
      <c r="R39" s="7">
        <v>4</v>
      </c>
      <c r="S39" s="8">
        <f>Table1[[#This Row],[ATG (ha)]]/Table1[[#This Row],[Linear Area (ha)]]</f>
        <v>1.5402031527958536E-2</v>
      </c>
      <c r="T39" s="9" t="s">
        <v>22</v>
      </c>
      <c r="U39" s="9" t="s">
        <v>22</v>
      </c>
      <c r="V39" s="7" t="s">
        <v>22</v>
      </c>
      <c r="W39" s="7" t="s">
        <v>22</v>
      </c>
      <c r="X39" s="31">
        <v>3411.1152467727702</v>
      </c>
      <c r="Y39" s="27">
        <f>Table1[[#This Row],[Raw Terrestrial Score]]/Table1[[#This Row],[Summed Raw Scores]]</f>
        <v>0.70217423616477381</v>
      </c>
      <c r="Z39" s="31">
        <v>1446.8175441026699</v>
      </c>
      <c r="AA39" s="27">
        <f>Table1[[#This Row],[Raw Freshwater Score]]/Table1[[#This Row],[Summed Raw Scores]]</f>
        <v>0.29782576383522613</v>
      </c>
      <c r="AB39" s="27">
        <f>Table1[[#This Row],[Raw Terrestrial Score]]+Table1[[#This Row],[Raw Freshwater Score]]</f>
        <v>4857.9327908754403</v>
      </c>
      <c r="AC39" s="28">
        <f>Table1[[#This Row],[Terrestrial % of Summed Score]]*Table1[[#This Row],[Scaled Summed Score]]</f>
        <v>2.0225990140956503E-2</v>
      </c>
      <c r="AD39" s="28">
        <f>Table1[[#This Row],[Freshwater % of Summed Score]]*Table1[[#This Row],[Scaled Summed Score]]</f>
        <v>8.5788122844777225E-3</v>
      </c>
      <c r="AE39" s="28">
        <f>Table1[[#This Row],[Summed Raw Scores]]/MAX(Table1[Summed Raw Scores])</f>
        <v>2.8804802425434227E-2</v>
      </c>
      <c r="AF39" s="7"/>
    </row>
    <row r="40" spans="1:32" hidden="1" x14ac:dyDescent="0.3">
      <c r="A40" s="26" t="s">
        <v>39</v>
      </c>
      <c r="B40" s="26" t="s">
        <v>237</v>
      </c>
      <c r="C40" s="26" t="s">
        <v>40</v>
      </c>
      <c r="D40" s="26" t="s">
        <v>250</v>
      </c>
      <c r="E40" s="6">
        <v>49.944439000000003</v>
      </c>
      <c r="F40" s="6">
        <v>-119.422766</v>
      </c>
      <c r="G40" s="6">
        <v>13.5</v>
      </c>
      <c r="H40" s="6">
        <v>14</v>
      </c>
      <c r="I40" s="6" t="s">
        <v>22</v>
      </c>
      <c r="J40" s="6">
        <v>118</v>
      </c>
      <c r="K40" s="6">
        <v>226.48</v>
      </c>
      <c r="L40" s="6" t="s">
        <v>22</v>
      </c>
      <c r="M40" s="6">
        <v>0</v>
      </c>
      <c r="N40" s="6">
        <v>19.576499999999999</v>
      </c>
      <c r="O40" s="6">
        <f>Table1[[#This Row],[R1 Length (km)]]+Table1[[#This Row],[T1 Length (km)]]</f>
        <v>19.576499999999999</v>
      </c>
      <c r="P40" s="26">
        <v>25</v>
      </c>
      <c r="Q40" s="6">
        <f>(Table1[[#This Row],[Linear Features (km)]]*1)*100</f>
        <v>1957.6499999999999</v>
      </c>
      <c r="R40" s="7">
        <v>4</v>
      </c>
      <c r="S40" s="8">
        <f>Table1[[#This Row],[ATG (ha)]]/Table1[[#This Row],[Linear Area (ha)]]</f>
        <v>2.043266160958292E-3</v>
      </c>
      <c r="T40" s="9" t="s">
        <v>22</v>
      </c>
      <c r="U40" s="9" t="s">
        <v>22</v>
      </c>
      <c r="V40" s="7" t="s">
        <v>22</v>
      </c>
      <c r="W40" s="7" t="s">
        <v>22</v>
      </c>
      <c r="X40" s="31">
        <v>20460.442152023301</v>
      </c>
      <c r="Y40" s="27">
        <f>Table1[[#This Row],[Raw Terrestrial Score]]/Table1[[#This Row],[Summed Raw Scores]]</f>
        <v>0.93382018424481394</v>
      </c>
      <c r="Z40" s="31">
        <v>1450.03108171793</v>
      </c>
      <c r="AA40" s="27">
        <f>Table1[[#This Row],[Raw Freshwater Score]]/Table1[[#This Row],[Summed Raw Scores]]</f>
        <v>6.6179815755186042E-2</v>
      </c>
      <c r="AB40" s="27">
        <f>Table1[[#This Row],[Raw Terrestrial Score]]+Table1[[#This Row],[Raw Freshwater Score]]</f>
        <v>21910.473233741232</v>
      </c>
      <c r="AC40" s="28">
        <f>Table1[[#This Row],[Terrestrial % of Summed Score]]*Table1[[#This Row],[Scaled Summed Score]]</f>
        <v>0.12131888585059036</v>
      </c>
      <c r="AD40" s="28">
        <f>Table1[[#This Row],[Freshwater % of Summed Score]]*Table1[[#This Row],[Scaled Summed Score]]</f>
        <v>8.5978667506630378E-3</v>
      </c>
      <c r="AE40" s="28">
        <f>Table1[[#This Row],[Summed Raw Scores]]/MAX(Table1[Summed Raw Scores])</f>
        <v>0.1299167526012534</v>
      </c>
      <c r="AF40" s="7"/>
    </row>
    <row r="41" spans="1:32" hidden="1" x14ac:dyDescent="0.3">
      <c r="A41" s="26" t="s">
        <v>33</v>
      </c>
      <c r="B41" s="26" t="s">
        <v>24</v>
      </c>
      <c r="C41" s="26" t="s">
        <v>32</v>
      </c>
      <c r="D41" s="26" t="s">
        <v>250</v>
      </c>
      <c r="E41" s="6">
        <v>50.101612000000003</v>
      </c>
      <c r="F41" s="6">
        <v>-123.362587</v>
      </c>
      <c r="G41" s="6">
        <v>40.700000000000003</v>
      </c>
      <c r="H41" s="6">
        <v>31</v>
      </c>
      <c r="I41" s="6" t="s">
        <v>22</v>
      </c>
      <c r="J41" s="6">
        <v>232</v>
      </c>
      <c r="K41" s="6">
        <v>114.74</v>
      </c>
      <c r="L41" s="6" t="s">
        <v>22</v>
      </c>
      <c r="M41" s="6">
        <f>12486.3054484/1000</f>
        <v>12.4863054484</v>
      </c>
      <c r="N41" s="6">
        <f>64896.1864223/1000</f>
        <v>64.896186422300005</v>
      </c>
      <c r="O41" s="6">
        <f>Table1[[#This Row],[R1 Length (km)]]+Table1[[#This Row],[T1 Length (km)]]</f>
        <v>77.382491870700008</v>
      </c>
      <c r="P41" s="26">
        <v>69</v>
      </c>
      <c r="Q41" s="6">
        <f>(Table1[[#This Row],[Linear Features (km)]]*1)*100</f>
        <v>7738.2491870700005</v>
      </c>
      <c r="R41" s="7">
        <v>9.4</v>
      </c>
      <c r="S41" s="8">
        <f>Table1[[#This Row],[ATG (ha)]]/Table1[[#This Row],[Linear Area (ha)]]</f>
        <v>1.2147450634836952E-3</v>
      </c>
      <c r="T41" s="9" t="s">
        <v>22</v>
      </c>
      <c r="U41" s="9" t="s">
        <v>22</v>
      </c>
      <c r="V41" s="7" t="s">
        <v>22</v>
      </c>
      <c r="W41" s="7" t="s">
        <v>22</v>
      </c>
      <c r="X41" s="31">
        <v>27451.718575954401</v>
      </c>
      <c r="Y41" s="27">
        <f>Table1[[#This Row],[Raw Terrestrial Score]]/Table1[[#This Row],[Summed Raw Scores]]</f>
        <v>0.33376660836683003</v>
      </c>
      <c r="Z41" s="31">
        <v>54796.528815478101</v>
      </c>
      <c r="AA41" s="27">
        <f>Table1[[#This Row],[Raw Freshwater Score]]/Table1[[#This Row],[Summed Raw Scores]]</f>
        <v>0.66623339163317008</v>
      </c>
      <c r="AB41" s="27">
        <f>Table1[[#This Row],[Raw Terrestrial Score]]+Table1[[#This Row],[Raw Freshwater Score]]</f>
        <v>82248.247391432495</v>
      </c>
      <c r="AC41" s="28">
        <f>Table1[[#This Row],[Terrestrial % of Summed Score]]*Table1[[#This Row],[Scaled Summed Score]]</f>
        <v>0.16277321318735058</v>
      </c>
      <c r="AD41" s="28">
        <f>Table1[[#This Row],[Freshwater % of Summed Score]]*Table1[[#This Row],[Scaled Summed Score]]</f>
        <v>0.32491252021727096</v>
      </c>
      <c r="AE41" s="28">
        <f>Table1[[#This Row],[Summed Raw Scores]]/MAX(Table1[Summed Raw Scores])</f>
        <v>0.48768573340462151</v>
      </c>
      <c r="AF41" s="7"/>
    </row>
    <row r="42" spans="1:32" hidden="1" x14ac:dyDescent="0.3">
      <c r="A42" s="26" t="s">
        <v>104</v>
      </c>
      <c r="B42" s="26" t="s">
        <v>97</v>
      </c>
      <c r="C42" s="26" t="s">
        <v>32</v>
      </c>
      <c r="D42" s="26" t="s">
        <v>250</v>
      </c>
      <c r="E42" s="10">
        <v>49.9</v>
      </c>
      <c r="F42" s="10">
        <v>-122</v>
      </c>
      <c r="G42" s="6">
        <v>83.9</v>
      </c>
      <c r="H42" s="6">
        <v>40</v>
      </c>
      <c r="I42" s="6">
        <v>16</v>
      </c>
      <c r="J42" s="11">
        <v>371.8</v>
      </c>
      <c r="K42" s="11">
        <v>72.604934026208781</v>
      </c>
      <c r="L42" s="6" t="s">
        <v>22</v>
      </c>
      <c r="M42" s="6">
        <v>0.3</v>
      </c>
      <c r="N42" s="6">
        <v>53.3</v>
      </c>
      <c r="O42" s="6">
        <f>Table1[[#This Row],[R1 Length (km)]]+Table1[[#This Row],[T1 Length (km)]]</f>
        <v>53.599999999999994</v>
      </c>
      <c r="P42" s="26">
        <v>130</v>
      </c>
      <c r="Q42" s="6">
        <f>(Table1[[#This Row],[Linear Features (km)]]*1)*100</f>
        <v>5359.9999999999991</v>
      </c>
      <c r="R42" s="7">
        <v>53.32</v>
      </c>
      <c r="S42" s="8">
        <f>Table1[[#This Row],[ATG (ha)]]/Table1[[#This Row],[Linear Area (ha)]]</f>
        <v>9.9477611940298524E-3</v>
      </c>
      <c r="T42" s="9" t="s">
        <v>22</v>
      </c>
      <c r="U42" s="9" t="s">
        <v>22</v>
      </c>
      <c r="V42" s="7" t="s">
        <v>22</v>
      </c>
      <c r="W42" s="7" t="s">
        <v>22</v>
      </c>
      <c r="X42" s="31">
        <v>34964.4686994925</v>
      </c>
      <c r="Y42" s="27">
        <f>Table1[[#This Row],[Raw Terrestrial Score]]/Table1[[#This Row],[Summed Raw Scores]]</f>
        <v>0.56506964506952218</v>
      </c>
      <c r="Z42" s="31">
        <v>26911.919467121399</v>
      </c>
      <c r="AA42" s="27">
        <f>Table1[[#This Row],[Raw Freshwater Score]]/Table1[[#This Row],[Summed Raw Scores]]</f>
        <v>0.43493035493047777</v>
      </c>
      <c r="AB42" s="27">
        <f>Table1[[#This Row],[Raw Terrestrial Score]]+Table1[[#This Row],[Raw Freshwater Score]]</f>
        <v>61876.388166613899</v>
      </c>
      <c r="AC42" s="28">
        <f>Table1[[#This Row],[Terrestrial % of Summed Score]]*Table1[[#This Row],[Scaled Summed Score]]</f>
        <v>0.20731958554281782</v>
      </c>
      <c r="AD42" s="28">
        <f>Table1[[#This Row],[Freshwater % of Summed Score]]*Table1[[#This Row],[Scaled Summed Score]]</f>
        <v>0.15957250882425913</v>
      </c>
      <c r="AE42" s="28">
        <f>Table1[[#This Row],[Summed Raw Scores]]/MAX(Table1[Summed Raw Scores])</f>
        <v>0.36689209436707698</v>
      </c>
      <c r="AF42" s="7"/>
    </row>
    <row r="43" spans="1:32" hidden="1" x14ac:dyDescent="0.3">
      <c r="A43" s="26" t="s">
        <v>105</v>
      </c>
      <c r="B43" s="26" t="s">
        <v>97</v>
      </c>
      <c r="C43" s="26" t="s">
        <v>30</v>
      </c>
      <c r="D43" s="26" t="s">
        <v>250</v>
      </c>
      <c r="E43" s="6">
        <v>56.33</v>
      </c>
      <c r="F43" s="6">
        <v>-128.69</v>
      </c>
      <c r="G43" s="6">
        <v>77.2</v>
      </c>
      <c r="H43" s="6">
        <v>40</v>
      </c>
      <c r="I43" s="6">
        <v>5</v>
      </c>
      <c r="J43" s="6">
        <v>286</v>
      </c>
      <c r="K43" s="6">
        <v>109.41</v>
      </c>
      <c r="L43" s="6" t="s">
        <v>22</v>
      </c>
      <c r="M43" s="6">
        <f>8100/1000</f>
        <v>8.1</v>
      </c>
      <c r="N43" s="6">
        <v>53.5441</v>
      </c>
      <c r="O43" s="6">
        <f>Table1[[#This Row],[R1 Length (km)]]+Table1[[#This Row],[T1 Length (km)]]</f>
        <v>61.644100000000002</v>
      </c>
      <c r="P43" s="26">
        <v>130</v>
      </c>
      <c r="Q43" s="6">
        <f>(Table1[[#This Row],[Linear Features (km)]]*1)*100</f>
        <v>6164.41</v>
      </c>
      <c r="R43" s="7">
        <v>347.8</v>
      </c>
      <c r="S43" s="8">
        <f>Table1[[#This Row],[ATG (ha)]]/Table1[[#This Row],[Linear Area (ha)]]</f>
        <v>5.6420646907003269E-2</v>
      </c>
      <c r="T43" s="9" t="s">
        <v>22</v>
      </c>
      <c r="U43" s="9" t="s">
        <v>22</v>
      </c>
      <c r="V43" s="7" t="s">
        <v>22</v>
      </c>
      <c r="W43" s="7" t="s">
        <v>22</v>
      </c>
      <c r="X43" s="31">
        <v>22731.871283665299</v>
      </c>
      <c r="Y43" s="27">
        <f>Table1[[#This Row],[Raw Terrestrial Score]]/Table1[[#This Row],[Summed Raw Scores]]</f>
        <v>0.43779951239842257</v>
      </c>
      <c r="Z43" s="31">
        <v>29191.145165421101</v>
      </c>
      <c r="AA43" s="27">
        <f>Table1[[#This Row],[Raw Freshwater Score]]/Table1[[#This Row],[Summed Raw Scores]]</f>
        <v>0.56220048760157748</v>
      </c>
      <c r="AB43" s="27">
        <f>Table1[[#This Row],[Raw Terrestrial Score]]+Table1[[#This Row],[Raw Freshwater Score]]</f>
        <v>51923.016449086397</v>
      </c>
      <c r="AC43" s="28">
        <f>Table1[[#This Row],[Terrestrial % of Summed Score]]*Table1[[#This Row],[Scaled Summed Score]]</f>
        <v>0.13478717991246286</v>
      </c>
      <c r="AD43" s="28">
        <f>Table1[[#This Row],[Freshwater % of Summed Score]]*Table1[[#This Row],[Scaled Summed Score]]</f>
        <v>0.17308703213051183</v>
      </c>
      <c r="AE43" s="28">
        <f>Table1[[#This Row],[Summed Raw Scores]]/MAX(Table1[Summed Raw Scores])</f>
        <v>0.30787421204297466</v>
      </c>
      <c r="AF43" s="7"/>
    </row>
    <row r="44" spans="1:32" x14ac:dyDescent="0.3">
      <c r="A44" s="26" t="s">
        <v>131</v>
      </c>
      <c r="B44" s="26" t="s">
        <v>114</v>
      </c>
      <c r="C44" s="26" t="s">
        <v>30</v>
      </c>
      <c r="D44" s="26" t="s">
        <v>250</v>
      </c>
      <c r="E44" s="6">
        <v>53.464523669999998</v>
      </c>
      <c r="F44" s="6">
        <v>-130.32914880000001</v>
      </c>
      <c r="G44" s="6">
        <v>345</v>
      </c>
      <c r="H44" s="26" t="s">
        <v>22</v>
      </c>
      <c r="I44" s="6">
        <v>82.8</v>
      </c>
      <c r="J44" s="7">
        <v>1150.2493200000001</v>
      </c>
      <c r="K44" s="7">
        <v>75.229339188373373</v>
      </c>
      <c r="L44" s="6" t="s">
        <v>22</v>
      </c>
      <c r="M44" s="6">
        <v>3.8769558105500002</v>
      </c>
      <c r="N44" s="6">
        <v>99.066101562499995</v>
      </c>
      <c r="O44" s="6">
        <f>Table1[[#This Row],[R1 Length (km)]]+Table1[[#This Row],[T1 Length (km)]]</f>
        <v>102.94305737305</v>
      </c>
      <c r="P44" s="26">
        <v>230</v>
      </c>
      <c r="Q44" s="6">
        <f>(Table1[[#This Row],[Linear Features (km)]]*1)*100</f>
        <v>10294.305737305</v>
      </c>
      <c r="R44" s="7">
        <f>((PI()*(45^2))*Table1[[#This Row],[Number of Turbines - WIND]])/10000</f>
        <v>43.895903352283383</v>
      </c>
      <c r="S44" s="8">
        <f>Table1[[#This Row],[ATG (ha)]]/Table1[[#This Row],[Linear Area (ha)]]</f>
        <v>4.2640955565571848E-3</v>
      </c>
      <c r="T44" s="26" t="s">
        <v>115</v>
      </c>
      <c r="U44" s="26">
        <v>69</v>
      </c>
      <c r="V44" s="7" t="s">
        <v>22</v>
      </c>
      <c r="W44" s="7" t="s">
        <v>22</v>
      </c>
      <c r="X44" s="31">
        <f>56888.8514578512+[1]plateau_average_sums!$B$27</f>
        <v>56934.932159836513</v>
      </c>
      <c r="Y44" s="27">
        <f>Table1[[#This Row],[Raw Terrestrial Score]]/Table1[[#This Row],[Summed Raw Scores]]</f>
        <v>0.33759204636383006</v>
      </c>
      <c r="Z44" s="31">
        <f>111507.132534931+[2]plateau_average_sums!$B$27</f>
        <v>111715.16719255327</v>
      </c>
      <c r="AA44" s="27">
        <f>Table1[[#This Row],[Raw Freshwater Score]]/Table1[[#This Row],[Summed Raw Scores]]</f>
        <v>0.66240795363617</v>
      </c>
      <c r="AB44" s="27">
        <f>Table1[[#This Row],[Raw Terrestrial Score]]+Table1[[#This Row],[Raw Freshwater Score]]</f>
        <v>168650.09935238978</v>
      </c>
      <c r="AC44" s="28">
        <f>Table1[[#This Row],[Terrestrial % of Summed Score]]*Table1[[#This Row],[Scaled Summed Score]]</f>
        <v>0.33759204636383006</v>
      </c>
      <c r="AD44" s="28">
        <f>Table1[[#This Row],[Freshwater % of Summed Score]]*Table1[[#This Row],[Scaled Summed Score]]</f>
        <v>0.66240795363617</v>
      </c>
      <c r="AE44" s="28">
        <f>Table1[[#This Row],[Summed Raw Scores]]/MAX(Table1[Summed Raw Scores])</f>
        <v>1</v>
      </c>
      <c r="AF44" s="7"/>
    </row>
    <row r="45" spans="1:32" x14ac:dyDescent="0.3">
      <c r="A45" s="26" t="s">
        <v>132</v>
      </c>
      <c r="B45" s="26" t="s">
        <v>114</v>
      </c>
      <c r="C45" s="26" t="s">
        <v>30</v>
      </c>
      <c r="D45" s="26" t="s">
        <v>250</v>
      </c>
      <c r="E45" s="6">
        <v>53.66880613</v>
      </c>
      <c r="F45" s="6">
        <v>-130.29157169999999</v>
      </c>
      <c r="G45" s="6">
        <v>234</v>
      </c>
      <c r="H45" s="26" t="s">
        <v>22</v>
      </c>
      <c r="I45" s="6">
        <v>56.4</v>
      </c>
      <c r="J45" s="7">
        <v>723.39204000000007</v>
      </c>
      <c r="K45" s="7">
        <v>84.952197534795616</v>
      </c>
      <c r="L45" s="6" t="s">
        <v>22</v>
      </c>
      <c r="M45" s="6">
        <v>3.9355344238300001</v>
      </c>
      <c r="N45" s="6">
        <v>78.465390624999998</v>
      </c>
      <c r="O45" s="6">
        <f>Table1[[#This Row],[R1 Length (km)]]+Table1[[#This Row],[T1 Length (km)]]</f>
        <v>82.400925048830004</v>
      </c>
      <c r="P45" s="26">
        <v>230</v>
      </c>
      <c r="Q45" s="6">
        <f>(Table1[[#This Row],[Linear Features (km)]]*1)*100</f>
        <v>8240.0925048829995</v>
      </c>
      <c r="R45" s="7">
        <f>((PI()*(45^2))*Table1[[#This Row],[Number of Turbines - WIND]])/10000</f>
        <v>29.900108080540853</v>
      </c>
      <c r="S45" s="8">
        <f>Table1[[#This Row],[ATG (ha)]]/Table1[[#This Row],[Linear Area (ha)]]</f>
        <v>3.6286131572943309E-3</v>
      </c>
      <c r="T45" s="26" t="s">
        <v>115</v>
      </c>
      <c r="U45" s="26">
        <v>47</v>
      </c>
      <c r="V45" s="7" t="s">
        <v>22</v>
      </c>
      <c r="W45" s="7" t="s">
        <v>22</v>
      </c>
      <c r="X45" s="31">
        <f>12778.4923313113+[1]plateau_average_sums!$B$28</f>
        <v>12803.96568411839</v>
      </c>
      <c r="Y45" s="27">
        <f>Table1[[#This Row],[Raw Terrestrial Score]]/Table1[[#This Row],[Summed Raw Scores]]</f>
        <v>0.30060206562778591</v>
      </c>
      <c r="Z45" s="31">
        <f>29718.051642505+[2]plateau_average_sums!$B$25</f>
        <v>29790.437841945957</v>
      </c>
      <c r="AA45" s="27">
        <f>Table1[[#This Row],[Raw Freshwater Score]]/Table1[[#This Row],[Summed Raw Scores]]</f>
        <v>0.6993979343722142</v>
      </c>
      <c r="AB45" s="27">
        <f>Table1[[#This Row],[Raw Terrestrial Score]]+Table1[[#This Row],[Raw Freshwater Score]]</f>
        <v>42594.403526064343</v>
      </c>
      <c r="AC45" s="28">
        <f>Table1[[#This Row],[Terrestrial % of Summed Score]]*Table1[[#This Row],[Scaled Summed Score]]</f>
        <v>7.5920297309548884E-2</v>
      </c>
      <c r="AD45" s="28">
        <f>Table1[[#This Row],[Freshwater % of Summed Score]]*Table1[[#This Row],[Scaled Summed Score]]</f>
        <v>0.17664049980604907</v>
      </c>
      <c r="AE45" s="28">
        <f>Table1[[#This Row],[Summed Raw Scores]]/MAX(Table1[Summed Raw Scores])</f>
        <v>0.25256079711559792</v>
      </c>
      <c r="AF45" s="7"/>
    </row>
    <row r="46" spans="1:32" x14ac:dyDescent="0.3">
      <c r="A46" s="26" t="s">
        <v>133</v>
      </c>
      <c r="B46" s="26" t="s">
        <v>114</v>
      </c>
      <c r="C46" s="26" t="s">
        <v>30</v>
      </c>
      <c r="D46" s="26"/>
      <c r="E46" s="6">
        <v>52.636803919999998</v>
      </c>
      <c r="F46" s="6">
        <v>-129.0720259</v>
      </c>
      <c r="G46" s="6">
        <v>261</v>
      </c>
      <c r="H46" s="26" t="s">
        <v>22</v>
      </c>
      <c r="I46" s="6">
        <v>62.4</v>
      </c>
      <c r="J46" s="6">
        <v>720.63264000000004</v>
      </c>
      <c r="K46" s="6">
        <v>135.21545013418904</v>
      </c>
      <c r="L46" s="6" t="s">
        <v>22</v>
      </c>
      <c r="M46" s="6">
        <v>4.9254838867199995</v>
      </c>
      <c r="N46" s="6">
        <v>214.113828125</v>
      </c>
      <c r="O46" s="6">
        <f>Table1[[#This Row],[R1 Length (km)]]+Table1[[#This Row],[T1 Length (km)]]</f>
        <v>219.03931201172</v>
      </c>
      <c r="P46" s="26">
        <v>230</v>
      </c>
      <c r="Q46" s="6">
        <f>(Table1[[#This Row],[Linear Features (km)]]*1)*100</f>
        <v>21903.931201171999</v>
      </c>
      <c r="R46" s="7">
        <f>((PI()*(45^2))*Table1[[#This Row],[Number of Turbines - WIND]])/10000</f>
        <v>33.080970642300521</v>
      </c>
      <c r="S46" s="8">
        <f>Table1[[#This Row],[ATG (ha)]]/Table1[[#This Row],[Linear Area (ha)]]</f>
        <v>1.510275499793867E-3</v>
      </c>
      <c r="T46" s="26" t="s">
        <v>115</v>
      </c>
      <c r="U46" s="26">
        <v>52</v>
      </c>
      <c r="V46" s="7" t="s">
        <v>22</v>
      </c>
      <c r="W46" s="7" t="s">
        <v>22</v>
      </c>
      <c r="X46" s="31">
        <f>54040.0764187378+[1]plateau_average_sums!$B$29</f>
        <v>54076.405853983044</v>
      </c>
      <c r="Y46" s="27">
        <f>Table1[[#This Row],[Raw Terrestrial Score]]/Table1[[#This Row],[Summed Raw Scores]]</f>
        <v>0.53157952513595519</v>
      </c>
      <c r="Z46" s="31">
        <f>47534.216908966+[2]plateau_average_sums!$B$26</f>
        <v>47651.375779729482</v>
      </c>
      <c r="AA46" s="27">
        <f>Table1[[#This Row],[Raw Freshwater Score]]/Table1[[#This Row],[Summed Raw Scores]]</f>
        <v>0.46842047486404487</v>
      </c>
      <c r="AB46" s="27">
        <f>Table1[[#This Row],[Raw Terrestrial Score]]+Table1[[#This Row],[Raw Freshwater Score]]</f>
        <v>101727.78163371253</v>
      </c>
      <c r="AC46" s="28">
        <f>Table1[[#This Row],[Terrestrial % of Summed Score]]*Table1[[#This Row],[Scaled Summed Score]]</f>
        <v>0.32064259707900833</v>
      </c>
      <c r="AD46" s="28">
        <f>Table1[[#This Row],[Freshwater % of Summed Score]]*Table1[[#This Row],[Scaled Summed Score]]</f>
        <v>0.28254579133192936</v>
      </c>
      <c r="AE46" s="28">
        <f>Table1[[#This Row],[Summed Raw Scores]]/MAX(Table1[Summed Raw Scores])</f>
        <v>0.60318838841093769</v>
      </c>
      <c r="AF46" s="7"/>
    </row>
    <row r="47" spans="1:32" x14ac:dyDescent="0.3">
      <c r="A47" s="26" t="s">
        <v>134</v>
      </c>
      <c r="B47" s="26" t="s">
        <v>114</v>
      </c>
      <c r="C47" s="26" t="s">
        <v>30</v>
      </c>
      <c r="D47" s="26"/>
      <c r="E47" s="6">
        <v>52.347802309999999</v>
      </c>
      <c r="F47" s="6">
        <v>-128.68156629999999</v>
      </c>
      <c r="G47" s="6">
        <v>198</v>
      </c>
      <c r="H47" s="26" t="s">
        <v>22</v>
      </c>
      <c r="I47" s="6">
        <v>48</v>
      </c>
      <c r="J47" s="6">
        <v>595.50479999999993</v>
      </c>
      <c r="K47" s="6">
        <v>134.62651943639156</v>
      </c>
      <c r="L47" s="6" t="s">
        <v>22</v>
      </c>
      <c r="M47" s="6">
        <v>2.7656855468799999</v>
      </c>
      <c r="N47" s="6">
        <v>220.113828125</v>
      </c>
      <c r="O47" s="6">
        <f>Table1[[#This Row],[R1 Length (km)]]+Table1[[#This Row],[T1 Length (km)]]</f>
        <v>222.87951367188001</v>
      </c>
      <c r="P47" s="26">
        <v>230</v>
      </c>
      <c r="Q47" s="6">
        <f>(Table1[[#This Row],[Linear Features (km)]]*1)*100</f>
        <v>22287.951367188001</v>
      </c>
      <c r="R47" s="7">
        <f>((PI()*(45^2))*Table1[[#This Row],[Number of Turbines - WIND]])/10000</f>
        <v>25.446900494077326</v>
      </c>
      <c r="S47" s="8">
        <f>Table1[[#This Row],[ATG (ha)]]/Table1[[#This Row],[Linear Area (ha)]]</f>
        <v>1.141733489760745E-3</v>
      </c>
      <c r="T47" s="26" t="s">
        <v>115</v>
      </c>
      <c r="U47" s="26">
        <v>40</v>
      </c>
      <c r="V47" s="7" t="s">
        <v>22</v>
      </c>
      <c r="W47" s="7" t="s">
        <v>22</v>
      </c>
      <c r="X47" s="31">
        <f>73942.3409898639+[1]plateau_average_sums!$B$30</f>
        <v>73961.159791962025</v>
      </c>
      <c r="Y47" s="27">
        <f>Table1[[#This Row],[Raw Terrestrial Score]]/Table1[[#This Row],[Summed Raw Scores]]</f>
        <v>0.55192802179286105</v>
      </c>
      <c r="Z47" s="31">
        <f>59894.2602610737+[2]plateau_average_sums!$B$30</f>
        <v>60043.922160046015</v>
      </c>
      <c r="AA47" s="27">
        <f>Table1[[#This Row],[Raw Freshwater Score]]/Table1[[#This Row],[Summed Raw Scores]]</f>
        <v>0.44807197820713895</v>
      </c>
      <c r="AB47" s="27">
        <f>Table1[[#This Row],[Raw Terrestrial Score]]+Table1[[#This Row],[Raw Freshwater Score]]</f>
        <v>134005.08195200804</v>
      </c>
      <c r="AC47" s="28">
        <f>Table1[[#This Row],[Terrestrial % of Summed Score]]*Table1[[#This Row],[Scaled Summed Score]]</f>
        <v>0.43854797640778259</v>
      </c>
      <c r="AD47" s="28">
        <f>Table1[[#This Row],[Freshwater % of Summed Score]]*Table1[[#This Row],[Scaled Summed Score]]</f>
        <v>0.35602660413846471</v>
      </c>
      <c r="AE47" s="28">
        <f>Table1[[#This Row],[Summed Raw Scores]]/MAX(Table1[Summed Raw Scores])</f>
        <v>0.7945745805462473</v>
      </c>
      <c r="AF47" s="7"/>
    </row>
    <row r="48" spans="1:32" hidden="1" x14ac:dyDescent="0.3">
      <c r="A48" s="26" t="s">
        <v>135</v>
      </c>
      <c r="B48" s="26" t="s">
        <v>114</v>
      </c>
      <c r="C48" s="26" t="s">
        <v>30</v>
      </c>
      <c r="D48" s="26" t="s">
        <v>250</v>
      </c>
      <c r="E48" s="6">
        <v>54.2217287</v>
      </c>
      <c r="F48" s="6">
        <v>-126.3493254</v>
      </c>
      <c r="G48" s="6">
        <v>117</v>
      </c>
      <c r="H48" s="26" t="s">
        <v>22</v>
      </c>
      <c r="I48" s="6">
        <v>27.599999999999998</v>
      </c>
      <c r="J48" s="6">
        <v>338.78861999999998</v>
      </c>
      <c r="K48" s="6">
        <v>78.174797926861075</v>
      </c>
      <c r="L48" s="6" t="s">
        <v>22</v>
      </c>
      <c r="M48" s="6">
        <v>1.0656854248000001</v>
      </c>
      <c r="N48" s="6">
        <v>28.352900390624999</v>
      </c>
      <c r="O48" s="6">
        <f>Table1[[#This Row],[R1 Length (km)]]+Table1[[#This Row],[T1 Length (km)]]</f>
        <v>29.418585815425001</v>
      </c>
      <c r="P48" s="26">
        <v>130</v>
      </c>
      <c r="Q48" s="6">
        <f>(Table1[[#This Row],[Linear Features (km)]]*1)*100</f>
        <v>2941.8585815424999</v>
      </c>
      <c r="R48" s="7">
        <v>14.63</v>
      </c>
      <c r="S48" s="8">
        <f>Table1[[#This Row],[ATG (ha)]]/Table1[[#This Row],[Linear Area (ha)]]</f>
        <v>4.9730466623344885E-3</v>
      </c>
      <c r="T48" s="26" t="s">
        <v>136</v>
      </c>
      <c r="U48" s="9" t="s">
        <v>22</v>
      </c>
      <c r="V48" s="7" t="s">
        <v>22</v>
      </c>
      <c r="W48" s="7" t="s">
        <v>22</v>
      </c>
      <c r="X48" s="31">
        <v>8968.9753376562094</v>
      </c>
      <c r="Y48" s="27">
        <f>Table1[[#This Row],[Raw Terrestrial Score]]/Table1[[#This Row],[Summed Raw Scores]]</f>
        <v>0.30679798717445977</v>
      </c>
      <c r="Z48" s="31">
        <v>20265.164756476901</v>
      </c>
      <c r="AA48" s="27">
        <f>Table1[[#This Row],[Raw Freshwater Score]]/Table1[[#This Row],[Summed Raw Scores]]</f>
        <v>0.69320201282554028</v>
      </c>
      <c r="AB48" s="27">
        <f>Table1[[#This Row],[Raw Terrestrial Score]]+Table1[[#This Row],[Raw Freshwater Score]]</f>
        <v>29234.140094133109</v>
      </c>
      <c r="AC48" s="28">
        <f>Table1[[#This Row],[Terrestrial % of Summed Score]]*Table1[[#This Row],[Scaled Summed Score]]</f>
        <v>5.3180966818856007E-2</v>
      </c>
      <c r="AD48" s="28">
        <f>Table1[[#This Row],[Freshwater % of Summed Score]]*Table1[[#This Row],[Scaled Summed Score]]</f>
        <v>0.12016100099729791</v>
      </c>
      <c r="AE48" s="28">
        <f>Table1[[#This Row],[Summed Raw Scores]]/MAX(Table1[Summed Raw Scores])</f>
        <v>0.17334196781615391</v>
      </c>
      <c r="AF48" s="7"/>
    </row>
    <row r="49" spans="1:32" x14ac:dyDescent="0.3">
      <c r="A49" s="26" t="s">
        <v>137</v>
      </c>
      <c r="B49" s="26" t="s">
        <v>114</v>
      </c>
      <c r="C49" s="26" t="s">
        <v>30</v>
      </c>
      <c r="D49" s="26" t="s">
        <v>250</v>
      </c>
      <c r="E49" s="6">
        <v>54.280761560000002</v>
      </c>
      <c r="F49" s="6">
        <v>-125.5268817</v>
      </c>
      <c r="G49" s="6">
        <v>195</v>
      </c>
      <c r="H49" s="26" t="s">
        <v>22</v>
      </c>
      <c r="I49" s="6">
        <v>46.8</v>
      </c>
      <c r="J49" s="6">
        <v>516.38886000000002</v>
      </c>
      <c r="K49" s="6">
        <v>84.12008727319369</v>
      </c>
      <c r="L49" s="6" t="s">
        <v>22</v>
      </c>
      <c r="M49" s="6">
        <v>1.48994958496</v>
      </c>
      <c r="N49" s="6">
        <v>42.6198046875</v>
      </c>
      <c r="O49" s="6">
        <f>Table1[[#This Row],[R1 Length (km)]]+Table1[[#This Row],[T1 Length (km)]]</f>
        <v>44.109754272460002</v>
      </c>
      <c r="P49" s="26">
        <v>230</v>
      </c>
      <c r="Q49" s="6">
        <f>(Table1[[#This Row],[Linear Features (km)]]*1)*100</f>
        <v>4410.9754272460004</v>
      </c>
      <c r="R49" s="7">
        <f>((PI()*(45^2))*Table1[[#This Row],[Number of Turbines - WIND]])/10000</f>
        <v>24.810727981725389</v>
      </c>
      <c r="S49" s="8">
        <f>Table1[[#This Row],[ATG (ha)]]/Table1[[#This Row],[Linear Area (ha)]]</f>
        <v>5.6247712985370239E-3</v>
      </c>
      <c r="T49" s="26" t="s">
        <v>115</v>
      </c>
      <c r="U49" s="26">
        <v>39</v>
      </c>
      <c r="V49" s="7" t="s">
        <v>22</v>
      </c>
      <c r="W49" s="7" t="s">
        <v>22</v>
      </c>
      <c r="X49" s="31">
        <f>6540.51822166145+[1]plateau_average_sums!$B$59</f>
        <v>6542.4125012623908</v>
      </c>
      <c r="Y49" s="27">
        <f>Table1[[#This Row],[Raw Terrestrial Score]]/Table1[[#This Row],[Summed Raw Scores]]</f>
        <v>0.32097263510921181</v>
      </c>
      <c r="Z49" s="31">
        <f>13693.6683767736+[2]plateau_average_sums!$B$59</f>
        <v>13840.672489881221</v>
      </c>
      <c r="AA49" s="27">
        <f>Table1[[#This Row],[Raw Freshwater Score]]/Table1[[#This Row],[Summed Raw Scores]]</f>
        <v>0.67902736489078819</v>
      </c>
      <c r="AB49" s="27">
        <f>Table1[[#This Row],[Raw Terrestrial Score]]+Table1[[#This Row],[Raw Freshwater Score]]</f>
        <v>20383.084991143613</v>
      </c>
      <c r="AC49" s="28">
        <f>Table1[[#This Row],[Terrestrial % of Summed Score]]*Table1[[#This Row],[Scaled Summed Score]]</f>
        <v>3.8792817356082303E-2</v>
      </c>
      <c r="AD49" s="28">
        <f>Table1[[#This Row],[Freshwater % of Summed Score]]*Table1[[#This Row],[Scaled Summed Score]]</f>
        <v>8.2067384146400746E-2</v>
      </c>
      <c r="AE49" s="28">
        <f>Table1[[#This Row],[Summed Raw Scores]]/MAX(Table1[Summed Raw Scores])</f>
        <v>0.12086020150248304</v>
      </c>
      <c r="AF49" s="7"/>
    </row>
    <row r="50" spans="1:32" x14ac:dyDescent="0.3">
      <c r="A50" s="26" t="s">
        <v>138</v>
      </c>
      <c r="B50" s="26" t="s">
        <v>114</v>
      </c>
      <c r="C50" s="26" t="s">
        <v>30</v>
      </c>
      <c r="D50" s="26" t="s">
        <v>250</v>
      </c>
      <c r="E50" s="6">
        <v>53.731754780000003</v>
      </c>
      <c r="F50" s="6">
        <v>-124.2257591</v>
      </c>
      <c r="G50" s="6">
        <v>333</v>
      </c>
      <c r="H50" s="26" t="s">
        <v>22</v>
      </c>
      <c r="I50" s="6">
        <v>80.399999999999991</v>
      </c>
      <c r="J50" s="6">
        <v>1126.00602</v>
      </c>
      <c r="K50" s="6">
        <v>61.8691277592863</v>
      </c>
      <c r="L50" s="6" t="s">
        <v>22</v>
      </c>
      <c r="M50" s="6">
        <v>0.241421356201</v>
      </c>
      <c r="N50" s="6">
        <v>34.152187499999997</v>
      </c>
      <c r="O50" s="6">
        <f>Table1[[#This Row],[R1 Length (km)]]+Table1[[#This Row],[T1 Length (km)]]</f>
        <v>34.393608856200999</v>
      </c>
      <c r="P50" s="26">
        <v>230</v>
      </c>
      <c r="Q50" s="6">
        <f>(Table1[[#This Row],[Linear Features (km)]]*1)*100</f>
        <v>3439.3608856200999</v>
      </c>
      <c r="R50" s="7">
        <f>((PI()*(45^2))*Table1[[#This Row],[Number of Turbines - WIND]])/10000</f>
        <v>42.623558327579516</v>
      </c>
      <c r="S50" s="8">
        <f>Table1[[#This Row],[ATG (ha)]]/Table1[[#This Row],[Linear Area (ha)]]</f>
        <v>1.2392871741313269E-2</v>
      </c>
      <c r="T50" s="26" t="s">
        <v>115</v>
      </c>
      <c r="U50" s="26">
        <v>67</v>
      </c>
      <c r="V50" s="7" t="s">
        <v>22</v>
      </c>
      <c r="W50" s="7" t="s">
        <v>22</v>
      </c>
      <c r="X50" s="31">
        <f>15822.6407009419+[1]plateau_average_sums!$B$60</f>
        <v>15833.69457293344</v>
      </c>
      <c r="Y50" s="27">
        <f>Table1[[#This Row],[Raw Terrestrial Score]]/Table1[[#This Row],[Summed Raw Scores]]</f>
        <v>0.38568709148584251</v>
      </c>
      <c r="Z50" s="31">
        <f>25021.6812224686+[2]plateau_average_sums!$B$60</f>
        <v>25219.519087743745</v>
      </c>
      <c r="AA50" s="27">
        <f>Table1[[#This Row],[Raw Freshwater Score]]/Table1[[#This Row],[Summed Raw Scores]]</f>
        <v>0.61431290851415754</v>
      </c>
      <c r="AB50" s="27">
        <f>Table1[[#This Row],[Raw Terrestrial Score]]+Table1[[#This Row],[Raw Freshwater Score]]</f>
        <v>41053.213660677182</v>
      </c>
      <c r="AC50" s="28">
        <f>Table1[[#This Row],[Terrestrial % of Summed Score]]*Table1[[#This Row],[Scaled Summed Score]]</f>
        <v>9.3884881383018745E-2</v>
      </c>
      <c r="AD50" s="28">
        <f>Table1[[#This Row],[Freshwater % of Summed Score]]*Table1[[#This Row],[Scaled Summed Score]]</f>
        <v>0.1495375287923682</v>
      </c>
      <c r="AE50" s="28">
        <f>Table1[[#This Row],[Summed Raw Scores]]/MAX(Table1[Summed Raw Scores])</f>
        <v>0.24342241017538693</v>
      </c>
      <c r="AF50" s="7"/>
    </row>
    <row r="51" spans="1:32" hidden="1" x14ac:dyDescent="0.3">
      <c r="A51" s="26" t="s">
        <v>139</v>
      </c>
      <c r="B51" s="26" t="s">
        <v>114</v>
      </c>
      <c r="C51" s="26" t="s">
        <v>59</v>
      </c>
      <c r="D51" s="26" t="s">
        <v>250</v>
      </c>
      <c r="E51" s="6">
        <v>53.603466359999999</v>
      </c>
      <c r="F51" s="6">
        <v>-122.39073879999999</v>
      </c>
      <c r="G51" s="6">
        <v>96</v>
      </c>
      <c r="H51" s="26" t="s">
        <v>22</v>
      </c>
      <c r="I51" s="6">
        <v>22.8</v>
      </c>
      <c r="J51" s="6">
        <v>300.25776000000002</v>
      </c>
      <c r="K51" s="6">
        <v>81.417215013863583</v>
      </c>
      <c r="L51" s="6" t="s">
        <v>22</v>
      </c>
      <c r="M51" s="6">
        <v>2.6384777831999999</v>
      </c>
      <c r="N51" s="6">
        <v>33.161730468750001</v>
      </c>
      <c r="O51" s="6">
        <f>Table1[[#This Row],[R1 Length (km)]]+Table1[[#This Row],[T1 Length (km)]]</f>
        <v>35.800208251950004</v>
      </c>
      <c r="P51" s="26">
        <v>230</v>
      </c>
      <c r="Q51" s="6">
        <f>(Table1[[#This Row],[Linear Features (km)]]*1)*100</f>
        <v>3580.0208251950003</v>
      </c>
      <c r="R51" s="7">
        <v>12.09</v>
      </c>
      <c r="S51" s="8">
        <f>Table1[[#This Row],[ATG (ha)]]/Table1[[#This Row],[Linear Area (ha)]]</f>
        <v>3.3770753273038487E-3</v>
      </c>
      <c r="T51" s="26" t="s">
        <v>136</v>
      </c>
      <c r="U51" s="9" t="s">
        <v>22</v>
      </c>
      <c r="V51" s="7" t="s">
        <v>22</v>
      </c>
      <c r="W51" s="7" t="s">
        <v>22</v>
      </c>
      <c r="X51" s="31">
        <v>11702.3024749532</v>
      </c>
      <c r="Y51" s="27">
        <f>Table1[[#This Row],[Raw Terrestrial Score]]/Table1[[#This Row],[Summed Raw Scores]]</f>
        <v>0.56921243473831296</v>
      </c>
      <c r="Z51" s="31">
        <v>8856.45864967536</v>
      </c>
      <c r="AA51" s="27">
        <f>Table1[[#This Row],[Raw Freshwater Score]]/Table1[[#This Row],[Summed Raw Scores]]</f>
        <v>0.43078756526168704</v>
      </c>
      <c r="AB51" s="27">
        <f>Table1[[#This Row],[Raw Terrestrial Score]]+Table1[[#This Row],[Raw Freshwater Score]]</f>
        <v>20558.76112462856</v>
      </c>
      <c r="AC51" s="28">
        <f>Table1[[#This Row],[Terrestrial % of Summed Score]]*Table1[[#This Row],[Scaled Summed Score]]</f>
        <v>6.9388055624571898E-2</v>
      </c>
      <c r="AD51" s="28">
        <f>Table1[[#This Row],[Freshwater % of Summed Score]]*Table1[[#This Row],[Scaled Summed Score]]</f>
        <v>5.2513806298862778E-2</v>
      </c>
      <c r="AE51" s="28">
        <f>Table1[[#This Row],[Summed Raw Scores]]/MAX(Table1[Summed Raw Scores])</f>
        <v>0.12190186192343468</v>
      </c>
      <c r="AF51" s="7"/>
    </row>
    <row r="52" spans="1:32" hidden="1" x14ac:dyDescent="0.3">
      <c r="A52" s="26" t="s">
        <v>140</v>
      </c>
      <c r="B52" s="26" t="s">
        <v>114</v>
      </c>
      <c r="C52" s="26" t="s">
        <v>59</v>
      </c>
      <c r="D52" s="26"/>
      <c r="E52" s="6">
        <v>53.187641970000001</v>
      </c>
      <c r="F52" s="6">
        <v>-121.9923874</v>
      </c>
      <c r="G52" s="6">
        <v>75</v>
      </c>
      <c r="H52" s="26" t="s">
        <v>22</v>
      </c>
      <c r="I52" s="6">
        <v>18</v>
      </c>
      <c r="J52" s="6">
        <v>212.47380000000001</v>
      </c>
      <c r="K52" s="6">
        <v>98.4377501225039</v>
      </c>
      <c r="L52" s="6" t="s">
        <v>22</v>
      </c>
      <c r="M52" s="6">
        <v>1.8970565185499999</v>
      </c>
      <c r="N52" s="6">
        <v>36.525691406249997</v>
      </c>
      <c r="O52" s="6">
        <f>Table1[[#This Row],[R1 Length (km)]]+Table1[[#This Row],[T1 Length (km)]]</f>
        <v>38.422747924799999</v>
      </c>
      <c r="P52" s="26">
        <v>230</v>
      </c>
      <c r="Q52" s="6">
        <f>(Table1[[#This Row],[Linear Features (km)]]*1)*100</f>
        <v>3842.2747924800001</v>
      </c>
      <c r="R52" s="7">
        <f>1110924/10000</f>
        <v>111.0924</v>
      </c>
      <c r="S52" s="8">
        <f>Table1[[#This Row],[ATG (ha)]]/Table1[[#This Row],[Linear Area (ha)]]</f>
        <v>2.8913184506591548E-2</v>
      </c>
      <c r="T52" s="26" t="s">
        <v>136</v>
      </c>
      <c r="U52" s="9" t="s">
        <v>22</v>
      </c>
      <c r="V52" s="7" t="s">
        <v>22</v>
      </c>
      <c r="W52" s="7" t="s">
        <v>22</v>
      </c>
      <c r="X52" s="31">
        <v>12282.2603503913</v>
      </c>
      <c r="Y52" s="27">
        <f>Table1[[#This Row],[Raw Terrestrial Score]]/Table1[[#This Row],[Summed Raw Scores]]</f>
        <v>0.49782181748034543</v>
      </c>
      <c r="Z52" s="31">
        <v>12389.7405927498</v>
      </c>
      <c r="AA52" s="27">
        <f>Table1[[#This Row],[Raw Freshwater Score]]/Table1[[#This Row],[Summed Raw Scores]]</f>
        <v>0.50217818251965451</v>
      </c>
      <c r="AB52" s="27">
        <f>Table1[[#This Row],[Raw Terrestrial Score]]+Table1[[#This Row],[Raw Freshwater Score]]</f>
        <v>24672.000943141102</v>
      </c>
      <c r="AC52" s="28">
        <f>Table1[[#This Row],[Terrestrial % of Summed Score]]*Table1[[#This Row],[Scaled Summed Score]]</f>
        <v>7.2826878831110858E-2</v>
      </c>
      <c r="AD52" s="28">
        <f>Table1[[#This Row],[Freshwater % of Summed Score]]*Table1[[#This Row],[Scaled Summed Score]]</f>
        <v>7.3464176068238032E-2</v>
      </c>
      <c r="AE52" s="28">
        <f>Table1[[#This Row],[Summed Raw Scores]]/MAX(Table1[Summed Raw Scores])</f>
        <v>0.1462910548993489</v>
      </c>
      <c r="AF52" s="7"/>
    </row>
    <row r="53" spans="1:32" hidden="1" x14ac:dyDescent="0.3">
      <c r="A53" s="26" t="s">
        <v>141</v>
      </c>
      <c r="B53" s="26" t="s">
        <v>114</v>
      </c>
      <c r="C53" s="26" t="s">
        <v>30</v>
      </c>
      <c r="D53" s="26" t="s">
        <v>250</v>
      </c>
      <c r="E53" s="6">
        <v>53.759855649999999</v>
      </c>
      <c r="F53" s="6">
        <v>-123.8971043</v>
      </c>
      <c r="G53" s="6">
        <v>75</v>
      </c>
      <c r="H53" s="26" t="s">
        <v>22</v>
      </c>
      <c r="I53" s="6">
        <v>18</v>
      </c>
      <c r="J53" s="6">
        <v>246.9006</v>
      </c>
      <c r="K53" s="6">
        <v>84.536178019825769</v>
      </c>
      <c r="L53" s="6" t="s">
        <v>22</v>
      </c>
      <c r="M53" s="6">
        <v>1.95563513184</v>
      </c>
      <c r="N53" s="6">
        <v>31.794826171874998</v>
      </c>
      <c r="O53" s="6">
        <f>Table1[[#This Row],[R1 Length (km)]]+Table1[[#This Row],[T1 Length (km)]]</f>
        <v>33.750461303714999</v>
      </c>
      <c r="P53" s="26">
        <v>230</v>
      </c>
      <c r="Q53" s="6">
        <f>(Table1[[#This Row],[Linear Features (km)]]*1)*100</f>
        <v>3375.0461303715001</v>
      </c>
      <c r="R53" s="7">
        <v>9.5399999999999991</v>
      </c>
      <c r="S53" s="8">
        <f>Table1[[#This Row],[ATG (ha)]]/Table1[[#This Row],[Linear Area (ha)]]</f>
        <v>2.8266280315848323E-3</v>
      </c>
      <c r="T53" s="26" t="s">
        <v>136</v>
      </c>
      <c r="U53" s="9" t="s">
        <v>22</v>
      </c>
      <c r="V53" s="7" t="s">
        <v>22</v>
      </c>
      <c r="W53" s="7" t="s">
        <v>22</v>
      </c>
      <c r="X53" s="31">
        <v>21299.984218802299</v>
      </c>
      <c r="Y53" s="27">
        <f>Table1[[#This Row],[Raw Terrestrial Score]]/Table1[[#This Row],[Summed Raw Scores]]</f>
        <v>0.41152133483990017</v>
      </c>
      <c r="Z53" s="31">
        <v>30459.1408022344</v>
      </c>
      <c r="AA53" s="27">
        <f>Table1[[#This Row],[Raw Freshwater Score]]/Table1[[#This Row],[Summed Raw Scores]]</f>
        <v>0.58847866516009983</v>
      </c>
      <c r="AB53" s="27">
        <f>Table1[[#This Row],[Raw Terrestrial Score]]+Table1[[#This Row],[Raw Freshwater Score]]</f>
        <v>51759.1250210367</v>
      </c>
      <c r="AC53" s="28">
        <f>Table1[[#This Row],[Terrestrial % of Summed Score]]*Table1[[#This Row],[Scaled Summed Score]]</f>
        <v>0.12629689695169741</v>
      </c>
      <c r="AD53" s="28">
        <f>Table1[[#This Row],[Freshwater % of Summed Score]]*Table1[[#This Row],[Scaled Summed Score]]</f>
        <v>0.18060553132904392</v>
      </c>
      <c r="AE53" s="28">
        <f>Table1[[#This Row],[Summed Raw Scores]]/MAX(Table1[Summed Raw Scores])</f>
        <v>0.30690242828074132</v>
      </c>
      <c r="AF53" s="7"/>
    </row>
    <row r="54" spans="1:32" hidden="1" x14ac:dyDescent="0.3">
      <c r="A54" s="26" t="s">
        <v>142</v>
      </c>
      <c r="B54" s="26" t="s">
        <v>114</v>
      </c>
      <c r="C54" s="26" t="s">
        <v>30</v>
      </c>
      <c r="D54" s="26"/>
      <c r="E54" s="6">
        <v>54.277220999999997</v>
      </c>
      <c r="F54" s="6">
        <v>-130.33815799999999</v>
      </c>
      <c r="G54" s="6">
        <v>27</v>
      </c>
      <c r="H54" s="26" t="s">
        <v>22</v>
      </c>
      <c r="I54" s="6">
        <v>7.1999999999999993</v>
      </c>
      <c r="J54" s="6">
        <v>89.352000000000004</v>
      </c>
      <c r="K54" s="6">
        <v>105.77926262590856</v>
      </c>
      <c r="L54" s="6" t="s">
        <v>22</v>
      </c>
      <c r="M54" s="6">
        <v>6.2</v>
      </c>
      <c r="N54" s="6">
        <v>4.5941127929687502</v>
      </c>
      <c r="O54" s="6">
        <f>Table1[[#This Row],[R1 Length (km)]]+Table1[[#This Row],[T1 Length (km)]]</f>
        <v>10.79411279296875</v>
      </c>
      <c r="P54" s="26">
        <v>69</v>
      </c>
      <c r="Q54" s="6">
        <f>(Table1[[#This Row],[Linear Features (km)]]*1)*100</f>
        <v>1079.4112792968751</v>
      </c>
      <c r="R54" s="7">
        <f>423200.9/10000</f>
        <v>42.32009</v>
      </c>
      <c r="S54" s="8">
        <f>Table1[[#This Row],[ATG (ha)]]/Table1[[#This Row],[Linear Area (ha)]]</f>
        <v>3.9206640519420147E-2</v>
      </c>
      <c r="T54" s="26" t="s">
        <v>136</v>
      </c>
      <c r="U54" s="9" t="s">
        <v>22</v>
      </c>
      <c r="V54" s="7" t="s">
        <v>22</v>
      </c>
      <c r="W54" s="7" t="s">
        <v>22</v>
      </c>
      <c r="X54" s="31">
        <v>1538.07843957003</v>
      </c>
      <c r="Y54" s="27">
        <f>Table1[[#This Row],[Raw Terrestrial Score]]/Table1[[#This Row],[Summed Raw Scores]]</f>
        <v>0.62131644774883366</v>
      </c>
      <c r="Z54" s="31">
        <v>937.43696830759302</v>
      </c>
      <c r="AA54" s="27">
        <f>Table1[[#This Row],[Raw Freshwater Score]]/Table1[[#This Row],[Summed Raw Scores]]</f>
        <v>0.37868355225116623</v>
      </c>
      <c r="AB54" s="27">
        <f>Table1[[#This Row],[Raw Terrestrial Score]]+Table1[[#This Row],[Raw Freshwater Score]]</f>
        <v>2475.5154078776231</v>
      </c>
      <c r="AC54" s="28">
        <f>Table1[[#This Row],[Terrestrial % of Summed Score]]*Table1[[#This Row],[Scaled Summed Score]]</f>
        <v>9.119937939415363E-3</v>
      </c>
      <c r="AD54" s="28">
        <f>Table1[[#This Row],[Freshwater % of Summed Score]]*Table1[[#This Row],[Scaled Summed Score]]</f>
        <v>5.5584726715686306E-3</v>
      </c>
      <c r="AE54" s="28">
        <f>Table1[[#This Row],[Summed Raw Scores]]/MAX(Table1[Summed Raw Scores])</f>
        <v>1.4678410610983995E-2</v>
      </c>
      <c r="AF54" s="7"/>
    </row>
    <row r="55" spans="1:32" hidden="1" x14ac:dyDescent="0.3">
      <c r="A55" s="26" t="s">
        <v>106</v>
      </c>
      <c r="B55" s="26" t="s">
        <v>97</v>
      </c>
      <c r="C55" s="26" t="s">
        <v>21</v>
      </c>
      <c r="D55" s="26" t="s">
        <v>250</v>
      </c>
      <c r="E55" s="10">
        <v>50.52</v>
      </c>
      <c r="F55" s="10">
        <v>-127.02</v>
      </c>
      <c r="G55" s="6">
        <v>77.599999999999994</v>
      </c>
      <c r="H55" s="6">
        <v>40</v>
      </c>
      <c r="I55" s="6">
        <v>38</v>
      </c>
      <c r="J55" s="11">
        <v>380</v>
      </c>
      <c r="K55" s="11">
        <v>75.443835022643938</v>
      </c>
      <c r="L55" s="6" t="s">
        <v>22</v>
      </c>
      <c r="M55" s="6">
        <v>0</v>
      </c>
      <c r="N55" s="6">
        <v>7.6</v>
      </c>
      <c r="O55" s="6">
        <f>Table1[[#This Row],[R1 Length (km)]]+Table1[[#This Row],[T1 Length (km)]]</f>
        <v>7.6</v>
      </c>
      <c r="P55" s="26">
        <v>130</v>
      </c>
      <c r="Q55" s="6">
        <f>(Table1[[#This Row],[Linear Features (km)]]*1)*100</f>
        <v>760</v>
      </c>
      <c r="R55" s="7">
        <v>7.62</v>
      </c>
      <c r="S55" s="8">
        <f>Table1[[#This Row],[ATG (ha)]]/Table1[[#This Row],[Linear Area (ha)]]</f>
        <v>1.0026315789473684E-2</v>
      </c>
      <c r="T55" s="9" t="s">
        <v>22</v>
      </c>
      <c r="U55" s="9" t="s">
        <v>22</v>
      </c>
      <c r="V55" s="7" t="s">
        <v>22</v>
      </c>
      <c r="W55" s="7" t="s">
        <v>22</v>
      </c>
      <c r="X55" s="31">
        <v>436.48592206742597</v>
      </c>
      <c r="Y55" s="27">
        <f>Table1[[#This Row],[Raw Terrestrial Score]]/Table1[[#This Row],[Summed Raw Scores]]</f>
        <v>7.0868493181121414E-2</v>
      </c>
      <c r="Z55" s="31">
        <v>5722.61105424166</v>
      </c>
      <c r="AA55" s="27">
        <f>Table1[[#This Row],[Raw Freshwater Score]]/Table1[[#This Row],[Summed Raw Scores]]</f>
        <v>0.92913150681887857</v>
      </c>
      <c r="AB55" s="27">
        <f>Table1[[#This Row],[Raw Terrestrial Score]]+Table1[[#This Row],[Raw Freshwater Score]]</f>
        <v>6159.0969763090861</v>
      </c>
      <c r="AC55" s="28">
        <f>Table1[[#This Row],[Terrestrial % of Summed Score]]*Table1[[#This Row],[Scaled Summed Score]]</f>
        <v>2.588115416139783E-3</v>
      </c>
      <c r="AD55" s="28">
        <f>Table1[[#This Row],[Freshwater % of Summed Score]]*Table1[[#This Row],[Scaled Summed Score]]</f>
        <v>3.3931856999884838E-2</v>
      </c>
      <c r="AE55" s="28">
        <f>Table1[[#This Row],[Summed Raw Scores]]/MAX(Table1[Summed Raw Scores])</f>
        <v>3.6519972416024622E-2</v>
      </c>
      <c r="AF55" s="7"/>
    </row>
    <row r="56" spans="1:32" hidden="1" x14ac:dyDescent="0.3">
      <c r="A56" s="26" t="s">
        <v>143</v>
      </c>
      <c r="B56" s="26" t="s">
        <v>114</v>
      </c>
      <c r="C56" s="26" t="s">
        <v>27</v>
      </c>
      <c r="D56" s="26"/>
      <c r="E56" s="6">
        <v>57.537468050000001</v>
      </c>
      <c r="F56" s="6">
        <v>-123.217569</v>
      </c>
      <c r="G56" s="6">
        <v>150</v>
      </c>
      <c r="H56" s="26" t="s">
        <v>22</v>
      </c>
      <c r="I56" s="6">
        <v>36</v>
      </c>
      <c r="J56" s="6">
        <v>464.76180000000005</v>
      </c>
      <c r="K56" s="6">
        <v>107.20800391045138</v>
      </c>
      <c r="L56" s="6" t="s">
        <v>22</v>
      </c>
      <c r="M56" s="6">
        <v>28.1865078125</v>
      </c>
      <c r="N56" s="6">
        <v>218.74175</v>
      </c>
      <c r="O56" s="6">
        <f>Table1[[#This Row],[R1 Length (km)]]+Table1[[#This Row],[T1 Length (km)]]</f>
        <v>246.92825781249999</v>
      </c>
      <c r="P56" s="26">
        <v>230</v>
      </c>
      <c r="Q56" s="6">
        <f>(Table1[[#This Row],[Linear Features (km)]]*1)*100</f>
        <v>24692.825781249998</v>
      </c>
      <c r="R56" s="7">
        <f>2266088/10000</f>
        <v>226.6088</v>
      </c>
      <c r="S56" s="8">
        <f>Table1[[#This Row],[ATG (ha)]]/Table1[[#This Row],[Linear Area (ha)]]</f>
        <v>9.1771108745306446E-3</v>
      </c>
      <c r="T56" s="26" t="s">
        <v>136</v>
      </c>
      <c r="U56" s="9" t="s">
        <v>22</v>
      </c>
      <c r="V56" s="7" t="s">
        <v>22</v>
      </c>
      <c r="W56" s="7" t="s">
        <v>22</v>
      </c>
      <c r="X56" s="31">
        <v>40945.963739437102</v>
      </c>
      <c r="Y56" s="27">
        <f>Table1[[#This Row],[Raw Terrestrial Score]]/Table1[[#This Row],[Summed Raw Scores]]</f>
        <v>0.58835789447919773</v>
      </c>
      <c r="Z56" s="31">
        <v>28647.669869714398</v>
      </c>
      <c r="AA56" s="27">
        <f>Table1[[#This Row],[Raw Freshwater Score]]/Table1[[#This Row],[Summed Raw Scores]]</f>
        <v>0.41164210552080238</v>
      </c>
      <c r="AB56" s="27">
        <f>Table1[[#This Row],[Raw Terrestrial Score]]+Table1[[#This Row],[Raw Freshwater Score]]</f>
        <v>69593.633609151497</v>
      </c>
      <c r="AC56" s="28">
        <f>Table1[[#This Row],[Terrestrial % of Summed Score]]*Table1[[#This Row],[Scaled Summed Score]]</f>
        <v>0.24278647861263117</v>
      </c>
      <c r="AD56" s="28">
        <f>Table1[[#This Row],[Freshwater % of Summed Score]]*Table1[[#This Row],[Scaled Summed Score]]</f>
        <v>0.16986453005198576</v>
      </c>
      <c r="AE56" s="28">
        <f>Table1[[#This Row],[Summed Raw Scores]]/MAX(Table1[Summed Raw Scores])</f>
        <v>0.4126510086646169</v>
      </c>
      <c r="AF56" s="7"/>
    </row>
    <row r="57" spans="1:32" hidden="1" x14ac:dyDescent="0.3">
      <c r="A57" s="26" t="s">
        <v>144</v>
      </c>
      <c r="B57" s="26" t="s">
        <v>114</v>
      </c>
      <c r="C57" s="26" t="s">
        <v>27</v>
      </c>
      <c r="D57" s="26"/>
      <c r="E57" s="6">
        <v>57.414985940000001</v>
      </c>
      <c r="F57" s="6">
        <v>-123.31186289999999</v>
      </c>
      <c r="G57" s="6">
        <v>138</v>
      </c>
      <c r="H57" s="26" t="s">
        <v>22</v>
      </c>
      <c r="I57" s="6">
        <v>33.6</v>
      </c>
      <c r="J57" s="6">
        <v>392.57064000000003</v>
      </c>
      <c r="K57" s="6">
        <v>118.86725171561042</v>
      </c>
      <c r="L57" s="6" t="s">
        <v>22</v>
      </c>
      <c r="M57" s="6">
        <v>33.036265624999999</v>
      </c>
      <c r="N57" s="6">
        <v>207.05425</v>
      </c>
      <c r="O57" s="6">
        <f>Table1[[#This Row],[R1 Length (km)]]+Table1[[#This Row],[T1 Length (km)]]</f>
        <v>240.09051562499999</v>
      </c>
      <c r="P57" s="26">
        <v>230</v>
      </c>
      <c r="Q57" s="6">
        <f>(Table1[[#This Row],[Linear Features (km)]]*1)*100</f>
        <v>24009.051562500001</v>
      </c>
      <c r="R57" s="7">
        <f>2218345/10000</f>
        <v>221.83449999999999</v>
      </c>
      <c r="S57" s="8">
        <f>Table1[[#This Row],[ATG (ha)]]/Table1[[#This Row],[Linear Area (ha)]]</f>
        <v>9.2396194586247503E-3</v>
      </c>
      <c r="T57" s="26" t="s">
        <v>136</v>
      </c>
      <c r="U57" s="9" t="s">
        <v>22</v>
      </c>
      <c r="V57" s="7" t="s">
        <v>22</v>
      </c>
      <c r="W57" s="7" t="s">
        <v>22</v>
      </c>
      <c r="X57" s="31">
        <v>42718.754180158503</v>
      </c>
      <c r="Y57" s="27">
        <f>Table1[[#This Row],[Raw Terrestrial Score]]/Table1[[#This Row],[Summed Raw Scores]]</f>
        <v>0.61630910285419149</v>
      </c>
      <c r="Z57" s="31">
        <v>26595.091716849201</v>
      </c>
      <c r="AA57" s="27">
        <f>Table1[[#This Row],[Raw Freshwater Score]]/Table1[[#This Row],[Summed Raw Scores]]</f>
        <v>0.38369089714580845</v>
      </c>
      <c r="AB57" s="27">
        <f>Table1[[#This Row],[Raw Terrestrial Score]]+Table1[[#This Row],[Raw Freshwater Score]]</f>
        <v>69313.845897007704</v>
      </c>
      <c r="AC57" s="28">
        <f>Table1[[#This Row],[Terrestrial % of Summed Score]]*Table1[[#This Row],[Scaled Summed Score]]</f>
        <v>0.25329812638235588</v>
      </c>
      <c r="AD57" s="28">
        <f>Table1[[#This Row],[Freshwater % of Summed Score]]*Table1[[#This Row],[Scaled Summed Score]]</f>
        <v>0.157693898900584</v>
      </c>
      <c r="AE57" s="28">
        <f>Table1[[#This Row],[Summed Raw Scores]]/MAX(Table1[Summed Raw Scores])</f>
        <v>0.41099202528293988</v>
      </c>
      <c r="AF57" s="7"/>
    </row>
    <row r="58" spans="1:32" hidden="1" x14ac:dyDescent="0.3">
      <c r="A58" s="26" t="s">
        <v>145</v>
      </c>
      <c r="B58" s="26" t="s">
        <v>114</v>
      </c>
      <c r="C58" s="26" t="s">
        <v>27</v>
      </c>
      <c r="D58" s="26"/>
      <c r="E58" s="6">
        <v>57.126208089999999</v>
      </c>
      <c r="F58" s="6">
        <v>-123.0578247</v>
      </c>
      <c r="G58" s="6">
        <v>102</v>
      </c>
      <c r="H58" s="26" t="s">
        <v>22</v>
      </c>
      <c r="I58" s="6">
        <v>25.2</v>
      </c>
      <c r="J58" s="6">
        <v>398.45735999999999</v>
      </c>
      <c r="K58" s="6">
        <v>100.10009970678456</v>
      </c>
      <c r="L58" s="6" t="s">
        <v>22</v>
      </c>
      <c r="M58" s="6">
        <v>16.8266933594</v>
      </c>
      <c r="N58" s="6">
        <v>168.71971875</v>
      </c>
      <c r="O58" s="6">
        <f>Table1[[#This Row],[R1 Length (km)]]+Table1[[#This Row],[T1 Length (km)]]</f>
        <v>185.54641210939999</v>
      </c>
      <c r="P58" s="26">
        <v>230</v>
      </c>
      <c r="Q58" s="6">
        <f>(Table1[[#This Row],[Linear Features (km)]]*1)*100</f>
        <v>18554.641210940001</v>
      </c>
      <c r="R58" s="7">
        <f>1911905/10000</f>
        <v>191.19049999999999</v>
      </c>
      <c r="S58" s="8">
        <f>Table1[[#This Row],[ATG (ha)]]/Table1[[#This Row],[Linear Area (ha)]]</f>
        <v>1.0304187390445047E-2</v>
      </c>
      <c r="T58" s="26" t="s">
        <v>136</v>
      </c>
      <c r="U58" s="9" t="s">
        <v>22</v>
      </c>
      <c r="V58" s="7" t="s">
        <v>22</v>
      </c>
      <c r="W58" s="7" t="s">
        <v>22</v>
      </c>
      <c r="X58" s="31">
        <v>37884.7963151718</v>
      </c>
      <c r="Y58" s="27">
        <f>Table1[[#This Row],[Raw Terrestrial Score]]/Table1[[#This Row],[Summed Raw Scores]]</f>
        <v>0.69917437080168721</v>
      </c>
      <c r="Z58" s="31">
        <v>16300.250930957</v>
      </c>
      <c r="AA58" s="27">
        <f>Table1[[#This Row],[Raw Freshwater Score]]/Table1[[#This Row],[Summed Raw Scores]]</f>
        <v>0.30082562919831274</v>
      </c>
      <c r="AB58" s="27">
        <f>Table1[[#This Row],[Raw Terrestrial Score]]+Table1[[#This Row],[Raw Freshwater Score]]</f>
        <v>54185.047246128801</v>
      </c>
      <c r="AC58" s="28">
        <f>Table1[[#This Row],[Terrestrial % of Summed Score]]*Table1[[#This Row],[Scaled Summed Score]]</f>
        <v>0.22463548174977682</v>
      </c>
      <c r="AD58" s="28">
        <f>Table1[[#This Row],[Freshwater % of Summed Score]]*Table1[[#This Row],[Scaled Summed Score]]</f>
        <v>9.6651297529911737E-2</v>
      </c>
      <c r="AE58" s="28">
        <f>Table1[[#This Row],[Summed Raw Scores]]/MAX(Table1[Summed Raw Scores])</f>
        <v>0.32128677927968857</v>
      </c>
      <c r="AF58" s="7"/>
    </row>
    <row r="59" spans="1:32" hidden="1" x14ac:dyDescent="0.3">
      <c r="A59" s="26" t="s">
        <v>146</v>
      </c>
      <c r="B59" s="26" t="s">
        <v>114</v>
      </c>
      <c r="C59" s="26" t="s">
        <v>27</v>
      </c>
      <c r="D59" s="26"/>
      <c r="E59" s="6">
        <v>57.039813369999997</v>
      </c>
      <c r="F59" s="6">
        <v>-123.0997048</v>
      </c>
      <c r="G59" s="6">
        <v>96</v>
      </c>
      <c r="H59" s="26" t="s">
        <v>22</v>
      </c>
      <c r="I59" s="6">
        <v>22.8</v>
      </c>
      <c r="J59" s="6">
        <v>381.56370000000004</v>
      </c>
      <c r="K59" s="6">
        <v>98.028597491633946</v>
      </c>
      <c r="L59" s="6" t="s">
        <v>22</v>
      </c>
      <c r="M59" s="6">
        <v>17.419585937499999</v>
      </c>
      <c r="N59" s="6">
        <v>159.68956249999999</v>
      </c>
      <c r="O59" s="6">
        <f>Table1[[#This Row],[R1 Length (km)]]+Table1[[#This Row],[T1 Length (km)]]</f>
        <v>177.10914843749998</v>
      </c>
      <c r="P59" s="26">
        <v>230</v>
      </c>
      <c r="Q59" s="6">
        <f>(Table1[[#This Row],[Linear Features (km)]]*1)*100</f>
        <v>17710.914843749997</v>
      </c>
      <c r="R59" s="7">
        <f>1734104/10000</f>
        <v>173.41040000000001</v>
      </c>
      <c r="S59" s="8">
        <f>Table1[[#This Row],[ATG (ha)]]/Table1[[#This Row],[Linear Area (ha)]]</f>
        <v>9.7911599445804336E-3</v>
      </c>
      <c r="T59" s="26" t="s">
        <v>136</v>
      </c>
      <c r="U59" s="9" t="s">
        <v>22</v>
      </c>
      <c r="V59" s="7" t="s">
        <v>22</v>
      </c>
      <c r="W59" s="7" t="s">
        <v>22</v>
      </c>
      <c r="X59" s="31">
        <v>26934.3321427302</v>
      </c>
      <c r="Y59" s="27">
        <f>Table1[[#This Row],[Raw Terrestrial Score]]/Table1[[#This Row],[Summed Raw Scores]]</f>
        <v>0.72259809058169922</v>
      </c>
      <c r="Z59" s="31">
        <v>10339.9597406704</v>
      </c>
      <c r="AA59" s="27">
        <f>Table1[[#This Row],[Raw Freshwater Score]]/Table1[[#This Row],[Summed Raw Scores]]</f>
        <v>0.27740190941830084</v>
      </c>
      <c r="AB59" s="27">
        <f>Table1[[#This Row],[Raw Terrestrial Score]]+Table1[[#This Row],[Raw Freshwater Score]]</f>
        <v>37274.291883400598</v>
      </c>
      <c r="AC59" s="28">
        <f>Table1[[#This Row],[Terrestrial % of Summed Score]]*Table1[[#This Row],[Scaled Summed Score]]</f>
        <v>0.15970540335379022</v>
      </c>
      <c r="AD59" s="28">
        <f>Table1[[#This Row],[Freshwater % of Summed Score]]*Table1[[#This Row],[Scaled Summed Score]]</f>
        <v>6.1310131333307642E-2</v>
      </c>
      <c r="AE59" s="28">
        <f>Table1[[#This Row],[Summed Raw Scores]]/MAX(Table1[Summed Raw Scores])</f>
        <v>0.22101553468709784</v>
      </c>
      <c r="AF59" s="7"/>
    </row>
    <row r="60" spans="1:32" hidden="1" x14ac:dyDescent="0.3">
      <c r="A60" s="26" t="s">
        <v>147</v>
      </c>
      <c r="B60" s="26" t="s">
        <v>114</v>
      </c>
      <c r="C60" s="26" t="s">
        <v>27</v>
      </c>
      <c r="D60" s="26" t="s">
        <v>250</v>
      </c>
      <c r="E60" s="6">
        <v>56.835681530000002</v>
      </c>
      <c r="F60" s="6">
        <v>-123.01556770000001</v>
      </c>
      <c r="G60" s="6">
        <v>243</v>
      </c>
      <c r="H60" s="26" t="s">
        <v>22</v>
      </c>
      <c r="I60" s="6">
        <v>58.8</v>
      </c>
      <c r="J60" s="6">
        <v>935.09933999999998</v>
      </c>
      <c r="K60" s="6">
        <v>72.047365486389182</v>
      </c>
      <c r="L60" s="6" t="s">
        <v>22</v>
      </c>
      <c r="M60" s="6">
        <v>6.5627421874999996</v>
      </c>
      <c r="N60" s="6">
        <v>134.880015625</v>
      </c>
      <c r="O60" s="6">
        <f>Table1[[#This Row],[R1 Length (km)]]+Table1[[#This Row],[T1 Length (km)]]</f>
        <v>141.44275781249999</v>
      </c>
      <c r="P60" s="26">
        <v>230</v>
      </c>
      <c r="Q60" s="6">
        <f>(Table1[[#This Row],[Linear Features (km)]]*1)*100</f>
        <v>14144.275781249999</v>
      </c>
      <c r="R60" s="7">
        <v>31.17</v>
      </c>
      <c r="S60" s="8">
        <f>Table1[[#This Row],[ATG (ha)]]/Table1[[#This Row],[Linear Area (ha)]]</f>
        <v>2.2037183438772968E-3</v>
      </c>
      <c r="T60" s="26" t="s">
        <v>136</v>
      </c>
      <c r="U60" s="9" t="s">
        <v>22</v>
      </c>
      <c r="V60" s="7" t="s">
        <v>22</v>
      </c>
      <c r="W60" s="7" t="s">
        <v>22</v>
      </c>
      <c r="X60" s="31">
        <v>23403.0730685862</v>
      </c>
      <c r="Y60" s="27">
        <f>Table1[[#This Row],[Raw Terrestrial Score]]/Table1[[#This Row],[Summed Raw Scores]]</f>
        <v>0.66306836179175566</v>
      </c>
      <c r="Z60" s="31">
        <v>11892.0404025889</v>
      </c>
      <c r="AA60" s="27">
        <f>Table1[[#This Row],[Raw Freshwater Score]]/Table1[[#This Row],[Summed Raw Scores]]</f>
        <v>0.33693163820824434</v>
      </c>
      <c r="AB60" s="27">
        <f>Table1[[#This Row],[Raw Terrestrial Score]]+Table1[[#This Row],[Raw Freshwater Score]]</f>
        <v>35295.1134711751</v>
      </c>
      <c r="AC60" s="28">
        <f>Table1[[#This Row],[Terrestrial % of Summed Score]]*Table1[[#This Row],[Scaled Summed Score]]</f>
        <v>0.13876702805662816</v>
      </c>
      <c r="AD60" s="28">
        <f>Table1[[#This Row],[Freshwater % of Summed Score]]*Table1[[#This Row],[Scaled Summed Score]]</f>
        <v>7.0513094556444972E-2</v>
      </c>
      <c r="AE60" s="28">
        <f>Table1[[#This Row],[Summed Raw Scores]]/MAX(Table1[Summed Raw Scores])</f>
        <v>0.20928012261307313</v>
      </c>
      <c r="AF60" s="7"/>
    </row>
    <row r="61" spans="1:32" hidden="1" x14ac:dyDescent="0.3">
      <c r="A61" s="26" t="s">
        <v>148</v>
      </c>
      <c r="B61" s="26" t="s">
        <v>114</v>
      </c>
      <c r="C61" s="26" t="s">
        <v>27</v>
      </c>
      <c r="D61" s="26"/>
      <c r="E61" s="6">
        <v>57.097944140000003</v>
      </c>
      <c r="F61" s="6">
        <v>-122.8989455</v>
      </c>
      <c r="G61" s="6">
        <v>117</v>
      </c>
      <c r="H61" s="26" t="s">
        <v>22</v>
      </c>
      <c r="I61" s="6">
        <v>28.799999999999997</v>
      </c>
      <c r="J61" s="6">
        <v>382.74191999999999</v>
      </c>
      <c r="K61" s="6">
        <v>101.4093717537758</v>
      </c>
      <c r="L61" s="6" t="s">
        <v>22</v>
      </c>
      <c r="M61" s="6">
        <v>10.536749023400001</v>
      </c>
      <c r="N61" s="6">
        <v>162.043265625</v>
      </c>
      <c r="O61" s="6">
        <f>Table1[[#This Row],[R1 Length (km)]]+Table1[[#This Row],[T1 Length (km)]]</f>
        <v>172.58001464840001</v>
      </c>
      <c r="P61" s="26">
        <v>230</v>
      </c>
      <c r="Q61" s="6">
        <f>(Table1[[#This Row],[Linear Features (km)]]*1)*100</f>
        <v>17258.001464839999</v>
      </c>
      <c r="R61" s="7">
        <f>1774803/10000</f>
        <v>177.4803</v>
      </c>
      <c r="S61" s="8">
        <f>Table1[[#This Row],[ATG (ha)]]/Table1[[#This Row],[Linear Area (ha)]]</f>
        <v>1.0283942805404405E-2</v>
      </c>
      <c r="T61" s="26" t="s">
        <v>136</v>
      </c>
      <c r="U61" s="9" t="s">
        <v>22</v>
      </c>
      <c r="V61" s="7" t="s">
        <v>22</v>
      </c>
      <c r="W61" s="7" t="s">
        <v>22</v>
      </c>
      <c r="X61" s="31">
        <v>33775.510486089603</v>
      </c>
      <c r="Y61" s="27">
        <f>Table1[[#This Row],[Raw Terrestrial Score]]/Table1[[#This Row],[Summed Raw Scores]]</f>
        <v>0.66674215735571862</v>
      </c>
      <c r="Z61" s="31">
        <v>16882.018985336599</v>
      </c>
      <c r="AA61" s="27">
        <f>Table1[[#This Row],[Raw Freshwater Score]]/Table1[[#This Row],[Summed Raw Scores]]</f>
        <v>0.33325784264428138</v>
      </c>
      <c r="AB61" s="27">
        <f>Table1[[#This Row],[Raw Terrestrial Score]]+Table1[[#This Row],[Raw Freshwater Score]]</f>
        <v>50657.529471426198</v>
      </c>
      <c r="AC61" s="28">
        <f>Table1[[#This Row],[Terrestrial % of Summed Score]]*Table1[[#This Row],[Scaled Summed Score]]</f>
        <v>0.20026973370182599</v>
      </c>
      <c r="AD61" s="28">
        <f>Table1[[#This Row],[Freshwater % of Summed Score]]*Table1[[#This Row],[Scaled Summed Score]]</f>
        <v>0.10010085407694946</v>
      </c>
      <c r="AE61" s="28">
        <f>Table1[[#This Row],[Summed Raw Scores]]/MAX(Table1[Summed Raw Scores])</f>
        <v>0.30037058777877546</v>
      </c>
      <c r="AF61" s="7"/>
    </row>
    <row r="62" spans="1:32" hidden="1" x14ac:dyDescent="0.3">
      <c r="A62" s="26" t="s">
        <v>149</v>
      </c>
      <c r="B62" s="26" t="s">
        <v>114</v>
      </c>
      <c r="C62" s="26" t="s">
        <v>27</v>
      </c>
      <c r="D62" s="26"/>
      <c r="E62" s="6">
        <v>56.747592869999998</v>
      </c>
      <c r="F62" s="6">
        <v>-122.8784138</v>
      </c>
      <c r="G62" s="6">
        <v>39</v>
      </c>
      <c r="H62" s="26" t="s">
        <v>22</v>
      </c>
      <c r="I62" s="6">
        <v>9.6</v>
      </c>
      <c r="J62" s="6">
        <v>140.82575999999997</v>
      </c>
      <c r="K62" s="6">
        <v>121.98573541611616</v>
      </c>
      <c r="L62" s="6" t="s">
        <v>22</v>
      </c>
      <c r="M62" s="6">
        <v>11.612484374999999</v>
      </c>
      <c r="N62" s="6">
        <v>101.4219453125</v>
      </c>
      <c r="O62" s="6">
        <f>Table1[[#This Row],[R1 Length (km)]]+Table1[[#This Row],[T1 Length (km)]]</f>
        <v>113.03442968749999</v>
      </c>
      <c r="P62" s="26">
        <v>130</v>
      </c>
      <c r="Q62" s="6">
        <f>(Table1[[#This Row],[Linear Features (km)]]*1)*100</f>
        <v>11303.44296875</v>
      </c>
      <c r="R62" s="7">
        <f>883905/10000</f>
        <v>88.390500000000003</v>
      </c>
      <c r="S62" s="8">
        <f>Table1[[#This Row],[ATG (ha)]]/Table1[[#This Row],[Linear Area (ha)]]</f>
        <v>7.8197855506829464E-3</v>
      </c>
      <c r="T62" s="26" t="s">
        <v>136</v>
      </c>
      <c r="U62" s="9" t="s">
        <v>22</v>
      </c>
      <c r="V62" s="7" t="s">
        <v>22</v>
      </c>
      <c r="W62" s="7" t="s">
        <v>22</v>
      </c>
      <c r="X62" s="31">
        <v>16141.3802756639</v>
      </c>
      <c r="Y62" s="27">
        <f>Table1[[#This Row],[Raw Terrestrial Score]]/Table1[[#This Row],[Summed Raw Scores]]</f>
        <v>0.72884450921258892</v>
      </c>
      <c r="Z62" s="31">
        <v>6005.1545086926799</v>
      </c>
      <c r="AA62" s="27">
        <f>Table1[[#This Row],[Raw Freshwater Score]]/Table1[[#This Row],[Summed Raw Scores]]</f>
        <v>0.27115549078741108</v>
      </c>
      <c r="AB62" s="27">
        <f>Table1[[#This Row],[Raw Terrestrial Score]]+Table1[[#This Row],[Raw Freshwater Score]]</f>
        <v>22146.53478435658</v>
      </c>
      <c r="AC62" s="28">
        <f>Table1[[#This Row],[Terrestrial % of Summed Score]]*Table1[[#This Row],[Scaled Summed Score]]</f>
        <v>9.570928411928728E-2</v>
      </c>
      <c r="AD62" s="28">
        <f>Table1[[#This Row],[Freshwater % of Summed Score]]*Table1[[#This Row],[Scaled Summed Score]]</f>
        <v>3.560718037968702E-2</v>
      </c>
      <c r="AE62" s="28">
        <f>Table1[[#This Row],[Summed Raw Scores]]/MAX(Table1[Summed Raw Scores])</f>
        <v>0.1313164644989743</v>
      </c>
      <c r="AF62" s="7"/>
    </row>
    <row r="63" spans="1:32" hidden="1" x14ac:dyDescent="0.3">
      <c r="A63" s="26" t="s">
        <v>150</v>
      </c>
      <c r="B63" s="26" t="s">
        <v>114</v>
      </c>
      <c r="C63" s="26" t="s">
        <v>27</v>
      </c>
      <c r="D63" s="26" t="s">
        <v>250</v>
      </c>
      <c r="E63" s="6">
        <v>56.576144149999998</v>
      </c>
      <c r="F63" s="6">
        <v>-122.7750882</v>
      </c>
      <c r="G63" s="6">
        <v>207</v>
      </c>
      <c r="H63" s="26" t="s">
        <v>22</v>
      </c>
      <c r="I63" s="6">
        <v>49.199999999999996</v>
      </c>
      <c r="J63" s="6">
        <v>849.41339999999991</v>
      </c>
      <c r="K63" s="6">
        <v>65.79728571598406</v>
      </c>
      <c r="L63" s="6" t="s">
        <v>22</v>
      </c>
      <c r="M63" s="6">
        <v>3.5870061035200003</v>
      </c>
      <c r="N63" s="6">
        <v>101.32417968750001</v>
      </c>
      <c r="O63" s="6">
        <f>Table1[[#This Row],[R1 Length (km)]]+Table1[[#This Row],[T1 Length (km)]]</f>
        <v>104.91118579102</v>
      </c>
      <c r="P63" s="26">
        <v>230</v>
      </c>
      <c r="Q63" s="6">
        <f>(Table1[[#This Row],[Linear Features (km)]]*1)*100</f>
        <v>10491.118579102</v>
      </c>
      <c r="R63" s="7">
        <v>26.08</v>
      </c>
      <c r="S63" s="8">
        <f>Table1[[#This Row],[ATG (ha)]]/Table1[[#This Row],[Linear Area (ha)]]</f>
        <v>2.4859122316995435E-3</v>
      </c>
      <c r="T63" s="26" t="s">
        <v>136</v>
      </c>
      <c r="U63" s="9" t="s">
        <v>22</v>
      </c>
      <c r="V63" s="7" t="s">
        <v>22</v>
      </c>
      <c r="W63" s="7" t="s">
        <v>22</v>
      </c>
      <c r="X63" s="31">
        <v>12246.8116150191</v>
      </c>
      <c r="Y63" s="27">
        <f>Table1[[#This Row],[Raw Terrestrial Score]]/Table1[[#This Row],[Summed Raw Scores]]</f>
        <v>0.66197262374291366</v>
      </c>
      <c r="Z63" s="31">
        <v>6253.6688818531102</v>
      </c>
      <c r="AA63" s="27">
        <f>Table1[[#This Row],[Raw Freshwater Score]]/Table1[[#This Row],[Summed Raw Scores]]</f>
        <v>0.33802737625708634</v>
      </c>
      <c r="AB63" s="27">
        <f>Table1[[#This Row],[Raw Terrestrial Score]]+Table1[[#This Row],[Raw Freshwater Score]]</f>
        <v>18500.480496872209</v>
      </c>
      <c r="AC63" s="28">
        <f>Table1[[#This Row],[Terrestrial % of Summed Score]]*Table1[[#This Row],[Scaled Summed Score]]</f>
        <v>7.2616687817240594E-2</v>
      </c>
      <c r="AD63" s="28">
        <f>Table1[[#This Row],[Freshwater % of Summed Score]]*Table1[[#This Row],[Scaled Summed Score]]</f>
        <v>3.7080730493886278E-2</v>
      </c>
      <c r="AE63" s="28">
        <f>Table1[[#This Row],[Summed Raw Scores]]/MAX(Table1[Summed Raw Scores])</f>
        <v>0.10969741831112688</v>
      </c>
      <c r="AF63" s="7"/>
    </row>
    <row r="64" spans="1:32" hidden="1" x14ac:dyDescent="0.3">
      <c r="A64" s="26" t="s">
        <v>151</v>
      </c>
      <c r="B64" s="26" t="s">
        <v>114</v>
      </c>
      <c r="C64" s="26" t="s">
        <v>27</v>
      </c>
      <c r="D64" s="26" t="s">
        <v>250</v>
      </c>
      <c r="E64" s="12">
        <v>56.4503433</v>
      </c>
      <c r="F64" s="12">
        <v>-122.62548390000001</v>
      </c>
      <c r="G64" s="6">
        <v>297</v>
      </c>
      <c r="H64" s="26" t="s">
        <v>22</v>
      </c>
      <c r="I64" s="7">
        <v>70.8</v>
      </c>
      <c r="J64" s="7">
        <v>1239.1238999999998</v>
      </c>
      <c r="K64" s="7">
        <v>55.402836873971559</v>
      </c>
      <c r="L64" s="6" t="s">
        <v>22</v>
      </c>
      <c r="M64" s="6">
        <v>1.7</v>
      </c>
      <c r="N64" s="6">
        <v>82.7</v>
      </c>
      <c r="O64" s="6">
        <f>Table1[[#This Row],[R1 Length (km)]]+Table1[[#This Row],[T1 Length (km)]]</f>
        <v>84.4</v>
      </c>
      <c r="P64" s="26">
        <v>230</v>
      </c>
      <c r="Q64" s="6">
        <f>(Table1[[#This Row],[Linear Features (km)]]*1)*100</f>
        <v>8440</v>
      </c>
      <c r="R64" s="7">
        <v>37.53</v>
      </c>
      <c r="S64" s="8">
        <f>Table1[[#This Row],[ATG (ha)]]/Table1[[#This Row],[Linear Area (ha)]]</f>
        <v>4.4466824644549766E-3</v>
      </c>
      <c r="T64" s="26" t="s">
        <v>136</v>
      </c>
      <c r="U64" s="9" t="s">
        <v>22</v>
      </c>
      <c r="V64" s="7" t="s">
        <v>22</v>
      </c>
      <c r="W64" s="7" t="s">
        <v>22</v>
      </c>
      <c r="X64" s="31">
        <v>9476.1543856011704</v>
      </c>
      <c r="Y64" s="27">
        <f>Table1[[#This Row],[Raw Terrestrial Score]]/Table1[[#This Row],[Summed Raw Scores]]</f>
        <v>0.54794634851677948</v>
      </c>
      <c r="Z64" s="31">
        <v>7817.7912922045198</v>
      </c>
      <c r="AA64" s="27">
        <f>Table1[[#This Row],[Raw Freshwater Score]]/Table1[[#This Row],[Summed Raw Scores]]</f>
        <v>0.45205365148322041</v>
      </c>
      <c r="AB64" s="27">
        <f>Table1[[#This Row],[Raw Terrestrial Score]]+Table1[[#This Row],[Raw Freshwater Score]]</f>
        <v>17293.945677805692</v>
      </c>
      <c r="AC64" s="28">
        <f>Table1[[#This Row],[Terrestrial % of Summed Score]]*Table1[[#This Row],[Scaled Summed Score]]</f>
        <v>5.6188252612890573E-2</v>
      </c>
      <c r="AD64" s="28">
        <f>Table1[[#This Row],[Freshwater % of Summed Score]]*Table1[[#This Row],[Scaled Summed Score]]</f>
        <v>4.6355094495790714E-2</v>
      </c>
      <c r="AE64" s="28">
        <f>Table1[[#This Row],[Summed Raw Scores]]/MAX(Table1[Summed Raw Scores])</f>
        <v>0.10254334710868129</v>
      </c>
      <c r="AF64" s="7"/>
    </row>
    <row r="65" spans="1:32" hidden="1" x14ac:dyDescent="0.3">
      <c r="A65" s="26" t="s">
        <v>152</v>
      </c>
      <c r="B65" s="26" t="s">
        <v>114</v>
      </c>
      <c r="C65" s="26" t="s">
        <v>27</v>
      </c>
      <c r="D65" s="26" t="s">
        <v>250</v>
      </c>
      <c r="E65" s="12">
        <v>54.408751680000002</v>
      </c>
      <c r="F65" s="12">
        <v>-120.1624003</v>
      </c>
      <c r="G65" s="6">
        <v>126</v>
      </c>
      <c r="H65" s="26" t="s">
        <v>22</v>
      </c>
      <c r="I65" s="7">
        <v>30</v>
      </c>
      <c r="J65" s="7">
        <v>570.82349999999997</v>
      </c>
      <c r="K65" s="7">
        <v>63.989458989339575</v>
      </c>
      <c r="L65" s="6" t="s">
        <v>22</v>
      </c>
      <c r="M65" s="12">
        <v>32.181849609399997</v>
      </c>
      <c r="N65" s="7">
        <v>105.7322109375</v>
      </c>
      <c r="O65" s="7">
        <f>Table1[[#This Row],[R1 Length (km)]]+Table1[[#This Row],[T1 Length (km)]]</f>
        <v>137.9140605469</v>
      </c>
      <c r="P65" s="15">
        <v>230</v>
      </c>
      <c r="Q65" s="12">
        <f>(Table1[[#This Row],[Linear Features (km)]]*1)*100</f>
        <v>13791.40605469</v>
      </c>
      <c r="R65" s="7">
        <v>15.9</v>
      </c>
      <c r="S65" s="8">
        <f>Table1[[#This Row],[ATG (ha)]]/Table1[[#This Row],[Linear Area (ha)]]</f>
        <v>1.1528918760674832E-3</v>
      </c>
      <c r="T65" s="15" t="s">
        <v>136</v>
      </c>
      <c r="U65" s="9" t="s">
        <v>22</v>
      </c>
      <c r="V65" s="7" t="s">
        <v>22</v>
      </c>
      <c r="W65" s="7" t="s">
        <v>22</v>
      </c>
      <c r="X65" s="31">
        <v>37007.001256838397</v>
      </c>
      <c r="Y65" s="27">
        <f>Table1[[#This Row],[Raw Terrestrial Score]]/Table1[[#This Row],[Summed Raw Scores]]</f>
        <v>0.59030473512141002</v>
      </c>
      <c r="Z65" s="31">
        <v>25684.349591341801</v>
      </c>
      <c r="AA65" s="27">
        <f>Table1[[#This Row],[Raw Freshwater Score]]/Table1[[#This Row],[Summed Raw Scores]]</f>
        <v>0.40969526487858993</v>
      </c>
      <c r="AB65" s="27">
        <f>Table1[[#This Row],[Raw Terrestrial Score]]+Table1[[#This Row],[Raw Freshwater Score]]</f>
        <v>62691.350848180198</v>
      </c>
      <c r="AC65" s="28">
        <f>Table1[[#This Row],[Terrestrial % of Summed Score]]*Table1[[#This Row],[Scaled Summed Score]]</f>
        <v>0.21943065197674907</v>
      </c>
      <c r="AD65" s="28">
        <f>Table1[[#This Row],[Freshwater % of Summed Score]]*Table1[[#This Row],[Scaled Summed Score]]</f>
        <v>0.15229371159559801</v>
      </c>
      <c r="AE65" s="28">
        <f>Table1[[#This Row],[Summed Raw Scores]]/MAX(Table1[Summed Raw Scores])</f>
        <v>0.37172436357234712</v>
      </c>
      <c r="AF65" s="7"/>
    </row>
    <row r="66" spans="1:32" hidden="1" x14ac:dyDescent="0.3">
      <c r="A66" s="26" t="s">
        <v>153</v>
      </c>
      <c r="B66" s="26" t="s">
        <v>114</v>
      </c>
      <c r="C66" s="26" t="s">
        <v>27</v>
      </c>
      <c r="D66" s="26" t="s">
        <v>250</v>
      </c>
      <c r="E66" s="6">
        <v>54.532078400000003</v>
      </c>
      <c r="F66" s="6">
        <v>-120.0978831</v>
      </c>
      <c r="G66" s="6">
        <v>96</v>
      </c>
      <c r="H66" s="26" t="s">
        <v>22</v>
      </c>
      <c r="I66" s="6">
        <v>22.8</v>
      </c>
      <c r="J66" s="7">
        <v>344.44758000000002</v>
      </c>
      <c r="K66" s="7">
        <v>80.359901262891157</v>
      </c>
      <c r="L66" s="6" t="s">
        <v>22</v>
      </c>
      <c r="M66" s="6">
        <v>14.8</v>
      </c>
      <c r="N66" s="6">
        <v>97.7</v>
      </c>
      <c r="O66" s="6">
        <f>Table1[[#This Row],[R1 Length (km)]]+Table1[[#This Row],[T1 Length (km)]]</f>
        <v>112.5</v>
      </c>
      <c r="P66" s="26">
        <v>230</v>
      </c>
      <c r="Q66" s="6">
        <f>(Table1[[#This Row],[Linear Features (km)]]*1)*100</f>
        <v>11250</v>
      </c>
      <c r="R66" s="7">
        <v>12.09</v>
      </c>
      <c r="S66" s="8">
        <f>Table1[[#This Row],[ATG (ha)]]/Table1[[#This Row],[Linear Area (ha)]]</f>
        <v>1.0746666666666667E-3</v>
      </c>
      <c r="T66" s="26" t="s">
        <v>136</v>
      </c>
      <c r="U66" s="9" t="s">
        <v>22</v>
      </c>
      <c r="V66" s="7" t="s">
        <v>22</v>
      </c>
      <c r="W66" s="7" t="s">
        <v>22</v>
      </c>
      <c r="X66" s="31">
        <v>17704.694651365298</v>
      </c>
      <c r="Y66" s="27">
        <f>Table1[[#This Row],[Raw Terrestrial Score]]/Table1[[#This Row],[Summed Raw Scores]]</f>
        <v>0.60276139478591328</v>
      </c>
      <c r="Z66" s="31">
        <v>11667.947333534201</v>
      </c>
      <c r="AA66" s="27">
        <f>Table1[[#This Row],[Raw Freshwater Score]]/Table1[[#This Row],[Summed Raw Scores]]</f>
        <v>0.39723860521408672</v>
      </c>
      <c r="AB66" s="27">
        <f>Table1[[#This Row],[Raw Terrestrial Score]]+Table1[[#This Row],[Raw Freshwater Score]]</f>
        <v>29372.641984899499</v>
      </c>
      <c r="AC66" s="28">
        <f>Table1[[#This Row],[Terrestrial % of Summed Score]]*Table1[[#This Row],[Scaled Summed Score]]</f>
        <v>0.10497885693130736</v>
      </c>
      <c r="AD66" s="28">
        <f>Table1[[#This Row],[Freshwater % of Summed Score]]*Table1[[#This Row],[Scaled Summed Score]]</f>
        <v>6.9184349006248383E-2</v>
      </c>
      <c r="AE66" s="28">
        <f>Table1[[#This Row],[Summed Raw Scores]]/MAX(Table1[Summed Raw Scores])</f>
        <v>0.17416320593755574</v>
      </c>
      <c r="AF66" s="7"/>
    </row>
    <row r="67" spans="1:32" hidden="1" x14ac:dyDescent="0.3">
      <c r="A67" s="26" t="s">
        <v>154</v>
      </c>
      <c r="B67" s="26" t="s">
        <v>114</v>
      </c>
      <c r="C67" s="26" t="s">
        <v>27</v>
      </c>
      <c r="D67" s="26" t="s">
        <v>250</v>
      </c>
      <c r="E67" s="12">
        <v>54.475945340000003</v>
      </c>
      <c r="F67" s="12">
        <v>-120.2898646</v>
      </c>
      <c r="G67" s="6">
        <v>135</v>
      </c>
      <c r="H67" s="26" t="s">
        <v>22</v>
      </c>
      <c r="I67" s="7">
        <v>32.4</v>
      </c>
      <c r="J67" s="7">
        <v>639.31355999999994</v>
      </c>
      <c r="K67" s="7">
        <v>58.304319594040237</v>
      </c>
      <c r="L67" s="6" t="s">
        <v>22</v>
      </c>
      <c r="M67" s="12">
        <v>6.0698486328099994</v>
      </c>
      <c r="N67" s="7">
        <v>95.404289062499998</v>
      </c>
      <c r="O67" s="7">
        <f>Table1[[#This Row],[R1 Length (km)]]+Table1[[#This Row],[T1 Length (km)]]</f>
        <v>101.47413769530999</v>
      </c>
      <c r="P67" s="15">
        <v>230</v>
      </c>
      <c r="Q67" s="12">
        <f>(Table1[[#This Row],[Linear Features (km)]]*1)*100</f>
        <v>10147.413769530998</v>
      </c>
      <c r="R67" s="7">
        <v>17.18</v>
      </c>
      <c r="S67" s="8">
        <f>Table1[[#This Row],[ATG (ha)]]/Table1[[#This Row],[Linear Area (ha)]]</f>
        <v>1.6930422263439484E-3</v>
      </c>
      <c r="T67" s="15" t="s">
        <v>136</v>
      </c>
      <c r="U67" s="9" t="s">
        <v>22</v>
      </c>
      <c r="V67" s="7" t="s">
        <v>22</v>
      </c>
      <c r="W67" s="7" t="s">
        <v>22</v>
      </c>
      <c r="X67" s="31">
        <v>24584.251322373701</v>
      </c>
      <c r="Y67" s="27">
        <f>Table1[[#This Row],[Raw Terrestrial Score]]/Table1[[#This Row],[Summed Raw Scores]]</f>
        <v>0.52459344346940073</v>
      </c>
      <c r="Z67" s="31">
        <v>22279.184788809202</v>
      </c>
      <c r="AA67" s="27">
        <f>Table1[[#This Row],[Raw Freshwater Score]]/Table1[[#This Row],[Summed Raw Scores]]</f>
        <v>0.47540655653059921</v>
      </c>
      <c r="AB67" s="27">
        <f>Table1[[#This Row],[Raw Terrestrial Score]]+Table1[[#This Row],[Raw Freshwater Score]]</f>
        <v>46863.436111182906</v>
      </c>
      <c r="AC67" s="28">
        <f>Table1[[#This Row],[Terrestrial % of Summed Score]]*Table1[[#This Row],[Scaled Summed Score]]</f>
        <v>0.14577074912363722</v>
      </c>
      <c r="AD67" s="28">
        <f>Table1[[#This Row],[Freshwater % of Summed Score]]*Table1[[#This Row],[Scaled Summed Score]]</f>
        <v>0.13210300423397589</v>
      </c>
      <c r="AE67" s="28">
        <f>Table1[[#This Row],[Summed Raw Scores]]/MAX(Table1[Summed Raw Scores])</f>
        <v>0.27787375335761311</v>
      </c>
      <c r="AF67" s="7"/>
    </row>
    <row r="68" spans="1:32" hidden="1" x14ac:dyDescent="0.3">
      <c r="A68" s="26" t="s">
        <v>155</v>
      </c>
      <c r="B68" s="26" t="s">
        <v>114</v>
      </c>
      <c r="C68" s="26" t="s">
        <v>27</v>
      </c>
      <c r="D68" s="26" t="s">
        <v>250</v>
      </c>
      <c r="E68" s="6">
        <v>54.607456880000001</v>
      </c>
      <c r="F68" s="6">
        <v>-120.4986409</v>
      </c>
      <c r="G68" s="6">
        <v>144</v>
      </c>
      <c r="H68" s="26" t="s">
        <v>22</v>
      </c>
      <c r="I68" s="6">
        <v>34.799999999999997</v>
      </c>
      <c r="J68" s="7">
        <v>640.30781999999999</v>
      </c>
      <c r="K68" s="7">
        <v>53.724829135258389</v>
      </c>
      <c r="L68" s="6" t="s">
        <v>22</v>
      </c>
      <c r="M68" s="6">
        <v>8</v>
      </c>
      <c r="N68" s="6">
        <v>75.900000000000006</v>
      </c>
      <c r="O68" s="6">
        <f>Table1[[#This Row],[R1 Length (km)]]+Table1[[#This Row],[T1 Length (km)]]</f>
        <v>83.9</v>
      </c>
      <c r="P68" s="26">
        <v>230</v>
      </c>
      <c r="Q68" s="6">
        <f>(Table1[[#This Row],[Linear Features (km)]]*1)*100</f>
        <v>8390</v>
      </c>
      <c r="R68" s="7">
        <v>18.45</v>
      </c>
      <c r="S68" s="8">
        <f>Table1[[#This Row],[ATG (ha)]]/Table1[[#This Row],[Linear Area (ha)]]</f>
        <v>2.1990464839094161E-3</v>
      </c>
      <c r="T68" s="26" t="s">
        <v>136</v>
      </c>
      <c r="U68" s="9" t="s">
        <v>22</v>
      </c>
      <c r="V68" s="7" t="s">
        <v>22</v>
      </c>
      <c r="W68" s="7" t="s">
        <v>22</v>
      </c>
      <c r="X68" s="31">
        <v>8321.6073786914294</v>
      </c>
      <c r="Y68" s="27">
        <f>Table1[[#This Row],[Raw Terrestrial Score]]/Table1[[#This Row],[Summed Raw Scores]]</f>
        <v>0.39872909639872534</v>
      </c>
      <c r="Z68" s="31">
        <v>12548.721508393101</v>
      </c>
      <c r="AA68" s="27">
        <f>Table1[[#This Row],[Raw Freshwater Score]]/Table1[[#This Row],[Summed Raw Scores]]</f>
        <v>0.60127090360127478</v>
      </c>
      <c r="AB68" s="27">
        <f>Table1[[#This Row],[Raw Terrestrial Score]]+Table1[[#This Row],[Raw Freshwater Score]]</f>
        <v>20870.328887084528</v>
      </c>
      <c r="AC68" s="28">
        <f>Table1[[#This Row],[Terrestrial % of Summed Score]]*Table1[[#This Row],[Scaled Summed Score]]</f>
        <v>4.9342439824501129E-2</v>
      </c>
      <c r="AD68" s="28">
        <f>Table1[[#This Row],[Freshwater % of Summed Score]]*Table1[[#This Row],[Scaled Summed Score]]</f>
        <v>7.4406843260571648E-2</v>
      </c>
      <c r="AE68" s="28">
        <f>Table1[[#This Row],[Summed Raw Scores]]/MAX(Table1[Summed Raw Scores])</f>
        <v>0.12374928308507276</v>
      </c>
      <c r="AF68" s="7"/>
    </row>
    <row r="69" spans="1:32" hidden="1" x14ac:dyDescent="0.3">
      <c r="A69" s="26" t="s">
        <v>156</v>
      </c>
      <c r="B69" s="26" t="s">
        <v>114</v>
      </c>
      <c r="C69" s="26" t="s">
        <v>27</v>
      </c>
      <c r="D69" s="26" t="s">
        <v>250</v>
      </c>
      <c r="E69" s="6">
        <v>54.738847200000002</v>
      </c>
      <c r="F69" s="6">
        <v>-120.7330381</v>
      </c>
      <c r="G69" s="6">
        <v>108</v>
      </c>
      <c r="H69" s="26" t="s">
        <v>22</v>
      </c>
      <c r="I69" s="6">
        <v>26.4</v>
      </c>
      <c r="J69" s="7">
        <v>476.30748000000006</v>
      </c>
      <c r="K69" s="7">
        <v>62.376135598209594</v>
      </c>
      <c r="L69" s="6" t="s">
        <v>22</v>
      </c>
      <c r="M69" s="6">
        <v>13.4</v>
      </c>
      <c r="N69" s="6">
        <v>55.7</v>
      </c>
      <c r="O69" s="6">
        <f>Table1[[#This Row],[R1 Length (km)]]+Table1[[#This Row],[T1 Length (km)]]</f>
        <v>69.100000000000009</v>
      </c>
      <c r="P69" s="26">
        <v>230</v>
      </c>
      <c r="Q69" s="6">
        <f>(Table1[[#This Row],[Linear Features (km)]]*1)*100</f>
        <v>6910.0000000000009</v>
      </c>
      <c r="R69" s="7">
        <v>14</v>
      </c>
      <c r="S69" s="8">
        <f>Table1[[#This Row],[ATG (ha)]]/Table1[[#This Row],[Linear Area (ha)]]</f>
        <v>2.026049204052098E-3</v>
      </c>
      <c r="T69" s="26" t="s">
        <v>136</v>
      </c>
      <c r="U69" s="9" t="s">
        <v>22</v>
      </c>
      <c r="V69" s="7" t="s">
        <v>22</v>
      </c>
      <c r="W69" s="7" t="s">
        <v>22</v>
      </c>
      <c r="X69" s="31">
        <v>6309.1152050495102</v>
      </c>
      <c r="Y69" s="27">
        <f>Table1[[#This Row],[Raw Terrestrial Score]]/Table1[[#This Row],[Summed Raw Scores]]</f>
        <v>0.37263416002292793</v>
      </c>
      <c r="Z69" s="31">
        <v>10622.0088890521</v>
      </c>
      <c r="AA69" s="27">
        <f>Table1[[#This Row],[Raw Freshwater Score]]/Table1[[#This Row],[Summed Raw Scores]]</f>
        <v>0.62736583997707207</v>
      </c>
      <c r="AB69" s="27">
        <f>Table1[[#This Row],[Raw Terrestrial Score]]+Table1[[#This Row],[Raw Freshwater Score]]</f>
        <v>16931.124094101611</v>
      </c>
      <c r="AC69" s="28">
        <f>Table1[[#This Row],[Terrestrial % of Summed Score]]*Table1[[#This Row],[Scaled Summed Score]]</f>
        <v>3.7409495928412029E-2</v>
      </c>
      <c r="AD69" s="28">
        <f>Table1[[#This Row],[Freshwater % of Summed Score]]*Table1[[#This Row],[Scaled Summed Score]]</f>
        <v>6.2982523756820938E-2</v>
      </c>
      <c r="AE69" s="28">
        <f>Table1[[#This Row],[Summed Raw Scores]]/MAX(Table1[Summed Raw Scores])</f>
        <v>0.10039201968523297</v>
      </c>
      <c r="AF69" s="7"/>
    </row>
    <row r="70" spans="1:32" hidden="1" x14ac:dyDescent="0.3">
      <c r="A70" s="26" t="s">
        <v>157</v>
      </c>
      <c r="B70" s="26" t="s">
        <v>114</v>
      </c>
      <c r="C70" s="26" t="s">
        <v>27</v>
      </c>
      <c r="D70" s="26" t="s">
        <v>250</v>
      </c>
      <c r="E70" s="12">
        <v>54.660196710000001</v>
      </c>
      <c r="F70" s="12">
        <v>-120.64686709999999</v>
      </c>
      <c r="G70" s="6">
        <v>99</v>
      </c>
      <c r="H70" s="26" t="s">
        <v>22</v>
      </c>
      <c r="I70" s="7">
        <v>24</v>
      </c>
      <c r="J70" s="7">
        <v>455.60760000000005</v>
      </c>
      <c r="K70" s="7">
        <v>62.647886314441195</v>
      </c>
      <c r="L70" s="6" t="s">
        <v>22</v>
      </c>
      <c r="M70" s="12">
        <v>7.4941132812499998</v>
      </c>
      <c r="N70" s="7">
        <v>66.314632812499994</v>
      </c>
      <c r="O70" s="7">
        <f>Table1[[#This Row],[R1 Length (km)]]+Table1[[#This Row],[T1 Length (km)]]</f>
        <v>73.808746093749988</v>
      </c>
      <c r="P70" s="15">
        <v>230</v>
      </c>
      <c r="Q70" s="12">
        <f>(Table1[[#This Row],[Linear Features (km)]]*1)*100</f>
        <v>7380.8746093749987</v>
      </c>
      <c r="R70" s="7">
        <v>12.72</v>
      </c>
      <c r="S70" s="8">
        <f>Table1[[#This Row],[ATG (ha)]]/Table1[[#This Row],[Linear Area (ha)]]</f>
        <v>1.7233729975365496E-3</v>
      </c>
      <c r="T70" s="15" t="s">
        <v>136</v>
      </c>
      <c r="U70" s="9" t="s">
        <v>22</v>
      </c>
      <c r="V70" s="7" t="s">
        <v>22</v>
      </c>
      <c r="W70" s="7" t="s">
        <v>22</v>
      </c>
      <c r="X70" s="31">
        <v>11907.1453529298</v>
      </c>
      <c r="Y70" s="27">
        <f>Table1[[#This Row],[Raw Terrestrial Score]]/Table1[[#This Row],[Summed Raw Scores]]</f>
        <v>0.39832254296325587</v>
      </c>
      <c r="Z70" s="31">
        <v>17986.079530473799</v>
      </c>
      <c r="AA70" s="27">
        <f>Table1[[#This Row],[Raw Freshwater Score]]/Table1[[#This Row],[Summed Raw Scores]]</f>
        <v>0.60167745703674402</v>
      </c>
      <c r="AB70" s="27">
        <f>Table1[[#This Row],[Raw Terrestrial Score]]+Table1[[#This Row],[Raw Freshwater Score]]</f>
        <v>29893.2248834036</v>
      </c>
      <c r="AC70" s="28">
        <f>Table1[[#This Row],[Terrestrial % of Summed Score]]*Table1[[#This Row],[Scaled Summed Score]]</f>
        <v>7.0602658395416323E-2</v>
      </c>
      <c r="AD70" s="28">
        <f>Table1[[#This Row],[Freshwater % of Summed Score]]*Table1[[#This Row],[Scaled Summed Score]]</f>
        <v>0.10664731061256225</v>
      </c>
      <c r="AE70" s="28">
        <f>Table1[[#This Row],[Summed Raw Scores]]/MAX(Table1[Summed Raw Scores])</f>
        <v>0.1772499690079786</v>
      </c>
      <c r="AF70" s="7"/>
    </row>
    <row r="71" spans="1:32" hidden="1" x14ac:dyDescent="0.3">
      <c r="A71" s="26" t="s">
        <v>158</v>
      </c>
      <c r="B71" s="26" t="s">
        <v>114</v>
      </c>
      <c r="C71" s="26" t="s">
        <v>27</v>
      </c>
      <c r="D71" s="26" t="s">
        <v>250</v>
      </c>
      <c r="E71" s="6">
        <v>55.689261600000002</v>
      </c>
      <c r="F71" s="6">
        <v>-122.1239058</v>
      </c>
      <c r="G71" s="6">
        <v>102</v>
      </c>
      <c r="H71" s="26" t="s">
        <v>22</v>
      </c>
      <c r="I71" s="6">
        <v>25.2</v>
      </c>
      <c r="J71" s="7">
        <v>335.91096000000005</v>
      </c>
      <c r="K71" s="7">
        <v>68.72877135682117</v>
      </c>
      <c r="L71" s="6" t="s">
        <v>22</v>
      </c>
      <c r="M71" s="6">
        <v>1.4</v>
      </c>
      <c r="N71" s="6">
        <v>32.299999999999997</v>
      </c>
      <c r="O71" s="6">
        <f>Table1[[#This Row],[R1 Length (km)]]+Table1[[#This Row],[T1 Length (km)]]</f>
        <v>33.699999999999996</v>
      </c>
      <c r="P71" s="26">
        <v>130</v>
      </c>
      <c r="Q71" s="6">
        <f>(Table1[[#This Row],[Linear Features (km)]]*1)*100</f>
        <v>3369.9999999999995</v>
      </c>
      <c r="R71" s="7">
        <v>13.36</v>
      </c>
      <c r="S71" s="8">
        <f>Table1[[#This Row],[ATG (ha)]]/Table1[[#This Row],[Linear Area (ha)]]</f>
        <v>3.9643916913946588E-3</v>
      </c>
      <c r="T71" s="26" t="s">
        <v>136</v>
      </c>
      <c r="U71" s="9" t="s">
        <v>22</v>
      </c>
      <c r="V71" s="7" t="s">
        <v>22</v>
      </c>
      <c r="W71" s="7" t="s">
        <v>22</v>
      </c>
      <c r="X71" s="31">
        <v>19844.758786681999</v>
      </c>
      <c r="Y71" s="27">
        <f>Table1[[#This Row],[Raw Terrestrial Score]]/Table1[[#This Row],[Summed Raw Scores]]</f>
        <v>0.5062743958254009</v>
      </c>
      <c r="Z71" s="31">
        <v>19352.875836590301</v>
      </c>
      <c r="AA71" s="27">
        <f>Table1[[#This Row],[Raw Freshwater Score]]/Table1[[#This Row],[Summed Raw Scores]]</f>
        <v>0.4937256041745991</v>
      </c>
      <c r="AB71" s="27">
        <f>Table1[[#This Row],[Raw Terrestrial Score]]+Table1[[#This Row],[Raw Freshwater Score]]</f>
        <v>39197.634623272301</v>
      </c>
      <c r="AC71" s="28">
        <f>Table1[[#This Row],[Terrestrial % of Summed Score]]*Table1[[#This Row],[Scaled Summed Score]]</f>
        <v>0.11766823063185346</v>
      </c>
      <c r="AD71" s="28">
        <f>Table1[[#This Row],[Freshwater % of Summed Score]]*Table1[[#This Row],[Scaled Summed Score]]</f>
        <v>0.11475164207376477</v>
      </c>
      <c r="AE71" s="28">
        <f>Table1[[#This Row],[Summed Raw Scores]]/MAX(Table1[Summed Raw Scores])</f>
        <v>0.23241987270561823</v>
      </c>
      <c r="AF71" s="7"/>
    </row>
    <row r="72" spans="1:32" hidden="1" x14ac:dyDescent="0.3">
      <c r="A72" s="26" t="s">
        <v>159</v>
      </c>
      <c r="B72" s="26" t="s">
        <v>114</v>
      </c>
      <c r="C72" s="26" t="s">
        <v>27</v>
      </c>
      <c r="D72" s="26" t="s">
        <v>250</v>
      </c>
      <c r="E72" s="12">
        <v>55.364116840000001</v>
      </c>
      <c r="F72" s="12">
        <v>-121.4835836</v>
      </c>
      <c r="G72" s="6">
        <v>138</v>
      </c>
      <c r="H72" s="26" t="s">
        <v>22</v>
      </c>
      <c r="I72" s="7">
        <v>33.6</v>
      </c>
      <c r="J72" s="7">
        <v>562.91759999999999</v>
      </c>
      <c r="K72" s="7">
        <v>52.49959951056757</v>
      </c>
      <c r="L72" s="6" t="s">
        <v>22</v>
      </c>
      <c r="M72" s="12">
        <v>7.1597988281300005</v>
      </c>
      <c r="N72" s="7">
        <v>18.976451171874999</v>
      </c>
      <c r="O72" s="7">
        <f>Table1[[#This Row],[R1 Length (km)]]+Table1[[#This Row],[T1 Length (km)]]</f>
        <v>26.136250000004999</v>
      </c>
      <c r="P72" s="15">
        <v>230</v>
      </c>
      <c r="Q72" s="12">
        <f>(Table1[[#This Row],[Linear Features (km)]]*1)*100</f>
        <v>2613.6250000004998</v>
      </c>
      <c r="R72" s="7">
        <v>17.809999999999999</v>
      </c>
      <c r="S72" s="8">
        <f>Table1[[#This Row],[ATG (ha)]]/Table1[[#This Row],[Linear Area (ha)]]</f>
        <v>6.8142904969139004E-3</v>
      </c>
      <c r="T72" s="15" t="s">
        <v>136</v>
      </c>
      <c r="U72" s="9" t="s">
        <v>22</v>
      </c>
      <c r="V72" s="7" t="s">
        <v>22</v>
      </c>
      <c r="W72" s="7" t="s">
        <v>22</v>
      </c>
      <c r="X72" s="31">
        <v>2685.9778787046698</v>
      </c>
      <c r="Y72" s="27">
        <f>Table1[[#This Row],[Raw Terrestrial Score]]/Table1[[#This Row],[Summed Raw Scores]]</f>
        <v>0.71382873713032069</v>
      </c>
      <c r="Z72" s="31">
        <v>1076.7984554376501</v>
      </c>
      <c r="AA72" s="27">
        <f>Table1[[#This Row],[Raw Freshwater Score]]/Table1[[#This Row],[Summed Raw Scores]]</f>
        <v>0.28617126286967931</v>
      </c>
      <c r="AB72" s="27">
        <f>Table1[[#This Row],[Raw Terrestrial Score]]+Table1[[#This Row],[Raw Freshwater Score]]</f>
        <v>3762.7763341423197</v>
      </c>
      <c r="AC72" s="28">
        <f>Table1[[#This Row],[Terrestrial % of Summed Score]]*Table1[[#This Row],[Scaled Summed Score]]</f>
        <v>1.592633439896405E-2</v>
      </c>
      <c r="AD72" s="28">
        <f>Table1[[#This Row],[Freshwater % of Summed Score]]*Table1[[#This Row],[Scaled Summed Score]]</f>
        <v>6.3848077147450064E-3</v>
      </c>
      <c r="AE72" s="28">
        <f>Table1[[#This Row],[Summed Raw Scores]]/MAX(Table1[Summed Raw Scores])</f>
        <v>2.2311142113709055E-2</v>
      </c>
      <c r="AF72" s="7"/>
    </row>
    <row r="73" spans="1:32" hidden="1" x14ac:dyDescent="0.3">
      <c r="A73" s="26" t="s">
        <v>160</v>
      </c>
      <c r="B73" s="26" t="s">
        <v>114</v>
      </c>
      <c r="C73" s="26" t="s">
        <v>27</v>
      </c>
      <c r="D73" s="26" t="s">
        <v>250</v>
      </c>
      <c r="E73" s="12">
        <v>54.924725109999997</v>
      </c>
      <c r="F73" s="12">
        <v>-121.4223738</v>
      </c>
      <c r="G73" s="6">
        <v>117</v>
      </c>
      <c r="H73" s="26" t="s">
        <v>22</v>
      </c>
      <c r="I73" s="7">
        <v>27.599999999999998</v>
      </c>
      <c r="J73" s="7">
        <v>536.13828000000001</v>
      </c>
      <c r="K73" s="7">
        <v>54.493656577696221</v>
      </c>
      <c r="L73" s="6" t="s">
        <v>22</v>
      </c>
      <c r="M73" s="12">
        <v>3.4455847168</v>
      </c>
      <c r="N73" s="7">
        <v>33.058789062499997</v>
      </c>
      <c r="O73" s="7">
        <f>Table1[[#This Row],[R1 Length (km)]]+Table1[[#This Row],[T1 Length (km)]]</f>
        <v>36.504373779299996</v>
      </c>
      <c r="P73" s="15">
        <v>230</v>
      </c>
      <c r="Q73" s="12">
        <f>(Table1[[#This Row],[Linear Features (km)]]*1)*100</f>
        <v>3650.4373779299995</v>
      </c>
      <c r="R73" s="7">
        <v>14.63</v>
      </c>
      <c r="S73" s="8">
        <f>Table1[[#This Row],[ATG (ha)]]/Table1[[#This Row],[Linear Area (ha)]]</f>
        <v>4.0077389324497939E-3</v>
      </c>
      <c r="T73" s="15" t="s">
        <v>136</v>
      </c>
      <c r="U73" s="9" t="s">
        <v>22</v>
      </c>
      <c r="V73" s="7" t="s">
        <v>22</v>
      </c>
      <c r="W73" s="7" t="s">
        <v>22</v>
      </c>
      <c r="X73" s="31">
        <v>16733.955676332102</v>
      </c>
      <c r="Y73" s="27">
        <f>Table1[[#This Row],[Raw Terrestrial Score]]/Table1[[#This Row],[Summed Raw Scores]]</f>
        <v>0.46680282768654174</v>
      </c>
      <c r="Z73" s="31">
        <v>19114.061267491899</v>
      </c>
      <c r="AA73" s="27">
        <f>Table1[[#This Row],[Raw Freshwater Score]]/Table1[[#This Row],[Summed Raw Scores]]</f>
        <v>0.53319717231345842</v>
      </c>
      <c r="AB73" s="27">
        <f>Table1[[#This Row],[Raw Terrestrial Score]]+Table1[[#This Row],[Raw Freshwater Score]]</f>
        <v>35848.016943823997</v>
      </c>
      <c r="AC73" s="28">
        <f>Table1[[#This Row],[Terrestrial % of Summed Score]]*Table1[[#This Row],[Scaled Summed Score]]</f>
        <v>9.9222922136363273E-2</v>
      </c>
      <c r="AD73" s="28">
        <f>Table1[[#This Row],[Freshwater % of Summed Score]]*Table1[[#This Row],[Scaled Summed Score]]</f>
        <v>0.11333560632866033</v>
      </c>
      <c r="AE73" s="28">
        <f>Table1[[#This Row],[Summed Raw Scores]]/MAX(Table1[Summed Raw Scores])</f>
        <v>0.21255852846502357</v>
      </c>
      <c r="AF73" s="7"/>
    </row>
    <row r="74" spans="1:32" hidden="1" x14ac:dyDescent="0.3">
      <c r="A74" s="26" t="s">
        <v>161</v>
      </c>
      <c r="B74" s="26" t="s">
        <v>114</v>
      </c>
      <c r="C74" s="26" t="s">
        <v>27</v>
      </c>
      <c r="D74" s="26" t="s">
        <v>250</v>
      </c>
      <c r="E74" s="6">
        <v>54.783424879999998</v>
      </c>
      <c r="F74" s="6">
        <v>-120.28676</v>
      </c>
      <c r="G74" s="6">
        <v>156</v>
      </c>
      <c r="H74" s="26" t="s">
        <v>22</v>
      </c>
      <c r="I74" s="6">
        <v>38.4</v>
      </c>
      <c r="J74" s="7">
        <v>681.59807999999998</v>
      </c>
      <c r="K74" s="7">
        <v>53.877756587889799</v>
      </c>
      <c r="L74" s="6" t="s">
        <v>22</v>
      </c>
      <c r="M74" s="6">
        <v>7.3</v>
      </c>
      <c r="N74" s="6">
        <v>72.2</v>
      </c>
      <c r="O74" s="6">
        <f>Table1[[#This Row],[R1 Length (km)]]+Table1[[#This Row],[T1 Length (km)]]</f>
        <v>79.5</v>
      </c>
      <c r="P74" s="26">
        <v>230</v>
      </c>
      <c r="Q74" s="6">
        <f>(Table1[[#This Row],[Linear Features (km)]]*1)*100</f>
        <v>7950</v>
      </c>
      <c r="R74" s="7">
        <v>20.36</v>
      </c>
      <c r="S74" s="8">
        <f>Table1[[#This Row],[ATG (ha)]]/Table1[[#This Row],[Linear Area (ha)]]</f>
        <v>2.5610062893081762E-3</v>
      </c>
      <c r="T74" s="26" t="s">
        <v>136</v>
      </c>
      <c r="U74" s="9" t="s">
        <v>22</v>
      </c>
      <c r="V74" s="7" t="s">
        <v>22</v>
      </c>
      <c r="W74" s="7" t="s">
        <v>22</v>
      </c>
      <c r="X74" s="31">
        <v>10996.676289774499</v>
      </c>
      <c r="Y74" s="27">
        <f>Table1[[#This Row],[Raw Terrestrial Score]]/Table1[[#This Row],[Summed Raw Scores]]</f>
        <v>0.78473837997659612</v>
      </c>
      <c r="Z74" s="31">
        <v>3016.49876367766</v>
      </c>
      <c r="AA74" s="27">
        <f>Table1[[#This Row],[Raw Freshwater Score]]/Table1[[#This Row],[Summed Raw Scores]]</f>
        <v>0.21526162002340379</v>
      </c>
      <c r="AB74" s="27">
        <f>Table1[[#This Row],[Raw Terrestrial Score]]+Table1[[#This Row],[Raw Freshwater Score]]</f>
        <v>14013.17505345216</v>
      </c>
      <c r="AC74" s="28">
        <f>Table1[[#This Row],[Terrestrial % of Summed Score]]*Table1[[#This Row],[Scaled Summed Score]]</f>
        <v>6.5204090196218881E-2</v>
      </c>
      <c r="AD74" s="28">
        <f>Table1[[#This Row],[Freshwater % of Summed Score]]*Table1[[#This Row],[Scaled Summed Score]]</f>
        <v>1.7886136890881803E-2</v>
      </c>
      <c r="AE74" s="28">
        <f>Table1[[#This Row],[Summed Raw Scores]]/MAX(Table1[Summed Raw Scores])</f>
        <v>8.309022708710069E-2</v>
      </c>
      <c r="AF74" s="7"/>
    </row>
    <row r="75" spans="1:32" hidden="1" x14ac:dyDescent="0.3">
      <c r="A75" s="26" t="s">
        <v>162</v>
      </c>
      <c r="B75" s="26" t="s">
        <v>114</v>
      </c>
      <c r="C75" s="26" t="s">
        <v>27</v>
      </c>
      <c r="D75" s="26" t="s">
        <v>250</v>
      </c>
      <c r="E75" s="12">
        <v>54.862150470000003</v>
      </c>
      <c r="F75" s="12">
        <v>-121.0169033</v>
      </c>
      <c r="G75" s="6">
        <v>99</v>
      </c>
      <c r="H75" s="26" t="s">
        <v>22</v>
      </c>
      <c r="I75" s="7">
        <v>24</v>
      </c>
      <c r="J75" s="7">
        <v>462.52800000000002</v>
      </c>
      <c r="K75" s="7">
        <v>57.646413028801121</v>
      </c>
      <c r="L75" s="6" t="s">
        <v>22</v>
      </c>
      <c r="M75" s="12">
        <v>15.8065888672</v>
      </c>
      <c r="N75" s="7">
        <v>35.176449218750001</v>
      </c>
      <c r="O75" s="7">
        <f>Table1[[#This Row],[R1 Length (km)]]+Table1[[#This Row],[T1 Length (km)]]</f>
        <v>50.98303808595</v>
      </c>
      <c r="P75" s="15">
        <v>230</v>
      </c>
      <c r="Q75" s="12">
        <f>(Table1[[#This Row],[Linear Features (km)]]*1)*100</f>
        <v>5098.3038085950002</v>
      </c>
      <c r="R75" s="7">
        <v>12.72</v>
      </c>
      <c r="S75" s="8">
        <f>Table1[[#This Row],[ATG (ha)]]/Table1[[#This Row],[Linear Area (ha)]]</f>
        <v>2.4949474330180025E-3</v>
      </c>
      <c r="T75" s="15" t="s">
        <v>136</v>
      </c>
      <c r="U75" s="9" t="s">
        <v>22</v>
      </c>
      <c r="V75" s="7" t="s">
        <v>22</v>
      </c>
      <c r="W75" s="7" t="s">
        <v>22</v>
      </c>
      <c r="X75" s="31">
        <v>18641.556182071599</v>
      </c>
      <c r="Y75" s="27">
        <f>Table1[[#This Row],[Raw Terrestrial Score]]/Table1[[#This Row],[Summed Raw Scores]]</f>
        <v>0.45444112157586858</v>
      </c>
      <c r="Z75" s="31">
        <v>22379.283035621</v>
      </c>
      <c r="AA75" s="27">
        <f>Table1[[#This Row],[Raw Freshwater Score]]/Table1[[#This Row],[Summed Raw Scores]]</f>
        <v>0.54555887842413142</v>
      </c>
      <c r="AB75" s="27">
        <f>Table1[[#This Row],[Raw Terrestrial Score]]+Table1[[#This Row],[Raw Freshwater Score]]</f>
        <v>41020.839217692599</v>
      </c>
      <c r="AC75" s="28">
        <f>Table1[[#This Row],[Terrestrial % of Summed Score]]*Table1[[#This Row],[Scaled Summed Score]]</f>
        <v>0.1105339175823465</v>
      </c>
      <c r="AD75" s="28">
        <f>Table1[[#This Row],[Freshwater % of Summed Score]]*Table1[[#This Row],[Scaled Summed Score]]</f>
        <v>0.1326965303996655</v>
      </c>
      <c r="AE75" s="28">
        <f>Table1[[#This Row],[Summed Raw Scores]]/MAX(Table1[Summed Raw Scores])</f>
        <v>0.24323044798201202</v>
      </c>
      <c r="AF75" s="7"/>
    </row>
    <row r="76" spans="1:32" hidden="1" x14ac:dyDescent="0.3">
      <c r="A76" s="26" t="s">
        <v>163</v>
      </c>
      <c r="B76" s="26" t="s">
        <v>114</v>
      </c>
      <c r="C76" s="26" t="s">
        <v>59</v>
      </c>
      <c r="D76" s="26"/>
      <c r="E76" s="6">
        <v>56.238809310000001</v>
      </c>
      <c r="F76" s="6">
        <v>-124.4981851</v>
      </c>
      <c r="G76" s="6">
        <v>207</v>
      </c>
      <c r="H76" s="26" t="s">
        <v>22</v>
      </c>
      <c r="I76" s="6">
        <v>49.199999999999996</v>
      </c>
      <c r="J76" s="6">
        <v>459.3656400000001</v>
      </c>
      <c r="K76" s="6">
        <v>121.35392801256627</v>
      </c>
      <c r="L76" s="6" t="s">
        <v>22</v>
      </c>
      <c r="M76" s="6">
        <v>3.4455849609400002</v>
      </c>
      <c r="N76" s="6">
        <v>181.21009375</v>
      </c>
      <c r="O76" s="6">
        <f>Table1[[#This Row],[R1 Length (km)]]+Table1[[#This Row],[T1 Length (km)]]</f>
        <v>184.65567871094001</v>
      </c>
      <c r="P76" s="26">
        <v>230</v>
      </c>
      <c r="Q76" s="6">
        <f>(Table1[[#This Row],[Linear Features (km)]]*1)*100</f>
        <v>18465.567871094001</v>
      </c>
      <c r="R76" s="7">
        <f>2987057/10000</f>
        <v>298.70569999999998</v>
      </c>
      <c r="S76" s="8">
        <f>Table1[[#This Row],[ATG (ha)]]/Table1[[#This Row],[Linear Area (ha)]]</f>
        <v>1.6176361435793905E-2</v>
      </c>
      <c r="T76" s="26" t="s">
        <v>136</v>
      </c>
      <c r="U76" s="9" t="s">
        <v>22</v>
      </c>
      <c r="V76" s="7" t="s">
        <v>22</v>
      </c>
      <c r="W76" s="7" t="s">
        <v>22</v>
      </c>
      <c r="X76" s="31">
        <v>58843.312646020197</v>
      </c>
      <c r="Y76" s="27">
        <f>Table1[[#This Row],[Raw Terrestrial Score]]/Table1[[#This Row],[Summed Raw Scores]]</f>
        <v>0.6743755857060284</v>
      </c>
      <c r="Z76" s="31">
        <v>28412.682222796098</v>
      </c>
      <c r="AA76" s="27">
        <f>Table1[[#This Row],[Raw Freshwater Score]]/Table1[[#This Row],[Summed Raw Scores]]</f>
        <v>0.3256244142939716</v>
      </c>
      <c r="AB76" s="27">
        <f>Table1[[#This Row],[Raw Terrestrial Score]]+Table1[[#This Row],[Raw Freshwater Score]]</f>
        <v>87255.994868816299</v>
      </c>
      <c r="AC76" s="28">
        <f>Table1[[#This Row],[Terrestrial % of Summed Score]]*Table1[[#This Row],[Scaled Summed Score]]</f>
        <v>0.34890766665407474</v>
      </c>
      <c r="AD76" s="28">
        <f>Table1[[#This Row],[Freshwater % of Summed Score]]*Table1[[#This Row],[Scaled Summed Score]]</f>
        <v>0.16847118579769452</v>
      </c>
      <c r="AE76" s="28">
        <f>Table1[[#This Row],[Summed Raw Scores]]/MAX(Table1[Summed Raw Scores])</f>
        <v>0.51737885245176929</v>
      </c>
      <c r="AF76" s="7"/>
    </row>
    <row r="77" spans="1:32" hidden="1" x14ac:dyDescent="0.3">
      <c r="A77" s="26" t="s">
        <v>164</v>
      </c>
      <c r="B77" s="26" t="s">
        <v>114</v>
      </c>
      <c r="C77" s="26" t="s">
        <v>59</v>
      </c>
      <c r="D77" s="26"/>
      <c r="E77" s="6">
        <v>55.498280790000003</v>
      </c>
      <c r="F77" s="6">
        <v>-124.4117115</v>
      </c>
      <c r="G77" s="6">
        <v>54</v>
      </c>
      <c r="H77" s="26" t="s">
        <v>22</v>
      </c>
      <c r="I77" s="6">
        <v>13.2</v>
      </c>
      <c r="J77" s="6">
        <v>157.93403999999998</v>
      </c>
      <c r="K77" s="6">
        <v>134.85350200349799</v>
      </c>
      <c r="L77" s="6" t="s">
        <v>22</v>
      </c>
      <c r="M77" s="6">
        <v>9.0012187499999996</v>
      </c>
      <c r="N77" s="6">
        <v>92.210257812500004</v>
      </c>
      <c r="O77" s="6">
        <f>Table1[[#This Row],[R1 Length (km)]]+Table1[[#This Row],[T1 Length (km)]]</f>
        <v>101.2114765625</v>
      </c>
      <c r="P77" s="26">
        <v>130</v>
      </c>
      <c r="Q77" s="6">
        <f>(Table1[[#This Row],[Linear Features (km)]]*1)*100</f>
        <v>10121.147656249999</v>
      </c>
      <c r="R77" s="7">
        <f>835260.1/10000</f>
        <v>83.526009999999999</v>
      </c>
      <c r="S77" s="8">
        <f>Table1[[#This Row],[ATG (ha)]]/Table1[[#This Row],[Linear Area (ha)]]</f>
        <v>8.2526224136668051E-3</v>
      </c>
      <c r="T77" s="26" t="s">
        <v>136</v>
      </c>
      <c r="U77" s="9" t="s">
        <v>22</v>
      </c>
      <c r="V77" s="7" t="s">
        <v>22</v>
      </c>
      <c r="W77" s="7" t="s">
        <v>22</v>
      </c>
      <c r="X77" s="31">
        <v>24278.2262380393</v>
      </c>
      <c r="Y77" s="27">
        <f>Table1[[#This Row],[Raw Terrestrial Score]]/Table1[[#This Row],[Summed Raw Scores]]</f>
        <v>0.66188578461533765</v>
      </c>
      <c r="Z77" s="31">
        <v>12402.1600194611</v>
      </c>
      <c r="AA77" s="27">
        <f>Table1[[#This Row],[Raw Freshwater Score]]/Table1[[#This Row],[Summed Raw Scores]]</f>
        <v>0.33811421538466235</v>
      </c>
      <c r="AB77" s="27">
        <f>Table1[[#This Row],[Raw Terrestrial Score]]+Table1[[#This Row],[Raw Freshwater Score]]</f>
        <v>36680.386257500402</v>
      </c>
      <c r="AC77" s="28">
        <f>Table1[[#This Row],[Terrestrial % of Summed Score]]*Table1[[#This Row],[Scaled Summed Score]]</f>
        <v>0.14395619291815898</v>
      </c>
      <c r="AD77" s="28">
        <f>Table1[[#This Row],[Freshwater % of Summed Score]]*Table1[[#This Row],[Scaled Summed Score]]</f>
        <v>7.3537816266251499E-2</v>
      </c>
      <c r="AE77" s="28">
        <f>Table1[[#This Row],[Summed Raw Scores]]/MAX(Table1[Summed Raw Scores])</f>
        <v>0.21749400918441048</v>
      </c>
      <c r="AF77" s="7"/>
    </row>
    <row r="78" spans="1:32" hidden="1" x14ac:dyDescent="0.3">
      <c r="A78" s="26" t="s">
        <v>165</v>
      </c>
      <c r="B78" s="26" t="s">
        <v>114</v>
      </c>
      <c r="C78" s="26" t="s">
        <v>59</v>
      </c>
      <c r="D78" s="26"/>
      <c r="E78" s="6">
        <v>55.481708900000001</v>
      </c>
      <c r="F78" s="6">
        <v>-123.9167898</v>
      </c>
      <c r="G78" s="6">
        <v>117</v>
      </c>
      <c r="H78" s="26" t="s">
        <v>22</v>
      </c>
      <c r="I78" s="6">
        <v>28.799999999999997</v>
      </c>
      <c r="J78" s="6">
        <v>308.42207999999999</v>
      </c>
      <c r="K78" s="6">
        <v>106.96629348122117</v>
      </c>
      <c r="L78" s="6" t="s">
        <v>22</v>
      </c>
      <c r="M78" s="6">
        <v>1.9242641601600001</v>
      </c>
      <c r="N78" s="6">
        <v>60.264675781249998</v>
      </c>
      <c r="O78" s="6">
        <f>Table1[[#This Row],[R1 Length (km)]]+Table1[[#This Row],[T1 Length (km)]]</f>
        <v>62.188939941409998</v>
      </c>
      <c r="P78" s="26">
        <v>130</v>
      </c>
      <c r="Q78" s="6">
        <f>(Table1[[#This Row],[Linear Features (km)]]*1)*100</f>
        <v>6218.8939941409999</v>
      </c>
      <c r="R78" s="7">
        <f>1867770/10000</f>
        <v>186.77699999999999</v>
      </c>
      <c r="S78" s="8">
        <f>Table1[[#This Row],[ATG (ha)]]/Table1[[#This Row],[Linear Area (ha)]]</f>
        <v>3.0033797034644424E-2</v>
      </c>
      <c r="T78" s="26" t="s">
        <v>136</v>
      </c>
      <c r="U78" s="9" t="s">
        <v>22</v>
      </c>
      <c r="V78" s="7" t="s">
        <v>22</v>
      </c>
      <c r="W78" s="7" t="s">
        <v>22</v>
      </c>
      <c r="X78" s="31">
        <v>22205.258679384398</v>
      </c>
      <c r="Y78" s="27">
        <f>Table1[[#This Row],[Raw Terrestrial Score]]/Table1[[#This Row],[Summed Raw Scores]]</f>
        <v>0.6252592720550193</v>
      </c>
      <c r="Z78" s="31">
        <v>13308.4228793122</v>
      </c>
      <c r="AA78" s="27">
        <f>Table1[[#This Row],[Raw Freshwater Score]]/Table1[[#This Row],[Summed Raw Scores]]</f>
        <v>0.3747407279449807</v>
      </c>
      <c r="AB78" s="27">
        <f>Table1[[#This Row],[Raw Terrestrial Score]]+Table1[[#This Row],[Raw Freshwater Score]]</f>
        <v>35513.681558696597</v>
      </c>
      <c r="AC78" s="28">
        <f>Table1[[#This Row],[Terrestrial % of Summed Score]]*Table1[[#This Row],[Scaled Summed Score]]</f>
        <v>0.13166466408648309</v>
      </c>
      <c r="AD78" s="28">
        <f>Table1[[#This Row],[Freshwater % of Summed Score]]*Table1[[#This Row],[Scaled Summed Score]]</f>
        <v>7.8911444051418034E-2</v>
      </c>
      <c r="AE78" s="28">
        <f>Table1[[#This Row],[Summed Raw Scores]]/MAX(Table1[Summed Raw Scores])</f>
        <v>0.21057610813790112</v>
      </c>
      <c r="AF78" s="7"/>
    </row>
    <row r="79" spans="1:32" hidden="1" x14ac:dyDescent="0.3">
      <c r="A79" s="26" t="s">
        <v>166</v>
      </c>
      <c r="B79" s="26" t="s">
        <v>114</v>
      </c>
      <c r="C79" s="26" t="s">
        <v>59</v>
      </c>
      <c r="D79" s="26" t="s">
        <v>250</v>
      </c>
      <c r="E79" s="6">
        <v>55.22798306</v>
      </c>
      <c r="F79" s="6">
        <v>-123.42672570000001</v>
      </c>
      <c r="G79" s="6">
        <v>117</v>
      </c>
      <c r="H79" s="26" t="s">
        <v>22</v>
      </c>
      <c r="I79" s="6">
        <v>38.4</v>
      </c>
      <c r="J79" s="6">
        <v>477.38496000000004</v>
      </c>
      <c r="K79" s="6">
        <v>83.356993131118287</v>
      </c>
      <c r="L79" s="6" t="s">
        <v>22</v>
      </c>
      <c r="M79" s="6">
        <v>1.6485283203100001</v>
      </c>
      <c r="N79" s="6">
        <v>24.594826171874999</v>
      </c>
      <c r="O79" s="6">
        <f>Table1[[#This Row],[R1 Length (km)]]+Table1[[#This Row],[T1 Length (km)]]</f>
        <v>26.243354492184999</v>
      </c>
      <c r="P79" s="26">
        <v>130</v>
      </c>
      <c r="Q79" s="6">
        <f>(Table1[[#This Row],[Linear Features (km)]]*1)*100</f>
        <v>2624.3354492184999</v>
      </c>
      <c r="R79" s="7">
        <v>20.36</v>
      </c>
      <c r="S79" s="8">
        <f>Table1[[#This Row],[ATG (ha)]]/Table1[[#This Row],[Linear Area (ha)]]</f>
        <v>7.7581545476829187E-3</v>
      </c>
      <c r="T79" s="26" t="s">
        <v>136</v>
      </c>
      <c r="U79" s="9" t="s">
        <v>22</v>
      </c>
      <c r="V79" s="7" t="s">
        <v>22</v>
      </c>
      <c r="W79" s="7" t="s">
        <v>22</v>
      </c>
      <c r="X79" s="31">
        <v>12065.9557244526</v>
      </c>
      <c r="Y79" s="27">
        <f>Table1[[#This Row],[Raw Terrestrial Score]]/Table1[[#This Row],[Summed Raw Scores]]</f>
        <v>0.53542701932533743</v>
      </c>
      <c r="Z79" s="31">
        <v>10469.245692271301</v>
      </c>
      <c r="AA79" s="27">
        <f>Table1[[#This Row],[Raw Freshwater Score]]/Table1[[#This Row],[Summed Raw Scores]]</f>
        <v>0.46457298067466252</v>
      </c>
      <c r="AB79" s="27">
        <f>Table1[[#This Row],[Raw Terrestrial Score]]+Table1[[#This Row],[Raw Freshwater Score]]</f>
        <v>22535.201416723903</v>
      </c>
      <c r="AC79" s="28">
        <f>Table1[[#This Row],[Terrestrial % of Summed Score]]*Table1[[#This Row],[Scaled Summed Score]]</f>
        <v>7.1544314357272418E-2</v>
      </c>
      <c r="AD79" s="28">
        <f>Table1[[#This Row],[Freshwater % of Summed Score]]*Table1[[#This Row],[Scaled Summed Score]]</f>
        <v>6.2076724131635987E-2</v>
      </c>
      <c r="AE79" s="28">
        <f>Table1[[#This Row],[Summed Raw Scores]]/MAX(Table1[Summed Raw Scores])</f>
        <v>0.13362103848890841</v>
      </c>
      <c r="AF79" s="7"/>
    </row>
    <row r="80" spans="1:32" hidden="1" x14ac:dyDescent="0.3">
      <c r="A80" s="26" t="s">
        <v>167</v>
      </c>
      <c r="B80" s="26" t="s">
        <v>114</v>
      </c>
      <c r="C80" s="26" t="s">
        <v>27</v>
      </c>
      <c r="D80" s="26" t="s">
        <v>250</v>
      </c>
      <c r="E80" s="12">
        <v>55.543307339999998</v>
      </c>
      <c r="F80" s="12">
        <v>-122.3474683</v>
      </c>
      <c r="G80" s="6">
        <v>126</v>
      </c>
      <c r="H80" s="26" t="s">
        <v>22</v>
      </c>
      <c r="I80" s="7">
        <v>30</v>
      </c>
      <c r="J80" s="7">
        <v>518.37300000000005</v>
      </c>
      <c r="K80" s="7">
        <v>59.692496414795102</v>
      </c>
      <c r="L80" s="6" t="s">
        <v>22</v>
      </c>
      <c r="M80" s="12">
        <v>4.9526914062499996</v>
      </c>
      <c r="N80" s="7">
        <v>52.425691406250003</v>
      </c>
      <c r="O80" s="7">
        <f>Table1[[#This Row],[R1 Length (km)]]+Table1[[#This Row],[T1 Length (km)]]</f>
        <v>57.3783828125</v>
      </c>
      <c r="P80" s="15">
        <v>130</v>
      </c>
      <c r="Q80" s="12">
        <f>(Table1[[#This Row],[Linear Features (km)]]*1)*100</f>
        <v>5737.8382812500004</v>
      </c>
      <c r="R80" s="7">
        <v>15.9</v>
      </c>
      <c r="S80" s="8">
        <f>Table1[[#This Row],[ATG (ha)]]/Table1[[#This Row],[Linear Area (ha)]]</f>
        <v>2.7710784481252671E-3</v>
      </c>
      <c r="T80" s="15" t="s">
        <v>136</v>
      </c>
      <c r="U80" s="9" t="s">
        <v>22</v>
      </c>
      <c r="V80" s="7" t="s">
        <v>22</v>
      </c>
      <c r="W80" s="7" t="s">
        <v>22</v>
      </c>
      <c r="X80" s="31">
        <v>19011.716836219701</v>
      </c>
      <c r="Y80" s="27">
        <f>Table1[[#This Row],[Raw Terrestrial Score]]/Table1[[#This Row],[Summed Raw Scores]]</f>
        <v>0.54339484129727089</v>
      </c>
      <c r="Z80" s="31">
        <v>15975.212356615801</v>
      </c>
      <c r="AA80" s="27">
        <f>Table1[[#This Row],[Raw Freshwater Score]]/Table1[[#This Row],[Summed Raw Scores]]</f>
        <v>0.45660515870272911</v>
      </c>
      <c r="AB80" s="27">
        <f>Table1[[#This Row],[Raw Terrestrial Score]]+Table1[[#This Row],[Raw Freshwater Score]]</f>
        <v>34986.929192835501</v>
      </c>
      <c r="AC80" s="28">
        <f>Table1[[#This Row],[Terrestrial % of Summed Score]]*Table1[[#This Row],[Scaled Summed Score]]</f>
        <v>0.11272876155557572</v>
      </c>
      <c r="AD80" s="28">
        <f>Table1[[#This Row],[Freshwater % of Summed Score]]*Table1[[#This Row],[Scaled Summed Score]]</f>
        <v>9.4724002048976144E-2</v>
      </c>
      <c r="AE80" s="28">
        <f>Table1[[#This Row],[Summed Raw Scores]]/MAX(Table1[Summed Raw Scores])</f>
        <v>0.20745276360455187</v>
      </c>
      <c r="AF80" s="7"/>
    </row>
    <row r="81" spans="1:32" hidden="1" x14ac:dyDescent="0.3">
      <c r="A81" s="26" t="s">
        <v>168</v>
      </c>
      <c r="B81" s="26" t="s">
        <v>114</v>
      </c>
      <c r="C81" s="26" t="s">
        <v>27</v>
      </c>
      <c r="D81" s="26" t="s">
        <v>250</v>
      </c>
      <c r="E81" s="12">
        <v>55.088797079999999</v>
      </c>
      <c r="F81" s="12">
        <v>-120.8807972</v>
      </c>
      <c r="G81" s="6">
        <v>108</v>
      </c>
      <c r="H81" s="26" t="s">
        <v>22</v>
      </c>
      <c r="I81" s="6">
        <v>26.4</v>
      </c>
      <c r="J81" s="6">
        <v>349.97952000000004</v>
      </c>
      <c r="K81" s="6">
        <v>74.776098252114934</v>
      </c>
      <c r="L81" s="6" t="s">
        <v>22</v>
      </c>
      <c r="M81" s="6">
        <v>0.6</v>
      </c>
      <c r="N81" s="6">
        <v>18.7</v>
      </c>
      <c r="O81" s="6">
        <f>Table1[[#This Row],[R1 Length (km)]]+Table1[[#This Row],[T1 Length (km)]]</f>
        <v>19.3</v>
      </c>
      <c r="P81" s="26">
        <v>230</v>
      </c>
      <c r="Q81" s="6">
        <f>(Table1[[#This Row],[Linear Features (km)]]*1)*100</f>
        <v>1930</v>
      </c>
      <c r="R81" s="7">
        <v>14</v>
      </c>
      <c r="S81" s="8">
        <f>Table1[[#This Row],[ATG (ha)]]/Table1[[#This Row],[Linear Area (ha)]]</f>
        <v>7.2538860103626944E-3</v>
      </c>
      <c r="T81" s="26" t="s">
        <v>136</v>
      </c>
      <c r="U81" s="9" t="s">
        <v>22</v>
      </c>
      <c r="V81" s="7" t="s">
        <v>22</v>
      </c>
      <c r="W81" s="7" t="s">
        <v>22</v>
      </c>
      <c r="X81" s="31">
        <v>4975.2760806977703</v>
      </c>
      <c r="Y81" s="27">
        <f>Table1[[#This Row],[Raw Terrestrial Score]]/Table1[[#This Row],[Summed Raw Scores]]</f>
        <v>0.80189335437630604</v>
      </c>
      <c r="Z81" s="31">
        <v>1229.13508388586</v>
      </c>
      <c r="AA81" s="27">
        <f>Table1[[#This Row],[Raw Freshwater Score]]/Table1[[#This Row],[Summed Raw Scores]]</f>
        <v>0.19810664562369404</v>
      </c>
      <c r="AB81" s="27">
        <f>Table1[[#This Row],[Raw Terrestrial Score]]+Table1[[#This Row],[Raw Freshwater Score]]</f>
        <v>6204.4111645836301</v>
      </c>
      <c r="AC81" s="28">
        <f>Table1[[#This Row],[Terrestrial % of Summed Score]]*Table1[[#This Row],[Scaled Summed Score]]</f>
        <v>2.950058197298815E-2</v>
      </c>
      <c r="AD81" s="28">
        <f>Table1[[#This Row],[Freshwater % of Summed Score]]*Table1[[#This Row],[Scaled Summed Score]]</f>
        <v>7.2880780302276354E-3</v>
      </c>
      <c r="AE81" s="28">
        <f>Table1[[#This Row],[Summed Raw Scores]]/MAX(Table1[Summed Raw Scores])</f>
        <v>3.6788660003215783E-2</v>
      </c>
      <c r="AF81" s="7"/>
    </row>
    <row r="82" spans="1:32" hidden="1" x14ac:dyDescent="0.3">
      <c r="A82" s="26" t="s">
        <v>169</v>
      </c>
      <c r="B82" s="26" t="s">
        <v>114</v>
      </c>
      <c r="C82" s="26" t="s">
        <v>27</v>
      </c>
      <c r="D82" s="26" t="s">
        <v>250</v>
      </c>
      <c r="E82" s="12">
        <v>55.438547239999998</v>
      </c>
      <c r="F82" s="12">
        <v>-122.1718735</v>
      </c>
      <c r="G82" s="6">
        <v>153</v>
      </c>
      <c r="H82" s="26" t="s">
        <v>22</v>
      </c>
      <c r="I82" s="7">
        <v>36</v>
      </c>
      <c r="J82" s="7">
        <v>694.58039999999994</v>
      </c>
      <c r="K82" s="7">
        <v>50.959020257979866</v>
      </c>
      <c r="L82" s="6" t="s">
        <v>22</v>
      </c>
      <c r="M82" s="6">
        <v>4.9000000000000004</v>
      </c>
      <c r="N82" s="7">
        <v>45.674933593749998</v>
      </c>
      <c r="O82" s="7">
        <f>Table1[[#This Row],[R1 Length (km)]]+Table1[[#This Row],[T1 Length (km)]]</f>
        <v>50.574933593749996</v>
      </c>
      <c r="P82" s="15">
        <v>130</v>
      </c>
      <c r="Q82" s="12">
        <f>(Table1[[#This Row],[Linear Features (km)]]*1)*100</f>
        <v>5057.4933593749993</v>
      </c>
      <c r="R82" s="7">
        <v>19.09</v>
      </c>
      <c r="S82" s="8">
        <f>Table1[[#This Row],[ATG (ha)]]/Table1[[#This Row],[Linear Area (ha)]]</f>
        <v>3.7745971459583142E-3</v>
      </c>
      <c r="T82" s="15" t="s">
        <v>136</v>
      </c>
      <c r="U82" s="9" t="s">
        <v>22</v>
      </c>
      <c r="V82" s="7" t="s">
        <v>22</v>
      </c>
      <c r="W82" s="7" t="s">
        <v>22</v>
      </c>
      <c r="X82" s="31">
        <v>12776.4873687085</v>
      </c>
      <c r="Y82" s="27">
        <f>Table1[[#This Row],[Raw Terrestrial Score]]/Table1[[#This Row],[Summed Raw Scores]]</f>
        <v>0.57928385338563926</v>
      </c>
      <c r="Z82" s="31">
        <v>9279.17203563359</v>
      </c>
      <c r="AA82" s="27">
        <f>Table1[[#This Row],[Raw Freshwater Score]]/Table1[[#This Row],[Summed Raw Scores]]</f>
        <v>0.42071614661436063</v>
      </c>
      <c r="AB82" s="27">
        <f>Table1[[#This Row],[Raw Terrestrial Score]]+Table1[[#This Row],[Raw Freshwater Score]]</f>
        <v>22055.659404342092</v>
      </c>
      <c r="AC82" s="28">
        <f>Table1[[#This Row],[Terrestrial % of Summed Score]]*Table1[[#This Row],[Scaled Summed Score]]</f>
        <v>7.5757366392132264E-2</v>
      </c>
      <c r="AD82" s="28">
        <f>Table1[[#This Row],[Freshwater % of Summed Score]]*Table1[[#This Row],[Scaled Summed Score]]</f>
        <v>5.5020258341176617E-2</v>
      </c>
      <c r="AE82" s="28">
        <f>Table1[[#This Row],[Summed Raw Scores]]/MAX(Table1[Summed Raw Scores])</f>
        <v>0.13077762473330889</v>
      </c>
      <c r="AF82" s="7"/>
    </row>
    <row r="83" spans="1:32" hidden="1" x14ac:dyDescent="0.3">
      <c r="A83" s="26" t="s">
        <v>170</v>
      </c>
      <c r="B83" s="26" t="s">
        <v>114</v>
      </c>
      <c r="C83" s="26" t="s">
        <v>27</v>
      </c>
      <c r="D83" s="26"/>
      <c r="E83" s="6">
        <v>55.576506389999999</v>
      </c>
      <c r="F83" s="6">
        <v>-121.70082429999999</v>
      </c>
      <c r="G83" s="6">
        <v>87</v>
      </c>
      <c r="H83" s="26" t="s">
        <v>22</v>
      </c>
      <c r="I83" s="6">
        <v>21.599999999999998</v>
      </c>
      <c r="J83" s="6">
        <v>213.57755999999998</v>
      </c>
      <c r="K83" s="6">
        <v>98.6800376344559</v>
      </c>
      <c r="L83" s="6" t="s">
        <v>22</v>
      </c>
      <c r="M83" s="6">
        <v>0.8</v>
      </c>
      <c r="N83" s="6">
        <v>15.891168945312501</v>
      </c>
      <c r="O83" s="6">
        <f>Table1[[#This Row],[R1 Length (km)]]+Table1[[#This Row],[T1 Length (km)]]</f>
        <v>16.691168945312501</v>
      </c>
      <c r="P83" s="26">
        <v>130</v>
      </c>
      <c r="Q83" s="6">
        <f>(Table1[[#This Row],[Linear Features (km)]]*1)*100</f>
        <v>1669.1168945312502</v>
      </c>
      <c r="R83" s="7">
        <f>1542378/10000</f>
        <v>154.23779999999999</v>
      </c>
      <c r="S83" s="8">
        <f>Table1[[#This Row],[ATG (ha)]]/Table1[[#This Row],[Linear Area (ha)]]</f>
        <v>9.2406829327142892E-2</v>
      </c>
      <c r="T83" s="26" t="s">
        <v>136</v>
      </c>
      <c r="U83" s="9" t="s">
        <v>22</v>
      </c>
      <c r="V83" s="7" t="s">
        <v>22</v>
      </c>
      <c r="W83" s="7" t="s">
        <v>22</v>
      </c>
      <c r="X83" s="31">
        <v>2528.6159211806998</v>
      </c>
      <c r="Y83" s="27">
        <f>Table1[[#This Row],[Raw Terrestrial Score]]/Table1[[#This Row],[Summed Raw Scores]]</f>
        <v>0.79835121676094711</v>
      </c>
      <c r="Z83" s="31">
        <v>638.68171436339605</v>
      </c>
      <c r="AA83" s="27">
        <f>Table1[[#This Row],[Raw Freshwater Score]]/Table1[[#This Row],[Summed Raw Scores]]</f>
        <v>0.20164878323905286</v>
      </c>
      <c r="AB83" s="27">
        <f>Table1[[#This Row],[Raw Terrestrial Score]]+Table1[[#This Row],[Raw Freshwater Score]]</f>
        <v>3167.297635544096</v>
      </c>
      <c r="AC83" s="28">
        <f>Table1[[#This Row],[Terrestrial % of Summed Score]]*Table1[[#This Row],[Scaled Summed Score]]</f>
        <v>1.4993266715468847E-2</v>
      </c>
      <c r="AD83" s="28">
        <f>Table1[[#This Row],[Freshwater % of Summed Score]]*Table1[[#This Row],[Scaled Summed Score]]</f>
        <v>3.7870224613914282E-3</v>
      </c>
      <c r="AE83" s="28">
        <f>Table1[[#This Row],[Summed Raw Scores]]/MAX(Table1[Summed Raw Scores])</f>
        <v>1.8780289176860275E-2</v>
      </c>
      <c r="AF83" s="7"/>
    </row>
    <row r="84" spans="1:32" x14ac:dyDescent="0.3">
      <c r="A84" s="26" t="s">
        <v>171</v>
      </c>
      <c r="B84" s="26" t="s">
        <v>114</v>
      </c>
      <c r="C84" s="26" t="s">
        <v>27</v>
      </c>
      <c r="D84" s="26" t="s">
        <v>250</v>
      </c>
      <c r="E84" s="6">
        <v>55.808584250000003</v>
      </c>
      <c r="F84" s="6">
        <v>-121.38396040000001</v>
      </c>
      <c r="G84" s="6">
        <v>150</v>
      </c>
      <c r="H84" s="26" t="s">
        <v>22</v>
      </c>
      <c r="I84" s="6">
        <v>36</v>
      </c>
      <c r="J84" s="6">
        <v>383.81940000000003</v>
      </c>
      <c r="K84" s="6">
        <v>84.166982229582743</v>
      </c>
      <c r="L84" s="6" t="s">
        <v>22</v>
      </c>
      <c r="M84" s="6">
        <v>0.1</v>
      </c>
      <c r="N84" s="6">
        <v>20</v>
      </c>
      <c r="O84" s="6">
        <f>Table1[[#This Row],[R1 Length (km)]]+Table1[[#This Row],[T1 Length (km)]]</f>
        <v>20.100000000000001</v>
      </c>
      <c r="P84" s="26">
        <v>130</v>
      </c>
      <c r="Q84" s="6">
        <f>(Table1[[#This Row],[Linear Features (km)]]*1)*100</f>
        <v>2010.0000000000002</v>
      </c>
      <c r="R84" s="7">
        <f>((PI()*(45^2))*Table1[[#This Row],[Number of Turbines - WIND]])/10000</f>
        <v>19.085175370557995</v>
      </c>
      <c r="S84" s="8">
        <f>Table1[[#This Row],[ATG (ha)]]/Table1[[#This Row],[Linear Area (ha)]]</f>
        <v>9.495112124655718E-3</v>
      </c>
      <c r="T84" s="26" t="s">
        <v>115</v>
      </c>
      <c r="U84" s="26">
        <v>30</v>
      </c>
      <c r="V84" s="7" t="s">
        <v>22</v>
      </c>
      <c r="W84" s="7" t="s">
        <v>22</v>
      </c>
      <c r="X84" s="31">
        <f>524.537639795803+[1]plateau_average_sums!$B$31</f>
        <v>530.74395291977612</v>
      </c>
      <c r="Y84" s="27">
        <f>Table1[[#This Row],[Raw Terrestrial Score]]/Table1[[#This Row],[Summed Raw Scores]]</f>
        <v>0.73738110438653737</v>
      </c>
      <c r="Z84" s="31">
        <f>182.325471341144+[2]plateau_average_sums!$B$31</f>
        <v>189.02490169621976</v>
      </c>
      <c r="AA84" s="27">
        <f>Table1[[#This Row],[Raw Freshwater Score]]/Table1[[#This Row],[Summed Raw Scores]]</f>
        <v>0.26261889561346258</v>
      </c>
      <c r="AB84" s="27">
        <f>Table1[[#This Row],[Raw Terrestrial Score]]+Table1[[#This Row],[Raw Freshwater Score]]</f>
        <v>719.76885461599591</v>
      </c>
      <c r="AC84" s="28">
        <f>Table1[[#This Row],[Terrestrial % of Summed Score]]*Table1[[#This Row],[Scaled Summed Score]]</f>
        <v>3.1470123940502471E-3</v>
      </c>
      <c r="AD84" s="28">
        <f>Table1[[#This Row],[Freshwater % of Summed Score]]*Table1[[#This Row],[Scaled Summed Score]]</f>
        <v>1.1208110900738778E-3</v>
      </c>
      <c r="AE84" s="28">
        <f>Table1[[#This Row],[Summed Raw Scores]]/MAX(Table1[Summed Raw Scores])</f>
        <v>4.2678234841241249E-3</v>
      </c>
      <c r="AF84" s="7"/>
    </row>
    <row r="85" spans="1:32" hidden="1" x14ac:dyDescent="0.3">
      <c r="A85" s="26" t="s">
        <v>172</v>
      </c>
      <c r="B85" s="26" t="s">
        <v>114</v>
      </c>
      <c r="C85" s="26" t="s">
        <v>27</v>
      </c>
      <c r="D85" s="26" t="s">
        <v>250</v>
      </c>
      <c r="E85" s="6">
        <v>55.548454599999999</v>
      </c>
      <c r="F85" s="6">
        <v>-120.7554162</v>
      </c>
      <c r="G85" s="6">
        <v>351</v>
      </c>
      <c r="H85" s="26" t="s">
        <v>22</v>
      </c>
      <c r="I85" s="6">
        <v>84</v>
      </c>
      <c r="J85" s="6">
        <v>952.91280000000006</v>
      </c>
      <c r="K85" s="6">
        <v>77.43051985602311</v>
      </c>
      <c r="L85" s="6" t="s">
        <v>22</v>
      </c>
      <c r="M85" s="6">
        <v>1.4</v>
      </c>
      <c r="N85" s="6">
        <v>54.8</v>
      </c>
      <c r="O85" s="6">
        <f>Table1[[#This Row],[R1 Length (km)]]+Table1[[#This Row],[T1 Length (km)]]</f>
        <v>56.199999999999996</v>
      </c>
      <c r="P85" s="26">
        <v>230</v>
      </c>
      <c r="Q85" s="6">
        <f>(Table1[[#This Row],[Linear Features (km)]]*1)*100</f>
        <v>5620</v>
      </c>
      <c r="R85" s="7">
        <v>44.53</v>
      </c>
      <c r="S85" s="8">
        <f>Table1[[#This Row],[ATG (ha)]]/Table1[[#This Row],[Linear Area (ha)]]</f>
        <v>7.9234875444839856E-3</v>
      </c>
      <c r="T85" s="26" t="s">
        <v>136</v>
      </c>
      <c r="U85" s="9" t="s">
        <v>22</v>
      </c>
      <c r="V85" s="7" t="s">
        <v>22</v>
      </c>
      <c r="W85" s="7" t="s">
        <v>22</v>
      </c>
      <c r="X85" s="31">
        <v>10555.9491784908</v>
      </c>
      <c r="Y85" s="27">
        <f>Table1[[#This Row],[Raw Terrestrial Score]]/Table1[[#This Row],[Summed Raw Scores]]</f>
        <v>0.77934677892907522</v>
      </c>
      <c r="Z85" s="31">
        <v>2988.6621086644</v>
      </c>
      <c r="AA85" s="27">
        <f>Table1[[#This Row],[Raw Freshwater Score]]/Table1[[#This Row],[Summed Raw Scores]]</f>
        <v>0.22065322107092483</v>
      </c>
      <c r="AB85" s="27">
        <f>Table1[[#This Row],[Raw Terrestrial Score]]+Table1[[#This Row],[Raw Freshwater Score]]</f>
        <v>13544.6112871552</v>
      </c>
      <c r="AC85" s="28">
        <f>Table1[[#This Row],[Terrestrial % of Summed Score]]*Table1[[#This Row],[Scaled Summed Score]]</f>
        <v>6.2590826919315556E-2</v>
      </c>
      <c r="AD85" s="28">
        <f>Table1[[#This Row],[Freshwater % of Summed Score]]*Table1[[#This Row],[Scaled Summed Score]]</f>
        <v>1.7721081221658056E-2</v>
      </c>
      <c r="AE85" s="28">
        <f>Table1[[#This Row],[Summed Raw Scores]]/MAX(Table1[Summed Raw Scores])</f>
        <v>8.0311908140973609E-2</v>
      </c>
      <c r="AF85" s="7"/>
    </row>
    <row r="86" spans="1:32" hidden="1" x14ac:dyDescent="0.3">
      <c r="A86" s="26" t="s">
        <v>173</v>
      </c>
      <c r="B86" s="26" t="s">
        <v>114</v>
      </c>
      <c r="C86" s="26" t="s">
        <v>27</v>
      </c>
      <c r="D86" s="26" t="s">
        <v>250</v>
      </c>
      <c r="E86" s="6">
        <v>55.960574549999997</v>
      </c>
      <c r="F86" s="6">
        <v>-120.86637829999999</v>
      </c>
      <c r="G86" s="6">
        <v>171</v>
      </c>
      <c r="H86" s="26" t="s">
        <v>22</v>
      </c>
      <c r="I86" s="6">
        <v>42</v>
      </c>
      <c r="J86" s="6">
        <v>456.5274</v>
      </c>
      <c r="K86" s="6">
        <v>91.951307550862538</v>
      </c>
      <c r="L86" s="6" t="s">
        <v>22</v>
      </c>
      <c r="M86" s="6">
        <v>4.4041630859400005</v>
      </c>
      <c r="N86" s="6">
        <v>72.494023437500005</v>
      </c>
      <c r="O86" s="6">
        <f>Table1[[#This Row],[R1 Length (km)]]+Table1[[#This Row],[T1 Length (km)]]</f>
        <v>76.898186523440003</v>
      </c>
      <c r="P86" s="26">
        <v>230</v>
      </c>
      <c r="Q86" s="6">
        <f>(Table1[[#This Row],[Linear Features (km)]]*1)*100</f>
        <v>7689.8186523439999</v>
      </c>
      <c r="R86" s="7">
        <v>22.27</v>
      </c>
      <c r="S86" s="8">
        <f>Table1[[#This Row],[ATG (ha)]]/Table1[[#This Row],[Linear Area (ha)]]</f>
        <v>2.8960370857655645E-3</v>
      </c>
      <c r="T86" s="26" t="s">
        <v>136</v>
      </c>
      <c r="U86" s="9" t="s">
        <v>22</v>
      </c>
      <c r="V86" s="7" t="s">
        <v>22</v>
      </c>
      <c r="W86" s="7" t="s">
        <v>22</v>
      </c>
      <c r="X86" s="31">
        <v>20401.267666085601</v>
      </c>
      <c r="Y86" s="27">
        <f>Table1[[#This Row],[Raw Terrestrial Score]]/Table1[[#This Row],[Summed Raw Scores]]</f>
        <v>0.96219358753210216</v>
      </c>
      <c r="Z86" s="31">
        <v>801.60453181806997</v>
      </c>
      <c r="AA86" s="27">
        <f>Table1[[#This Row],[Raw Freshwater Score]]/Table1[[#This Row],[Summed Raw Scores]]</f>
        <v>3.780641246789785E-2</v>
      </c>
      <c r="AB86" s="27">
        <f>Table1[[#This Row],[Raw Terrestrial Score]]+Table1[[#This Row],[Raw Freshwater Score]]</f>
        <v>21202.872197903671</v>
      </c>
      <c r="AC86" s="28">
        <f>Table1[[#This Row],[Terrestrial % of Summed Score]]*Table1[[#This Row],[Scaled Summed Score]]</f>
        <v>0.12096801451304044</v>
      </c>
      <c r="AD86" s="28">
        <f>Table1[[#This Row],[Freshwater % of Summed Score]]*Table1[[#This Row],[Scaled Summed Score]]</f>
        <v>4.7530629089232801E-3</v>
      </c>
      <c r="AE86" s="28">
        <f>Table1[[#This Row],[Summed Raw Scores]]/MAX(Table1[Summed Raw Scores])</f>
        <v>0.12572107742196373</v>
      </c>
      <c r="AF86" s="7"/>
    </row>
    <row r="87" spans="1:32" hidden="1" x14ac:dyDescent="0.3">
      <c r="A87" s="26" t="s">
        <v>174</v>
      </c>
      <c r="B87" s="26" t="s">
        <v>114</v>
      </c>
      <c r="C87" s="26" t="s">
        <v>27</v>
      </c>
      <c r="D87" s="26" t="s">
        <v>250</v>
      </c>
      <c r="E87" s="6">
        <v>56.54299082</v>
      </c>
      <c r="F87" s="6">
        <v>-123.0058961</v>
      </c>
      <c r="G87" s="6">
        <v>72</v>
      </c>
      <c r="H87" s="26" t="s">
        <v>22</v>
      </c>
      <c r="I87" s="6">
        <v>16.8</v>
      </c>
      <c r="J87" s="6">
        <v>283.66631999999998</v>
      </c>
      <c r="K87" s="6">
        <v>86.422963406889508</v>
      </c>
      <c r="L87" s="6" t="s">
        <v>22</v>
      </c>
      <c r="M87" s="6">
        <v>10.212486328100001</v>
      </c>
      <c r="N87" s="6">
        <v>85.097687500000006</v>
      </c>
      <c r="O87" s="6">
        <f>Table1[[#This Row],[R1 Length (km)]]+Table1[[#This Row],[T1 Length (km)]]</f>
        <v>95.310173828100005</v>
      </c>
      <c r="P87" s="26">
        <v>130</v>
      </c>
      <c r="Q87" s="6">
        <f>(Table1[[#This Row],[Linear Features (km)]]*1)*100</f>
        <v>9531.0173828100014</v>
      </c>
      <c r="R87" s="7">
        <v>8.91</v>
      </c>
      <c r="S87" s="8">
        <f>Table1[[#This Row],[ATG (ha)]]/Table1[[#This Row],[Linear Area (ha)]]</f>
        <v>9.3484248765194169E-4</v>
      </c>
      <c r="T87" s="26" t="s">
        <v>136</v>
      </c>
      <c r="U87" s="9" t="s">
        <v>22</v>
      </c>
      <c r="V87" s="7" t="s">
        <v>22</v>
      </c>
      <c r="W87" s="7" t="s">
        <v>22</v>
      </c>
      <c r="X87" s="31">
        <v>20138.329292080402</v>
      </c>
      <c r="Y87" s="27">
        <f>Table1[[#This Row],[Raw Terrestrial Score]]/Table1[[#This Row],[Summed Raw Scores]]</f>
        <v>0.624621456600987</v>
      </c>
      <c r="Z87" s="31">
        <v>12102.524875286001</v>
      </c>
      <c r="AA87" s="27">
        <f>Table1[[#This Row],[Raw Freshwater Score]]/Table1[[#This Row],[Summed Raw Scores]]</f>
        <v>0.37537854339901311</v>
      </c>
      <c r="AB87" s="27">
        <f>Table1[[#This Row],[Raw Terrestrial Score]]+Table1[[#This Row],[Raw Freshwater Score]]</f>
        <v>32240.8541673664</v>
      </c>
      <c r="AC87" s="28">
        <f>Table1[[#This Row],[Terrestrial % of Summed Score]]*Table1[[#This Row],[Scaled Summed Score]]</f>
        <v>0.11940893820644548</v>
      </c>
      <c r="AD87" s="28">
        <f>Table1[[#This Row],[Freshwater % of Summed Score]]*Table1[[#This Row],[Scaled Summed Score]]</f>
        <v>7.1761148803109243E-2</v>
      </c>
      <c r="AE87" s="28">
        <f>Table1[[#This Row],[Summed Raw Scores]]/MAX(Table1[Summed Raw Scores])</f>
        <v>0.19117008700955471</v>
      </c>
      <c r="AF87" s="7"/>
    </row>
    <row r="88" spans="1:32" hidden="1" x14ac:dyDescent="0.3">
      <c r="A88" s="26" t="s">
        <v>175</v>
      </c>
      <c r="B88" s="26" t="s">
        <v>114</v>
      </c>
      <c r="C88" s="26" t="s">
        <v>27</v>
      </c>
      <c r="D88" s="26" t="s">
        <v>250</v>
      </c>
      <c r="E88" s="6">
        <v>55.866821960000003</v>
      </c>
      <c r="F88" s="6">
        <v>-121.7623816</v>
      </c>
      <c r="G88" s="6">
        <v>129</v>
      </c>
      <c r="H88" s="26" t="s">
        <v>22</v>
      </c>
      <c r="I88" s="6">
        <v>31.2</v>
      </c>
      <c r="J88" s="6">
        <v>344.60088000000002</v>
      </c>
      <c r="K88" s="6">
        <v>84.35861942811421</v>
      </c>
      <c r="L88" s="6" t="s">
        <v>22</v>
      </c>
      <c r="M88" s="6">
        <v>3.9213208007799998</v>
      </c>
      <c r="N88" s="6">
        <v>23.785281250000001</v>
      </c>
      <c r="O88" s="6">
        <f>Table1[[#This Row],[R1 Length (km)]]+Table1[[#This Row],[T1 Length (km)]]</f>
        <v>27.706602050779999</v>
      </c>
      <c r="P88" s="26">
        <v>130</v>
      </c>
      <c r="Q88" s="6">
        <f>(Table1[[#This Row],[Linear Features (km)]]*1)*100</f>
        <v>2770.6602050779998</v>
      </c>
      <c r="R88" s="7">
        <v>16.54</v>
      </c>
      <c r="S88" s="8">
        <f>Table1[[#This Row],[ATG (ha)]]/Table1[[#This Row],[Linear Area (ha)]]</f>
        <v>5.9696963090911988E-3</v>
      </c>
      <c r="T88" s="26" t="s">
        <v>136</v>
      </c>
      <c r="U88" s="9" t="s">
        <v>22</v>
      </c>
      <c r="V88" s="7" t="s">
        <v>22</v>
      </c>
      <c r="W88" s="7" t="s">
        <v>22</v>
      </c>
      <c r="X88" s="31">
        <v>5562.9013017406696</v>
      </c>
      <c r="Y88" s="27">
        <f>Table1[[#This Row],[Raw Terrestrial Score]]/Table1[[#This Row],[Summed Raw Scores]]</f>
        <v>0.58693998575687545</v>
      </c>
      <c r="Z88" s="31">
        <v>3914.9012619527098</v>
      </c>
      <c r="AA88" s="27">
        <f>Table1[[#This Row],[Raw Freshwater Score]]/Table1[[#This Row],[Summed Raw Scores]]</f>
        <v>0.41306001424312455</v>
      </c>
      <c r="AB88" s="27">
        <f>Table1[[#This Row],[Raw Terrestrial Score]]+Table1[[#This Row],[Raw Freshwater Score]]</f>
        <v>9477.8025636933799</v>
      </c>
      <c r="AC88" s="28">
        <f>Table1[[#This Row],[Terrestrial % of Summed Score]]*Table1[[#This Row],[Scaled Summed Score]]</f>
        <v>3.2984868215921649E-2</v>
      </c>
      <c r="AD88" s="28">
        <f>Table1[[#This Row],[Freshwater % of Summed Score]]*Table1[[#This Row],[Scaled Summed Score]]</f>
        <v>2.3213157163771547E-2</v>
      </c>
      <c r="AE88" s="28">
        <f>Table1[[#This Row],[Summed Raw Scores]]/MAX(Table1[Summed Raw Scores])</f>
        <v>5.6198025379693199E-2</v>
      </c>
      <c r="AF88" s="7"/>
    </row>
    <row r="89" spans="1:32" hidden="1" x14ac:dyDescent="0.3">
      <c r="A89" s="26" t="s">
        <v>176</v>
      </c>
      <c r="B89" s="26" t="s">
        <v>114</v>
      </c>
      <c r="C89" s="26" t="s">
        <v>27</v>
      </c>
      <c r="D89" s="26" t="s">
        <v>250</v>
      </c>
      <c r="E89" s="6">
        <v>55.729118999999997</v>
      </c>
      <c r="F89" s="6">
        <v>-121.80133600000001</v>
      </c>
      <c r="G89" s="6">
        <v>186</v>
      </c>
      <c r="H89" s="26" t="s">
        <v>22</v>
      </c>
      <c r="I89" s="6">
        <v>45.6</v>
      </c>
      <c r="J89" s="6">
        <v>549.25199999999995</v>
      </c>
      <c r="K89" s="6">
        <v>76.208568497958495</v>
      </c>
      <c r="L89" s="6" t="s">
        <v>22</v>
      </c>
      <c r="M89" s="6">
        <v>8.5299999999999994</v>
      </c>
      <c r="N89" s="6">
        <v>26.352185546874999</v>
      </c>
      <c r="O89" s="6">
        <f>Table1[[#This Row],[R1 Length (km)]]+Table1[[#This Row],[T1 Length (km)]]</f>
        <v>34.882185546875</v>
      </c>
      <c r="P89" s="26">
        <v>230</v>
      </c>
      <c r="Q89" s="6">
        <f>(Table1[[#This Row],[Linear Features (km)]]*1)*100</f>
        <v>3488.2185546874998</v>
      </c>
      <c r="R89" s="7">
        <v>24.17</v>
      </c>
      <c r="S89" s="8">
        <f>Table1[[#This Row],[ATG (ha)]]/Table1[[#This Row],[Linear Area (ha)]]</f>
        <v>6.9290383102630238E-3</v>
      </c>
      <c r="T89" s="26" t="s">
        <v>136</v>
      </c>
      <c r="U89" s="9" t="s">
        <v>22</v>
      </c>
      <c r="V89" s="7" t="s">
        <v>22</v>
      </c>
      <c r="W89" s="7" t="s">
        <v>22</v>
      </c>
      <c r="X89" s="31">
        <v>20912.907843194898</v>
      </c>
      <c r="Y89" s="27">
        <f>Table1[[#This Row],[Raw Terrestrial Score]]/Table1[[#This Row],[Summed Raw Scores]]</f>
        <v>0.54582852703894369</v>
      </c>
      <c r="Z89" s="31">
        <v>17401.1538212714</v>
      </c>
      <c r="AA89" s="27">
        <f>Table1[[#This Row],[Raw Freshwater Score]]/Table1[[#This Row],[Summed Raw Scores]]</f>
        <v>0.45417147296105637</v>
      </c>
      <c r="AB89" s="27">
        <f>Table1[[#This Row],[Raw Terrestrial Score]]+Table1[[#This Row],[Raw Freshwater Score]]</f>
        <v>38314.061664466295</v>
      </c>
      <c r="AC89" s="28">
        <f>Table1[[#This Row],[Terrestrial % of Summed Score]]*Table1[[#This Row],[Scaled Summed Score]]</f>
        <v>0.12400175228772292</v>
      </c>
      <c r="AD89" s="28">
        <f>Table1[[#This Row],[Freshwater % of Summed Score]]*Table1[[#This Row],[Scaled Summed Score]]</f>
        <v>0.10317903095279039</v>
      </c>
      <c r="AE89" s="28">
        <f>Table1[[#This Row],[Summed Raw Scores]]/MAX(Table1[Summed Raw Scores])</f>
        <v>0.2271807832405133</v>
      </c>
      <c r="AF89" s="7"/>
    </row>
    <row r="90" spans="1:32" hidden="1" x14ac:dyDescent="0.3">
      <c r="A90" s="26" t="s">
        <v>177</v>
      </c>
      <c r="B90" s="26" t="s">
        <v>114</v>
      </c>
      <c r="C90" s="26" t="s">
        <v>27</v>
      </c>
      <c r="D90" s="26" t="s">
        <v>250</v>
      </c>
      <c r="E90" s="6">
        <v>55.229832969999997</v>
      </c>
      <c r="F90" s="6">
        <v>-121.17872</v>
      </c>
      <c r="G90" s="6">
        <v>117</v>
      </c>
      <c r="H90" s="26" t="s">
        <v>22</v>
      </c>
      <c r="I90" s="6">
        <v>28.799999999999997</v>
      </c>
      <c r="J90" s="6">
        <v>417.64176000000003</v>
      </c>
      <c r="K90" s="6">
        <v>74.026330439887317</v>
      </c>
      <c r="L90" s="6" t="s">
        <v>22</v>
      </c>
      <c r="M90" s="6">
        <v>1.2</v>
      </c>
      <c r="N90" s="6">
        <v>10.5</v>
      </c>
      <c r="O90" s="6">
        <f>Table1[[#This Row],[R1 Length (km)]]+Table1[[#This Row],[T1 Length (km)]]</f>
        <v>11.7</v>
      </c>
      <c r="P90" s="26">
        <v>230</v>
      </c>
      <c r="Q90" s="6">
        <f>(Table1[[#This Row],[Linear Features (km)]]*1)*100</f>
        <v>1170</v>
      </c>
      <c r="R90" s="7">
        <v>15.27</v>
      </c>
      <c r="S90" s="8">
        <f>Table1[[#This Row],[ATG (ha)]]/Table1[[#This Row],[Linear Area (ha)]]</f>
        <v>1.3051282051282051E-2</v>
      </c>
      <c r="T90" s="26" t="s">
        <v>136</v>
      </c>
      <c r="U90" s="9" t="s">
        <v>22</v>
      </c>
      <c r="V90" s="7" t="s">
        <v>22</v>
      </c>
      <c r="W90" s="7" t="s">
        <v>22</v>
      </c>
      <c r="X90" s="31">
        <v>8224.2740410119295</v>
      </c>
      <c r="Y90" s="27">
        <f>Table1[[#This Row],[Raw Terrestrial Score]]/Table1[[#This Row],[Summed Raw Scores]]</f>
        <v>0.64861742813023149</v>
      </c>
      <c r="Z90" s="31">
        <v>4455.4254001826002</v>
      </c>
      <c r="AA90" s="27">
        <f>Table1[[#This Row],[Raw Freshwater Score]]/Table1[[#This Row],[Summed Raw Scores]]</f>
        <v>0.35138257186976846</v>
      </c>
      <c r="AB90" s="27">
        <f>Table1[[#This Row],[Raw Terrestrial Score]]+Table1[[#This Row],[Raw Freshwater Score]]</f>
        <v>12679.699441194531</v>
      </c>
      <c r="AC90" s="28">
        <f>Table1[[#This Row],[Terrestrial % of Summed Score]]*Table1[[#This Row],[Scaled Summed Score]]</f>
        <v>4.8765308011040863E-2</v>
      </c>
      <c r="AD90" s="28">
        <f>Table1[[#This Row],[Freshwater % of Summed Score]]*Table1[[#This Row],[Scaled Summed Score]]</f>
        <v>2.641816054239678E-2</v>
      </c>
      <c r="AE90" s="28">
        <f>Table1[[#This Row],[Summed Raw Scores]]/MAX(Table1[Summed Raw Scores])</f>
        <v>7.5183468553437646E-2</v>
      </c>
      <c r="AF90" s="7"/>
    </row>
    <row r="91" spans="1:32" hidden="1" x14ac:dyDescent="0.3">
      <c r="A91" s="26" t="s">
        <v>178</v>
      </c>
      <c r="B91" s="26" t="s">
        <v>114</v>
      </c>
      <c r="C91" s="26" t="s">
        <v>27</v>
      </c>
      <c r="D91" s="26" t="s">
        <v>250</v>
      </c>
      <c r="E91" s="12">
        <v>55.162438520000002</v>
      </c>
      <c r="F91" s="12">
        <v>-121.5944693</v>
      </c>
      <c r="G91" s="6">
        <v>45</v>
      </c>
      <c r="H91" s="26" t="s">
        <v>22</v>
      </c>
      <c r="I91" s="7">
        <v>10.799999999999999</v>
      </c>
      <c r="J91" s="7">
        <v>196.35101999999998</v>
      </c>
      <c r="K91" s="7">
        <v>62.521940881479459</v>
      </c>
      <c r="L91" s="6" t="s">
        <v>22</v>
      </c>
      <c r="M91" s="12">
        <v>3.1798994140599999</v>
      </c>
      <c r="N91" s="7">
        <v>30.518376953124999</v>
      </c>
      <c r="O91" s="7">
        <f>Table1[[#This Row],[R1 Length (km)]]+Table1[[#This Row],[T1 Length (km)]]</f>
        <v>33.698276367185002</v>
      </c>
      <c r="P91" s="15">
        <v>69</v>
      </c>
      <c r="Q91" s="12">
        <f>(Table1[[#This Row],[Linear Features (km)]]*1)*100</f>
        <v>3369.8276367185003</v>
      </c>
      <c r="R91" s="7">
        <v>5.73</v>
      </c>
      <c r="S91" s="8">
        <f>Table1[[#This Row],[ATG (ha)]]/Table1[[#This Row],[Linear Area (ha)]]</f>
        <v>1.7003837043664965E-3</v>
      </c>
      <c r="T91" s="15" t="s">
        <v>136</v>
      </c>
      <c r="U91" s="9" t="s">
        <v>22</v>
      </c>
      <c r="V91" s="7" t="s">
        <v>22</v>
      </c>
      <c r="W91" s="7" t="s">
        <v>22</v>
      </c>
      <c r="X91" s="31">
        <v>9222.6031931340694</v>
      </c>
      <c r="Y91" s="27">
        <f>Table1[[#This Row],[Raw Terrestrial Score]]/Table1[[#This Row],[Summed Raw Scores]]</f>
        <v>0.51387476284377487</v>
      </c>
      <c r="Z91" s="31">
        <v>8724.5774430511501</v>
      </c>
      <c r="AA91" s="27">
        <f>Table1[[#This Row],[Raw Freshwater Score]]/Table1[[#This Row],[Summed Raw Scores]]</f>
        <v>0.48612523715622502</v>
      </c>
      <c r="AB91" s="27">
        <f>Table1[[#This Row],[Raw Terrestrial Score]]+Table1[[#This Row],[Raw Freshwater Score]]</f>
        <v>17947.180636185221</v>
      </c>
      <c r="AC91" s="28">
        <f>Table1[[#This Row],[Terrestrial % of Summed Score]]*Table1[[#This Row],[Scaled Summed Score]]</f>
        <v>5.4684837000087923E-2</v>
      </c>
      <c r="AD91" s="28">
        <f>Table1[[#This Row],[Freshwater % of Summed Score]]*Table1[[#This Row],[Scaled Summed Score]]</f>
        <v>5.1731825101516145E-2</v>
      </c>
      <c r="AE91" s="28">
        <f>Table1[[#This Row],[Summed Raw Scores]]/MAX(Table1[Summed Raw Scores])</f>
        <v>0.10641666210160408</v>
      </c>
      <c r="AF91" s="7"/>
    </row>
    <row r="92" spans="1:32" hidden="1" x14ac:dyDescent="0.3">
      <c r="A92" s="26" t="s">
        <v>179</v>
      </c>
      <c r="B92" s="26" t="s">
        <v>114</v>
      </c>
      <c r="C92" s="26" t="s">
        <v>27</v>
      </c>
      <c r="D92" s="26" t="s">
        <v>250</v>
      </c>
      <c r="E92" s="6">
        <v>55.351133089999998</v>
      </c>
      <c r="F92" s="6">
        <v>-121.08614369999999</v>
      </c>
      <c r="G92" s="6">
        <v>63</v>
      </c>
      <c r="H92" s="26" t="s">
        <v>22</v>
      </c>
      <c r="I92" s="6">
        <v>15.6</v>
      </c>
      <c r="J92" s="6">
        <v>275.98818</v>
      </c>
      <c r="K92" s="6">
        <v>65.30162752178073</v>
      </c>
      <c r="L92" s="6" t="s">
        <v>22</v>
      </c>
      <c r="M92" s="6">
        <v>1.8</v>
      </c>
      <c r="N92" s="6">
        <v>23.4</v>
      </c>
      <c r="O92" s="6">
        <f>Table1[[#This Row],[R1 Length (km)]]+Table1[[#This Row],[T1 Length (km)]]</f>
        <v>25.2</v>
      </c>
      <c r="P92" s="26">
        <v>230</v>
      </c>
      <c r="Q92" s="6">
        <f>(Table1[[#This Row],[Linear Features (km)]]*1)*100</f>
        <v>2520</v>
      </c>
      <c r="R92" s="7">
        <v>8.27</v>
      </c>
      <c r="S92" s="8">
        <f>Table1[[#This Row],[ATG (ha)]]/Table1[[#This Row],[Linear Area (ha)]]</f>
        <v>3.2817460317460315E-3</v>
      </c>
      <c r="T92" s="26" t="s">
        <v>136</v>
      </c>
      <c r="U92" s="9" t="s">
        <v>22</v>
      </c>
      <c r="V92" s="7" t="s">
        <v>22</v>
      </c>
      <c r="W92" s="7" t="s">
        <v>22</v>
      </c>
      <c r="X92" s="31">
        <v>8729.22514056414</v>
      </c>
      <c r="Y92" s="27">
        <f>Table1[[#This Row],[Raw Terrestrial Score]]/Table1[[#This Row],[Summed Raw Scores]]</f>
        <v>0.6432483127127312</v>
      </c>
      <c r="Z92" s="31">
        <v>4841.3120346534997</v>
      </c>
      <c r="AA92" s="27">
        <f>Table1[[#This Row],[Raw Freshwater Score]]/Table1[[#This Row],[Summed Raw Scores]]</f>
        <v>0.3567516872872688</v>
      </c>
      <c r="AB92" s="27">
        <f>Table1[[#This Row],[Raw Terrestrial Score]]+Table1[[#This Row],[Raw Freshwater Score]]</f>
        <v>13570.53717521764</v>
      </c>
      <c r="AC92" s="28">
        <f>Table1[[#This Row],[Terrestrial % of Summed Score]]*Table1[[#This Row],[Scaled Summed Score]]</f>
        <v>5.1759383327279647E-2</v>
      </c>
      <c r="AD92" s="28">
        <f>Table1[[#This Row],[Freshwater % of Summed Score]]*Table1[[#This Row],[Scaled Summed Score]]</f>
        <v>2.8706250712237709E-2</v>
      </c>
      <c r="AE92" s="28">
        <f>Table1[[#This Row],[Summed Raw Scores]]/MAX(Table1[Summed Raw Scores])</f>
        <v>8.0465634039517356E-2</v>
      </c>
      <c r="AF92" s="7"/>
    </row>
    <row r="93" spans="1:32" hidden="1" x14ac:dyDescent="0.3">
      <c r="A93" s="26" t="s">
        <v>180</v>
      </c>
      <c r="B93" s="26" t="s">
        <v>114</v>
      </c>
      <c r="C93" s="26" t="s">
        <v>27</v>
      </c>
      <c r="D93" s="26"/>
      <c r="E93" s="6">
        <v>54.702274119999998</v>
      </c>
      <c r="F93" s="6">
        <v>-120.40647</v>
      </c>
      <c r="G93" s="6">
        <v>39</v>
      </c>
      <c r="H93" s="26" t="s">
        <v>22</v>
      </c>
      <c r="I93" s="6">
        <v>9.6</v>
      </c>
      <c r="J93" s="6">
        <v>151.23263999999998</v>
      </c>
      <c r="K93" s="6">
        <v>107.36558583383237</v>
      </c>
      <c r="L93" s="6" t="s">
        <v>22</v>
      </c>
      <c r="M93" s="6">
        <v>2.1384777831999999</v>
      </c>
      <c r="N93" s="6">
        <v>69.236664062499997</v>
      </c>
      <c r="O93" s="6">
        <f>Table1[[#This Row],[R1 Length (km)]]+Table1[[#This Row],[T1 Length (km)]]</f>
        <v>71.3751418457</v>
      </c>
      <c r="P93" s="26">
        <v>230</v>
      </c>
      <c r="Q93" s="6">
        <f>(Table1[[#This Row],[Linear Features (km)]]*1)*100</f>
        <v>7137.51418457</v>
      </c>
      <c r="R93" s="7">
        <f>607232.1/10000</f>
        <v>60.723209999999995</v>
      </c>
      <c r="S93" s="8">
        <f>Table1[[#This Row],[ATG (ha)]]/Table1[[#This Row],[Linear Area (ha)]]</f>
        <v>8.5076132151544401E-3</v>
      </c>
      <c r="T93" s="26" t="s">
        <v>136</v>
      </c>
      <c r="U93" s="9" t="s">
        <v>22</v>
      </c>
      <c r="V93" s="7" t="s">
        <v>22</v>
      </c>
      <c r="W93" s="7" t="s">
        <v>22</v>
      </c>
      <c r="X93" s="31">
        <v>9274.1922646835392</v>
      </c>
      <c r="Y93" s="27">
        <f>Table1[[#This Row],[Raw Terrestrial Score]]/Table1[[#This Row],[Summed Raw Scores]]</f>
        <v>0.68366989313204041</v>
      </c>
      <c r="Z93" s="31">
        <v>4291.1151414923397</v>
      </c>
      <c r="AA93" s="27">
        <f>Table1[[#This Row],[Raw Freshwater Score]]/Table1[[#This Row],[Summed Raw Scores]]</f>
        <v>0.31633010686795965</v>
      </c>
      <c r="AB93" s="27">
        <f>Table1[[#This Row],[Raw Terrestrial Score]]+Table1[[#This Row],[Raw Freshwater Score]]</f>
        <v>13565.307406175878</v>
      </c>
      <c r="AC93" s="28">
        <f>Table1[[#This Row],[Terrestrial % of Summed Score]]*Table1[[#This Row],[Scaled Summed Score]]</f>
        <v>5.4990731107162689E-2</v>
      </c>
      <c r="AD93" s="28">
        <f>Table1[[#This Row],[Freshwater % of Summed Score]]*Table1[[#This Row],[Scaled Summed Score]]</f>
        <v>2.5443893350612101E-2</v>
      </c>
      <c r="AE93" s="28">
        <f>Table1[[#This Row],[Summed Raw Scores]]/MAX(Table1[Summed Raw Scores])</f>
        <v>8.0434624457774787E-2</v>
      </c>
      <c r="AF93" s="7"/>
    </row>
    <row r="94" spans="1:32" hidden="1" x14ac:dyDescent="0.3">
      <c r="A94" s="26" t="s">
        <v>181</v>
      </c>
      <c r="B94" s="26" t="s">
        <v>114</v>
      </c>
      <c r="C94" s="26" t="s">
        <v>27</v>
      </c>
      <c r="D94" s="26" t="s">
        <v>250</v>
      </c>
      <c r="E94" s="6">
        <v>55.077247999999997</v>
      </c>
      <c r="F94" s="6">
        <v>-121.11845</v>
      </c>
      <c r="G94" s="6">
        <v>54</v>
      </c>
      <c r="H94" s="26" t="s">
        <v>22</v>
      </c>
      <c r="I94" s="6">
        <v>13.2</v>
      </c>
      <c r="J94" s="6">
        <v>216.81</v>
      </c>
      <c r="K94" s="6">
        <v>76.420343570647532</v>
      </c>
      <c r="L94" s="6" t="s">
        <v>22</v>
      </c>
      <c r="M94" s="6">
        <v>6.8</v>
      </c>
      <c r="N94" s="6">
        <v>8.4</v>
      </c>
      <c r="O94" s="6">
        <f>Table1[[#This Row],[R1 Length (km)]]+Table1[[#This Row],[T1 Length (km)]]</f>
        <v>15.2</v>
      </c>
      <c r="P94" s="26">
        <v>69</v>
      </c>
      <c r="Q94" s="6">
        <f>(Table1[[#This Row],[Linear Features (km)]]*1)*100</f>
        <v>1520</v>
      </c>
      <c r="R94" s="7">
        <v>7</v>
      </c>
      <c r="S94" s="8">
        <f>Table1[[#This Row],[ATG (ha)]]/Table1[[#This Row],[Linear Area (ha)]]</f>
        <v>4.6052631578947364E-3</v>
      </c>
      <c r="T94" s="26" t="s">
        <v>136</v>
      </c>
      <c r="U94" s="9" t="s">
        <v>22</v>
      </c>
      <c r="V94" s="7" t="s">
        <v>22</v>
      </c>
      <c r="W94" s="7" t="s">
        <v>22</v>
      </c>
      <c r="X94" s="31">
        <v>1479.42449508607</v>
      </c>
      <c r="Y94" s="27">
        <f>Table1[[#This Row],[Raw Terrestrial Score]]/Table1[[#This Row],[Summed Raw Scores]]</f>
        <v>0.5104957499456223</v>
      </c>
      <c r="Z94" s="31">
        <v>1418.59080718365</v>
      </c>
      <c r="AA94" s="27">
        <f>Table1[[#This Row],[Raw Freshwater Score]]/Table1[[#This Row],[Summed Raw Scores]]</f>
        <v>0.4895042500543777</v>
      </c>
      <c r="AB94" s="27">
        <f>Table1[[#This Row],[Raw Terrestrial Score]]+Table1[[#This Row],[Raw Freshwater Score]]</f>
        <v>2898.01530226972</v>
      </c>
      <c r="AC94" s="28">
        <f>Table1[[#This Row],[Terrestrial % of Summed Score]]*Table1[[#This Row],[Scaled Summed Score]]</f>
        <v>8.7721531191917827E-3</v>
      </c>
      <c r="AD94" s="28">
        <f>Table1[[#This Row],[Freshwater % of Summed Score]]*Table1[[#This Row],[Scaled Summed Score]]</f>
        <v>8.4114436494907921E-3</v>
      </c>
      <c r="AE94" s="28">
        <f>Table1[[#This Row],[Summed Raw Scores]]/MAX(Table1[Summed Raw Scores])</f>
        <v>1.7183596768682575E-2</v>
      </c>
      <c r="AF94" s="7"/>
    </row>
    <row r="95" spans="1:32" hidden="1" x14ac:dyDescent="0.3">
      <c r="A95" s="26" t="s">
        <v>182</v>
      </c>
      <c r="B95" s="26" t="s">
        <v>114</v>
      </c>
      <c r="C95" s="26" t="s">
        <v>27</v>
      </c>
      <c r="D95" s="26"/>
      <c r="E95" s="6">
        <v>55.66993652</v>
      </c>
      <c r="F95" s="6">
        <v>-122.2744455</v>
      </c>
      <c r="G95" s="6">
        <v>33</v>
      </c>
      <c r="H95" s="26" t="s">
        <v>22</v>
      </c>
      <c r="I95" s="6">
        <v>8.4</v>
      </c>
      <c r="J95" s="6">
        <v>126.3192</v>
      </c>
      <c r="K95" s="6">
        <v>93.660845770732664</v>
      </c>
      <c r="L95" s="6" t="s">
        <v>22</v>
      </c>
      <c r="M95" s="6">
        <v>2.6727924804700001</v>
      </c>
      <c r="N95" s="6">
        <v>20.558074218750001</v>
      </c>
      <c r="O95" s="6">
        <f>Table1[[#This Row],[R1 Length (km)]]+Table1[[#This Row],[T1 Length (km)]]</f>
        <v>23.230866699220002</v>
      </c>
      <c r="P95" s="26">
        <v>69</v>
      </c>
      <c r="Q95" s="6">
        <f>(Table1[[#This Row],[Linear Features (km)]]*1)*100</f>
        <v>2323.0866699220001</v>
      </c>
      <c r="R95" s="7">
        <f>618138/10000</f>
        <v>61.813800000000001</v>
      </c>
      <c r="S95" s="8">
        <f>Table1[[#This Row],[ATG (ha)]]/Table1[[#This Row],[Linear Area (ha)]]</f>
        <v>2.6608477763800115E-2</v>
      </c>
      <c r="T95" s="26" t="s">
        <v>136</v>
      </c>
      <c r="U95" s="9" t="s">
        <v>22</v>
      </c>
      <c r="V95" s="7" t="s">
        <v>22</v>
      </c>
      <c r="W95" s="7" t="s">
        <v>22</v>
      </c>
      <c r="X95" s="31">
        <v>40831.578656541198</v>
      </c>
      <c r="Y95" s="27">
        <f>Table1[[#This Row],[Raw Terrestrial Score]]/Table1[[#This Row],[Summed Raw Scores]]</f>
        <v>0.49720353504514586</v>
      </c>
      <c r="Z95" s="31">
        <v>41290.8838332593</v>
      </c>
      <c r="AA95" s="27">
        <f>Table1[[#This Row],[Raw Freshwater Score]]/Table1[[#This Row],[Summed Raw Scores]]</f>
        <v>0.50279646495485419</v>
      </c>
      <c r="AB95" s="27">
        <f>Table1[[#This Row],[Raw Terrestrial Score]]+Table1[[#This Row],[Raw Freshwater Score]]</f>
        <v>82122.462489800499</v>
      </c>
      <c r="AC95" s="28">
        <f>Table1[[#This Row],[Terrestrial % of Summed Score]]*Table1[[#This Row],[Scaled Summed Score]]</f>
        <v>0.24210823956423963</v>
      </c>
      <c r="AD95" s="28">
        <f>Table1[[#This Row],[Freshwater % of Summed Score]]*Table1[[#This Row],[Scaled Summed Score]]</f>
        <v>0.24483166029438935</v>
      </c>
      <c r="AE95" s="28">
        <f>Table1[[#This Row],[Summed Raw Scores]]/MAX(Table1[Summed Raw Scores])</f>
        <v>0.48693989985862896</v>
      </c>
      <c r="AF95" s="7"/>
    </row>
    <row r="96" spans="1:32" hidden="1" x14ac:dyDescent="0.3">
      <c r="A96" s="26" t="s">
        <v>183</v>
      </c>
      <c r="B96" s="26" t="s">
        <v>114</v>
      </c>
      <c r="C96" s="26" t="s">
        <v>27</v>
      </c>
      <c r="D96" s="26" t="s">
        <v>250</v>
      </c>
      <c r="E96" s="6">
        <v>54.960041250000003</v>
      </c>
      <c r="F96" s="6">
        <v>-120.59689109999999</v>
      </c>
      <c r="G96" s="6">
        <v>150</v>
      </c>
      <c r="H96" s="26" t="s">
        <v>22</v>
      </c>
      <c r="I96" s="6">
        <v>36</v>
      </c>
      <c r="J96" s="6">
        <v>569.35620000000006</v>
      </c>
      <c r="K96" s="6">
        <v>62.193665264181391</v>
      </c>
      <c r="L96" s="6" t="s">
        <v>22</v>
      </c>
      <c r="M96" s="6">
        <v>0.2</v>
      </c>
      <c r="N96" s="6">
        <v>43.3</v>
      </c>
      <c r="O96" s="6">
        <f>Table1[[#This Row],[R1 Length (km)]]+Table1[[#This Row],[T1 Length (km)]]</f>
        <v>43.5</v>
      </c>
      <c r="P96" s="26">
        <v>230</v>
      </c>
      <c r="Q96" s="6">
        <f>(Table1[[#This Row],[Linear Features (km)]]*1)*100</f>
        <v>4350</v>
      </c>
      <c r="R96" s="7">
        <v>19.09</v>
      </c>
      <c r="S96" s="8">
        <f>Table1[[#This Row],[ATG (ha)]]/Table1[[#This Row],[Linear Area (ha)]]</f>
        <v>4.3885057471264371E-3</v>
      </c>
      <c r="T96" s="26" t="s">
        <v>136</v>
      </c>
      <c r="U96" s="9" t="s">
        <v>22</v>
      </c>
      <c r="V96" s="7" t="s">
        <v>22</v>
      </c>
      <c r="W96" s="7" t="s">
        <v>22</v>
      </c>
      <c r="X96" s="31">
        <v>5960.6100368723301</v>
      </c>
      <c r="Y96" s="27">
        <f>Table1[[#This Row],[Raw Terrestrial Score]]/Table1[[#This Row],[Summed Raw Scores]]</f>
        <v>0.8447053178938756</v>
      </c>
      <c r="Z96" s="31">
        <v>1095.82717336575</v>
      </c>
      <c r="AA96" s="27">
        <f>Table1[[#This Row],[Raw Freshwater Score]]/Table1[[#This Row],[Summed Raw Scores]]</f>
        <v>0.1552946821061244</v>
      </c>
      <c r="AB96" s="27">
        <f>Table1[[#This Row],[Raw Terrestrial Score]]+Table1[[#This Row],[Raw Freshwater Score]]</f>
        <v>7056.4372102380803</v>
      </c>
      <c r="AC96" s="28">
        <f>Table1[[#This Row],[Terrestrial % of Summed Score]]*Table1[[#This Row],[Scaled Summed Score]]</f>
        <v>3.5343056777083763E-2</v>
      </c>
      <c r="AD96" s="28">
        <f>Table1[[#This Row],[Freshwater % of Summed Score]]*Table1[[#This Row],[Scaled Summed Score]]</f>
        <v>6.497637283189789E-3</v>
      </c>
      <c r="AE96" s="28">
        <f>Table1[[#This Row],[Summed Raw Scores]]/MAX(Table1[Summed Raw Scores])</f>
        <v>4.1840694060273555E-2</v>
      </c>
      <c r="AF96" s="7"/>
    </row>
    <row r="97" spans="1:32" hidden="1" x14ac:dyDescent="0.3">
      <c r="A97" s="26" t="s">
        <v>34</v>
      </c>
      <c r="B97" s="26" t="s">
        <v>24</v>
      </c>
      <c r="C97" s="26" t="s">
        <v>32</v>
      </c>
      <c r="D97" s="26" t="s">
        <v>250</v>
      </c>
      <c r="E97" s="12">
        <v>50.6678</v>
      </c>
      <c r="F97" s="12">
        <v>-123.47042500000001</v>
      </c>
      <c r="G97" s="6">
        <v>99</v>
      </c>
      <c r="H97" s="6">
        <v>89</v>
      </c>
      <c r="I97" s="6" t="s">
        <v>22</v>
      </c>
      <c r="J97" s="13">
        <v>656.90040010200858</v>
      </c>
      <c r="K97" s="11">
        <v>97.683961438932542</v>
      </c>
      <c r="L97" s="6" t="s">
        <v>22</v>
      </c>
      <c r="M97" s="12">
        <v>0.75</v>
      </c>
      <c r="N97" s="7">
        <v>66.571992187500001</v>
      </c>
      <c r="O97" s="7">
        <f>Table1[[#This Row],[R1 Length (km)]]+Table1[[#This Row],[T1 Length (km)]]</f>
        <v>67.321992187500001</v>
      </c>
      <c r="P97" s="9">
        <v>230</v>
      </c>
      <c r="Q97" s="7">
        <f>(Table1[[#This Row],[Linear Features (km)]]*1)*100</f>
        <v>6732.19921875</v>
      </c>
      <c r="R97" s="7">
        <v>26.5</v>
      </c>
      <c r="S97" s="8">
        <f>Table1[[#This Row],[ATG (ha)]]/Table1[[#This Row],[Linear Area (ha)]]</f>
        <v>3.9363065677251877E-3</v>
      </c>
      <c r="T97" s="9" t="s">
        <v>22</v>
      </c>
      <c r="U97" s="9" t="s">
        <v>22</v>
      </c>
      <c r="V97" s="7" t="s">
        <v>22</v>
      </c>
      <c r="W97" s="7" t="s">
        <v>22</v>
      </c>
      <c r="X97" s="31">
        <v>43964.150440879203</v>
      </c>
      <c r="Y97" s="27">
        <f>Table1[[#This Row],[Raw Terrestrial Score]]/Table1[[#This Row],[Summed Raw Scores]]</f>
        <v>0.36288809820282675</v>
      </c>
      <c r="Z97" s="31">
        <v>77186.558713287101</v>
      </c>
      <c r="AA97" s="27">
        <f>Table1[[#This Row],[Raw Freshwater Score]]/Table1[[#This Row],[Summed Raw Scores]]</f>
        <v>0.63711190179717325</v>
      </c>
      <c r="AB97" s="27">
        <f>Table1[[#This Row],[Raw Terrestrial Score]]+Table1[[#This Row],[Raw Freshwater Score]]</f>
        <v>121150.70915416631</v>
      </c>
      <c r="AC97" s="28">
        <f>Table1[[#This Row],[Terrestrial % of Summed Score]]*Table1[[#This Row],[Scaled Summed Score]]</f>
        <v>0.26068262402275444</v>
      </c>
      <c r="AD97" s="28">
        <f>Table1[[#This Row],[Freshwater % of Summed Score]]*Table1[[#This Row],[Scaled Summed Score]]</f>
        <v>0.45767277345036061</v>
      </c>
      <c r="AE97" s="28">
        <f>Table1[[#This Row],[Summed Raw Scores]]/MAX(Table1[Summed Raw Scores])</f>
        <v>0.71835539747311505</v>
      </c>
      <c r="AF97" s="7"/>
    </row>
    <row r="98" spans="1:32" hidden="1" x14ac:dyDescent="0.3">
      <c r="A98" s="26" t="s">
        <v>46</v>
      </c>
      <c r="B98" s="26" t="s">
        <v>42</v>
      </c>
      <c r="C98" s="26" t="s">
        <v>21</v>
      </c>
      <c r="D98" s="26" t="s">
        <v>250</v>
      </c>
      <c r="E98" s="10">
        <v>49.311390001299998</v>
      </c>
      <c r="F98" s="10">
        <v>-125.72295</v>
      </c>
      <c r="G98" s="6">
        <v>500</v>
      </c>
      <c r="H98" s="6" t="s">
        <v>22</v>
      </c>
      <c r="I98" s="7">
        <v>408</v>
      </c>
      <c r="J98" s="26" t="s">
        <v>22</v>
      </c>
      <c r="K98" s="26" t="s">
        <v>22</v>
      </c>
      <c r="L98" s="11">
        <v>193.71809398773007</v>
      </c>
      <c r="M98" s="10">
        <v>1.9727923584</v>
      </c>
      <c r="N98" s="7">
        <v>82.961731573007143</v>
      </c>
      <c r="O98" s="7">
        <f>Table1[[#This Row],[R1 Length (km)]]+Table1[[#This Row],[T1 Length (km)]]</f>
        <v>84.934523931407142</v>
      </c>
      <c r="P98" s="9">
        <v>500</v>
      </c>
      <c r="Q98" s="7">
        <f>(Table1[[#This Row],[Linear Features (km)]]*1)*100</f>
        <v>8493.4523931407148</v>
      </c>
      <c r="R98" s="7">
        <v>74.47</v>
      </c>
      <c r="S98" s="8">
        <f>Table1[[#This Row],[ATG (ha)]]/Table1[[#This Row],[Linear Area (ha)]]</f>
        <v>8.7679304660778154E-3</v>
      </c>
      <c r="T98" s="9" t="s">
        <v>22</v>
      </c>
      <c r="U98" s="9" t="s">
        <v>22</v>
      </c>
      <c r="V98" s="7" t="s">
        <v>22</v>
      </c>
      <c r="W98" s="7" t="s">
        <v>22</v>
      </c>
      <c r="X98" s="31">
        <v>25393.865798248</v>
      </c>
      <c r="Y98" s="27">
        <f>Table1[[#This Row],[Raw Terrestrial Score]]/Table1[[#This Row],[Summed Raw Scores]]</f>
        <v>0.52956505855366232</v>
      </c>
      <c r="Z98" s="31">
        <v>22558.4403218031</v>
      </c>
      <c r="AA98" s="27">
        <f>Table1[[#This Row],[Raw Freshwater Score]]/Table1[[#This Row],[Summed Raw Scores]]</f>
        <v>0.47043494144633768</v>
      </c>
      <c r="AB98" s="27">
        <f>Table1[[#This Row],[Raw Terrestrial Score]]+Table1[[#This Row],[Raw Freshwater Score]]</f>
        <v>47952.3061200511</v>
      </c>
      <c r="AC98" s="28">
        <f>Table1[[#This Row],[Terrestrial % of Summed Score]]*Table1[[#This Row],[Scaled Summed Score]]</f>
        <v>0.1505713064846064</v>
      </c>
      <c r="AD98" s="28">
        <f>Table1[[#This Row],[Freshwater % of Summed Score]]*Table1[[#This Row],[Scaled Summed Score]]</f>
        <v>0.13375883209335002</v>
      </c>
      <c r="AE98" s="28">
        <f>Table1[[#This Row],[Summed Raw Scores]]/MAX(Table1[Summed Raw Scores])</f>
        <v>0.28433013857795641</v>
      </c>
      <c r="AF98" s="7"/>
    </row>
    <row r="99" spans="1:32" hidden="1" x14ac:dyDescent="0.3">
      <c r="A99" s="26" t="s">
        <v>52</v>
      </c>
      <c r="B99" s="26" t="s">
        <v>53</v>
      </c>
      <c r="C99" s="26" t="s">
        <v>32</v>
      </c>
      <c r="D99" s="26" t="s">
        <v>250</v>
      </c>
      <c r="E99" s="6">
        <v>50.371716999999997</v>
      </c>
      <c r="F99" s="6">
        <v>-122.7530678</v>
      </c>
      <c r="G99" s="6">
        <v>15.82</v>
      </c>
      <c r="H99" s="6" t="s">
        <v>22</v>
      </c>
      <c r="I99" s="6">
        <v>2</v>
      </c>
      <c r="J99" s="6">
        <v>37</v>
      </c>
      <c r="K99" s="6">
        <v>86.53</v>
      </c>
      <c r="L99" s="6" t="s">
        <v>22</v>
      </c>
      <c r="M99" s="6">
        <f>200.000000002/1000</f>
        <v>0.20000000000199999</v>
      </c>
      <c r="N99" s="6">
        <f>5234.07068874/1000</f>
        <v>5.2340706887400001</v>
      </c>
      <c r="O99" s="6">
        <f>Table1[[#This Row],[R1 Length (km)]]+Table1[[#This Row],[T1 Length (km)]]</f>
        <v>5.4340706887420005</v>
      </c>
      <c r="P99" s="26">
        <v>69</v>
      </c>
      <c r="Q99" s="6">
        <f>(Table1[[#This Row],[Linear Features (km)]]*1)*100</f>
        <v>543.40706887420004</v>
      </c>
      <c r="R99" s="7">
        <v>6.85</v>
      </c>
      <c r="S99" s="8">
        <f>Table1[[#This Row],[ATG (ha)]]/Table1[[#This Row],[Linear Area (ha)]]</f>
        <v>1.2605651255496991E-2</v>
      </c>
      <c r="T99" s="9" t="s">
        <v>22</v>
      </c>
      <c r="U99" s="9" t="s">
        <v>22</v>
      </c>
      <c r="V99" s="7" t="s">
        <v>22</v>
      </c>
      <c r="W99" s="7" t="s">
        <v>22</v>
      </c>
      <c r="X99" s="31">
        <v>4517.3411782980002</v>
      </c>
      <c r="Y99" s="27">
        <f>Table1[[#This Row],[Raw Terrestrial Score]]/Table1[[#This Row],[Summed Raw Scores]]</f>
        <v>0.61932388606304822</v>
      </c>
      <c r="Z99" s="31">
        <v>2776.64712080359</v>
      </c>
      <c r="AA99" s="27">
        <f>Table1[[#This Row],[Raw Freshwater Score]]/Table1[[#This Row],[Summed Raw Scores]]</f>
        <v>0.38067611393695178</v>
      </c>
      <c r="AB99" s="27">
        <f>Table1[[#This Row],[Raw Terrestrial Score]]+Table1[[#This Row],[Raw Freshwater Score]]</f>
        <v>7293.9882991015902</v>
      </c>
      <c r="AC99" s="28">
        <f>Table1[[#This Row],[Terrestrial % of Summed Score]]*Table1[[#This Row],[Scaled Summed Score]]</f>
        <v>2.6785286196951117E-2</v>
      </c>
      <c r="AD99" s="28">
        <f>Table1[[#This Row],[Freshwater % of Summed Score]]*Table1[[#This Row],[Scaled Summed Score]]</f>
        <v>1.6463951883015863E-2</v>
      </c>
      <c r="AE99" s="28">
        <f>Table1[[#This Row],[Summed Raw Scores]]/MAX(Table1[Summed Raw Scores])</f>
        <v>4.324923807996698E-2</v>
      </c>
      <c r="AF99" s="7"/>
    </row>
    <row r="100" spans="1:32" hidden="1" x14ac:dyDescent="0.3">
      <c r="A100" s="26" t="s">
        <v>54</v>
      </c>
      <c r="B100" s="26" t="s">
        <v>53</v>
      </c>
      <c r="C100" s="26" t="s">
        <v>32</v>
      </c>
      <c r="D100" s="26" t="s">
        <v>250</v>
      </c>
      <c r="E100" s="10">
        <v>49.712198797900001</v>
      </c>
      <c r="F100" s="10">
        <v>-122.750093851</v>
      </c>
      <c r="G100" s="6">
        <v>27.09</v>
      </c>
      <c r="H100" s="6" t="s">
        <v>22</v>
      </c>
      <c r="I100" s="6">
        <v>4</v>
      </c>
      <c r="J100" s="6">
        <v>78</v>
      </c>
      <c r="K100" s="6">
        <v>85.28</v>
      </c>
      <c r="L100" s="6" t="s">
        <v>22</v>
      </c>
      <c r="M100" s="10">
        <v>0.1</v>
      </c>
      <c r="N100" s="7">
        <v>65.222750000000005</v>
      </c>
      <c r="O100" s="7">
        <f>Table1[[#This Row],[R1 Length (km)]]+Table1[[#This Row],[T1 Length (km)]]</f>
        <v>65.322749999999999</v>
      </c>
      <c r="P100" s="9">
        <v>69</v>
      </c>
      <c r="Q100" s="7">
        <f>(Table1[[#This Row],[Linear Features (km)]]*1)*100</f>
        <v>6532.2749999999996</v>
      </c>
      <c r="R100" s="7">
        <v>5.01</v>
      </c>
      <c r="S100" s="8">
        <f>Table1[[#This Row],[ATG (ha)]]/Table1[[#This Row],[Linear Area (ha)]]</f>
        <v>7.6696097454562152E-4</v>
      </c>
      <c r="T100" s="9" t="s">
        <v>22</v>
      </c>
      <c r="U100" s="9" t="s">
        <v>22</v>
      </c>
      <c r="V100" s="7" t="s">
        <v>22</v>
      </c>
      <c r="W100" s="7" t="s">
        <v>22</v>
      </c>
      <c r="X100" s="31">
        <v>17233.640424118399</v>
      </c>
      <c r="Y100" s="27">
        <f>Table1[[#This Row],[Raw Terrestrial Score]]/Table1[[#This Row],[Summed Raw Scores]]</f>
        <v>0.24064476828457498</v>
      </c>
      <c r="Z100" s="31">
        <v>54380.800010085099</v>
      </c>
      <c r="AA100" s="27">
        <f>Table1[[#This Row],[Raw Freshwater Score]]/Table1[[#This Row],[Summed Raw Scores]]</f>
        <v>0.75935523171542496</v>
      </c>
      <c r="AB100" s="27">
        <f>Table1[[#This Row],[Raw Terrestrial Score]]+Table1[[#This Row],[Raw Freshwater Score]]</f>
        <v>71614.440434203498</v>
      </c>
      <c r="AC100" s="28">
        <f>Table1[[#This Row],[Terrestrial % of Summed Score]]*Table1[[#This Row],[Scaled Summed Score]]</f>
        <v>0.10218577095593152</v>
      </c>
      <c r="AD100" s="28">
        <f>Table1[[#This Row],[Freshwater % of Summed Score]]*Table1[[#This Row],[Scaled Summed Score]]</f>
        <v>0.32244748279962704</v>
      </c>
      <c r="AE100" s="28">
        <f>Table1[[#This Row],[Summed Raw Scores]]/MAX(Table1[Summed Raw Scores])</f>
        <v>0.4246332537555586</v>
      </c>
      <c r="AF100" s="7"/>
    </row>
    <row r="101" spans="1:32" hidden="1" x14ac:dyDescent="0.3">
      <c r="A101" s="26" t="s">
        <v>55</v>
      </c>
      <c r="B101" s="26" t="s">
        <v>53</v>
      </c>
      <c r="C101" s="26" t="s">
        <v>56</v>
      </c>
      <c r="D101" s="26" t="s">
        <v>250</v>
      </c>
      <c r="E101" s="10">
        <v>51.656905572900001</v>
      </c>
      <c r="F101" s="10">
        <v>-118.616383477</v>
      </c>
      <c r="G101" s="6">
        <v>49.27</v>
      </c>
      <c r="H101" s="6" t="s">
        <v>22</v>
      </c>
      <c r="I101" s="6">
        <v>7</v>
      </c>
      <c r="J101" s="6">
        <v>151</v>
      </c>
      <c r="K101" s="6">
        <v>84.37</v>
      </c>
      <c r="L101" s="6" t="s">
        <v>22</v>
      </c>
      <c r="M101" s="10">
        <v>0.14142135620100002</v>
      </c>
      <c r="N101" s="7">
        <v>4.7698486328124998</v>
      </c>
      <c r="O101" s="7">
        <f>Table1[[#This Row],[R1 Length (km)]]+Table1[[#This Row],[T1 Length (km)]]</f>
        <v>4.9112699890134994</v>
      </c>
      <c r="P101" s="9">
        <v>69</v>
      </c>
      <c r="Q101" s="7">
        <f>(Table1[[#This Row],[Linear Features (km)]]*1)*100</f>
        <v>491.12699890134996</v>
      </c>
      <c r="R101" s="7">
        <v>5.75</v>
      </c>
      <c r="S101" s="8">
        <f>Table1[[#This Row],[ATG (ha)]]/Table1[[#This Row],[Linear Area (ha)]]</f>
        <v>1.1707766041905123E-2</v>
      </c>
      <c r="T101" s="9" t="s">
        <v>22</v>
      </c>
      <c r="U101" s="9" t="s">
        <v>22</v>
      </c>
      <c r="V101" s="7" t="s">
        <v>22</v>
      </c>
      <c r="W101" s="7" t="s">
        <v>22</v>
      </c>
      <c r="X101" s="31">
        <v>1948.44505500793</v>
      </c>
      <c r="Y101" s="27">
        <f>Table1[[#This Row],[Raw Terrestrial Score]]/Table1[[#This Row],[Summed Raw Scores]]</f>
        <v>0.61663210326397866</v>
      </c>
      <c r="Z101" s="31">
        <v>1211.3726786039799</v>
      </c>
      <c r="AA101" s="27">
        <f>Table1[[#This Row],[Raw Freshwater Score]]/Table1[[#This Row],[Summed Raw Scores]]</f>
        <v>0.38336789673602145</v>
      </c>
      <c r="AB101" s="27">
        <f>Table1[[#This Row],[Raw Terrestrial Score]]+Table1[[#This Row],[Raw Freshwater Score]]</f>
        <v>3159.8177336119097</v>
      </c>
      <c r="AC101" s="28">
        <f>Table1[[#This Row],[Terrestrial % of Summed Score]]*Table1[[#This Row],[Scaled Summed Score]]</f>
        <v>1.1553180593962814E-2</v>
      </c>
      <c r="AD101" s="28">
        <f>Table1[[#This Row],[Freshwater % of Summed Score]]*Table1[[#This Row],[Scaled Summed Score]]</f>
        <v>7.1827569817960778E-3</v>
      </c>
      <c r="AE101" s="28">
        <f>Table1[[#This Row],[Summed Raw Scores]]/MAX(Table1[Summed Raw Scores])</f>
        <v>1.873593757575889E-2</v>
      </c>
      <c r="AF101" s="7"/>
    </row>
    <row r="102" spans="1:32" x14ac:dyDescent="0.3">
      <c r="A102" s="26" t="s">
        <v>184</v>
      </c>
      <c r="B102" s="26" t="s">
        <v>114</v>
      </c>
      <c r="C102" s="26" t="s">
        <v>25</v>
      </c>
      <c r="D102" s="26" t="s">
        <v>250</v>
      </c>
      <c r="E102" s="6">
        <v>51.005977790000003</v>
      </c>
      <c r="F102" s="6">
        <v>-120.4973311</v>
      </c>
      <c r="G102" s="6">
        <v>171</v>
      </c>
      <c r="H102" s="26" t="s">
        <v>22</v>
      </c>
      <c r="I102" s="6">
        <v>58.8</v>
      </c>
      <c r="J102" s="6">
        <v>613.38396</v>
      </c>
      <c r="K102" s="6">
        <v>86.696270973203369</v>
      </c>
      <c r="L102" s="6" t="s">
        <v>22</v>
      </c>
      <c r="M102" s="6">
        <v>0.3</v>
      </c>
      <c r="N102" s="6">
        <v>43.9</v>
      </c>
      <c r="O102" s="6">
        <f>Table1[[#This Row],[R1 Length (km)]]+Table1[[#This Row],[T1 Length (km)]]</f>
        <v>44.199999999999996</v>
      </c>
      <c r="P102" s="26">
        <v>230</v>
      </c>
      <c r="Q102" s="6">
        <f>(Table1[[#This Row],[Linear Features (km)]]*1)*100</f>
        <v>4420</v>
      </c>
      <c r="R102" s="7">
        <f>((PI()*(45^2))*Table1[[#This Row],[Number of Turbines - WIND]])/10000</f>
        <v>31.17245310524472</v>
      </c>
      <c r="S102" s="8">
        <f>Table1[[#This Row],[ATG (ha)]]/Table1[[#This Row],[Linear Area (ha)]]</f>
        <v>7.0525912002816112E-3</v>
      </c>
      <c r="T102" s="26" t="s">
        <v>115</v>
      </c>
      <c r="U102" s="26">
        <v>49</v>
      </c>
      <c r="V102" s="7" t="s">
        <v>22</v>
      </c>
      <c r="W102" s="7" t="s">
        <v>22</v>
      </c>
      <c r="X102" s="31">
        <f>28221.6991893081+[1]plateau_average_sums!$B$32</f>
        <v>28297.7286243708</v>
      </c>
      <c r="Y102" s="27">
        <f>Table1[[#This Row],[Raw Terrestrial Score]]/Table1[[#This Row],[Summed Raw Scores]]</f>
        <v>0.49397902410988043</v>
      </c>
      <c r="Z102" s="31">
        <f>28637.4634355903+[2]plateau_average_sums!$B$32</f>
        <v>28987.555250509413</v>
      </c>
      <c r="AA102" s="27">
        <f>Table1[[#This Row],[Raw Freshwater Score]]/Table1[[#This Row],[Summed Raw Scores]]</f>
        <v>0.50602097589011952</v>
      </c>
      <c r="AB102" s="27">
        <f>Table1[[#This Row],[Raw Terrestrial Score]]+Table1[[#This Row],[Raw Freshwater Score]]</f>
        <v>57285.283874880217</v>
      </c>
      <c r="AC102" s="28">
        <f>Table1[[#This Row],[Terrestrial % of Summed Score]]*Table1[[#This Row],[Scaled Summed Score]]</f>
        <v>0.16778957577275699</v>
      </c>
      <c r="AD102" s="28">
        <f>Table1[[#This Row],[Freshwater % of Summed Score]]*Table1[[#This Row],[Scaled Summed Score]]</f>
        <v>0.17187985872419032</v>
      </c>
      <c r="AE102" s="28">
        <f>Table1[[#This Row],[Summed Raw Scores]]/MAX(Table1[Summed Raw Scores])</f>
        <v>0.33966943449694731</v>
      </c>
      <c r="AF102" s="7"/>
    </row>
    <row r="103" spans="1:32" x14ac:dyDescent="0.3">
      <c r="A103" s="26" t="s">
        <v>185</v>
      </c>
      <c r="B103" s="26" t="s">
        <v>114</v>
      </c>
      <c r="C103" s="26" t="s">
        <v>25</v>
      </c>
      <c r="D103" s="26"/>
      <c r="E103" s="6">
        <v>50.930347140000002</v>
      </c>
      <c r="F103" s="6">
        <v>-121.1762619</v>
      </c>
      <c r="G103" s="6">
        <v>69</v>
      </c>
      <c r="H103" s="26" t="s">
        <v>22</v>
      </c>
      <c r="I103" s="6">
        <v>16.8</v>
      </c>
      <c r="J103" s="6">
        <v>169.12056000000001</v>
      </c>
      <c r="K103" s="6">
        <v>109.20568239922603</v>
      </c>
      <c r="L103" s="6" t="s">
        <v>22</v>
      </c>
      <c r="M103" s="6">
        <v>0.1</v>
      </c>
      <c r="N103" s="6">
        <v>35.428636718749999</v>
      </c>
      <c r="O103" s="6">
        <f>Table1[[#This Row],[R1 Length (km)]]+Table1[[#This Row],[T1 Length (km)]]</f>
        <v>35.528636718750001</v>
      </c>
      <c r="P103" s="26">
        <v>130</v>
      </c>
      <c r="Q103" s="6">
        <f>(Table1[[#This Row],[Linear Features (km)]]*1)*100</f>
        <v>3552.8636718749999</v>
      </c>
      <c r="R103" s="7">
        <f>((PI()*(45^2))*Table1[[#This Row],[Number of Turbines - WIND]])/10000</f>
        <v>8.906415172927062</v>
      </c>
      <c r="S103" s="8">
        <f>Table1[[#This Row],[ATG (ha)]]/Table1[[#This Row],[Linear Area (ha)]]</f>
        <v>2.5068271668940117E-3</v>
      </c>
      <c r="T103" s="26" t="s">
        <v>115</v>
      </c>
      <c r="U103" s="26">
        <v>14</v>
      </c>
      <c r="V103" s="7" t="s">
        <v>22</v>
      </c>
      <c r="W103" s="7" t="s">
        <v>22</v>
      </c>
      <c r="X103" s="31">
        <f>30723.7151766922+[1]plateau_average_sums!$B$33</f>
        <v>30780.325251341532</v>
      </c>
      <c r="Y103" s="27">
        <f>Table1[[#This Row],[Raw Terrestrial Score]]/Table1[[#This Row],[Summed Raw Scores]]</f>
        <v>0.4805159684578818</v>
      </c>
      <c r="Z103" s="31">
        <f>33200.4306920469+[2]plateau_average_sums!$B$33</f>
        <v>33276.495482680519</v>
      </c>
      <c r="AA103" s="27">
        <f>Table1[[#This Row],[Raw Freshwater Score]]/Table1[[#This Row],[Summed Raw Scores]]</f>
        <v>0.51948403154211809</v>
      </c>
      <c r="AB103" s="27">
        <f>Table1[[#This Row],[Raw Terrestrial Score]]+Table1[[#This Row],[Raw Freshwater Score]]</f>
        <v>64056.820734022054</v>
      </c>
      <c r="AC103" s="28">
        <f>Table1[[#This Row],[Terrestrial % of Summed Score]]*Table1[[#This Row],[Scaled Summed Score]]</f>
        <v>0.18250997402039401</v>
      </c>
      <c r="AD103" s="28">
        <f>Table1[[#This Row],[Freshwater % of Summed Score]]*Table1[[#This Row],[Scaled Summed Score]]</f>
        <v>0.19731085608879592</v>
      </c>
      <c r="AE103" s="28">
        <f>Table1[[#This Row],[Summed Raw Scores]]/MAX(Table1[Summed Raw Scores])</f>
        <v>0.37982083010918999</v>
      </c>
      <c r="AF103" s="7"/>
    </row>
    <row r="104" spans="1:32" x14ac:dyDescent="0.3">
      <c r="A104" s="26" t="s">
        <v>186</v>
      </c>
      <c r="B104" s="26" t="s">
        <v>114</v>
      </c>
      <c r="C104" s="26" t="s">
        <v>25</v>
      </c>
      <c r="D104" s="26" t="s">
        <v>250</v>
      </c>
      <c r="E104" s="6">
        <v>51.02296982</v>
      </c>
      <c r="F104" s="6">
        <v>-121.1465226</v>
      </c>
      <c r="G104" s="6">
        <v>150</v>
      </c>
      <c r="H104" s="26" t="s">
        <v>22</v>
      </c>
      <c r="I104" s="6">
        <v>36.479999999999997</v>
      </c>
      <c r="J104" s="6">
        <v>392.26579199999998</v>
      </c>
      <c r="K104" s="6">
        <v>86.678770695404879</v>
      </c>
      <c r="L104" s="6" t="s">
        <v>22</v>
      </c>
      <c r="M104" s="6">
        <v>0.1</v>
      </c>
      <c r="N104" s="6">
        <v>43</v>
      </c>
      <c r="O104" s="6">
        <f>Table1[[#This Row],[R1 Length (km)]]+Table1[[#This Row],[T1 Length (km)]]</f>
        <v>43.1</v>
      </c>
      <c r="P104" s="26">
        <v>130</v>
      </c>
      <c r="Q104" s="6">
        <f>(Table1[[#This Row],[Linear Features (km)]]*1)*100</f>
        <v>4310</v>
      </c>
      <c r="R104" s="7">
        <f>((PI()*(45^2))*Table1[[#This Row],[Number of Turbines - WIND]])/10000</f>
        <v>19.085175370557995</v>
      </c>
      <c r="S104" s="8">
        <f>Table1[[#This Row],[ATG (ha)]]/Table1[[#This Row],[Linear Area (ha)]]</f>
        <v>4.4281149351642676E-3</v>
      </c>
      <c r="T104" s="26" t="s">
        <v>115</v>
      </c>
      <c r="U104" s="26">
        <v>30</v>
      </c>
      <c r="V104" s="7" t="s">
        <v>22</v>
      </c>
      <c r="W104" s="7" t="s">
        <v>22</v>
      </c>
      <c r="X104" s="31">
        <f>25483.6969509125+[1]plateau_average_sums!$B$34</f>
        <v>25625.440570673669</v>
      </c>
      <c r="Y104" s="27">
        <f>Table1[[#This Row],[Raw Terrestrial Score]]/Table1[[#This Row],[Summed Raw Scores]]</f>
        <v>0.60023376022725972</v>
      </c>
      <c r="Z104" s="31">
        <f>16942.7745586336+[2]plateau_average_sums!$B$34</f>
        <v>17066.994058413835</v>
      </c>
      <c r="AA104" s="27">
        <f>Table1[[#This Row],[Raw Freshwater Score]]/Table1[[#This Row],[Summed Raw Scores]]</f>
        <v>0.39976623977274028</v>
      </c>
      <c r="AB104" s="27">
        <f>Table1[[#This Row],[Raw Terrestrial Score]]+Table1[[#This Row],[Raw Freshwater Score]]</f>
        <v>42692.434629087504</v>
      </c>
      <c r="AC104" s="28">
        <f>Table1[[#This Row],[Terrestrial % of Summed Score]]*Table1[[#This Row],[Scaled Summed Score]]</f>
        <v>0.15194441431742065</v>
      </c>
      <c r="AD104" s="28">
        <f>Table1[[#This Row],[Freshwater % of Summed Score]]*Table1[[#This Row],[Scaled Summed Score]]</f>
        <v>0.10119765196670781</v>
      </c>
      <c r="AE104" s="28">
        <f>Table1[[#This Row],[Summed Raw Scores]]/MAX(Table1[Summed Raw Scores])</f>
        <v>0.25314206628412844</v>
      </c>
      <c r="AF104" s="7"/>
    </row>
    <row r="105" spans="1:32" hidden="1" x14ac:dyDescent="0.3">
      <c r="A105" s="26" t="s">
        <v>187</v>
      </c>
      <c r="B105" s="26" t="s">
        <v>114</v>
      </c>
      <c r="C105" s="26" t="s">
        <v>25</v>
      </c>
      <c r="D105" s="26" t="s">
        <v>250</v>
      </c>
      <c r="E105" s="6">
        <v>50.631984799999998</v>
      </c>
      <c r="F105" s="6">
        <v>-121.1327119</v>
      </c>
      <c r="G105" s="6">
        <v>96</v>
      </c>
      <c r="H105" s="26" t="s">
        <v>22</v>
      </c>
      <c r="I105" s="6">
        <v>24</v>
      </c>
      <c r="J105" s="6">
        <v>279.7944</v>
      </c>
      <c r="K105" s="6">
        <v>84.949897322398115</v>
      </c>
      <c r="L105" s="6" t="s">
        <v>22</v>
      </c>
      <c r="M105" s="6">
        <v>2.2000000000000002</v>
      </c>
      <c r="N105" s="6">
        <v>28.8</v>
      </c>
      <c r="O105" s="6">
        <f>Table1[[#This Row],[R1 Length (km)]]+Table1[[#This Row],[T1 Length (km)]]</f>
        <v>31</v>
      </c>
      <c r="P105" s="26">
        <v>130</v>
      </c>
      <c r="Q105" s="6">
        <f>(Table1[[#This Row],[Linear Features (km)]]*1)*100</f>
        <v>3100</v>
      </c>
      <c r="R105" s="7">
        <f>((PI()*(45^2))*Table1[[#This Row],[Number of Turbines - WIND]])/10000</f>
        <v>12.723450247038663</v>
      </c>
      <c r="S105" s="8">
        <f>Table1[[#This Row],[ATG (ha)]]/Table1[[#This Row],[Linear Area (ha)]]</f>
        <v>4.104338789367311E-3</v>
      </c>
      <c r="T105" s="26" t="s">
        <v>188</v>
      </c>
      <c r="U105" s="26">
        <v>20</v>
      </c>
      <c r="V105" s="7" t="s">
        <v>22</v>
      </c>
      <c r="W105" s="7" t="s">
        <v>22</v>
      </c>
      <c r="X105" s="31">
        <v>17032.8520004284</v>
      </c>
      <c r="Y105" s="27">
        <f>Table1[[#This Row],[Raw Terrestrial Score]]/Table1[[#This Row],[Summed Raw Scores]]</f>
        <v>0.57294656322660198</v>
      </c>
      <c r="Z105" s="31">
        <v>12695.665619969401</v>
      </c>
      <c r="AA105" s="27">
        <f>Table1[[#This Row],[Raw Freshwater Score]]/Table1[[#This Row],[Summed Raw Scores]]</f>
        <v>0.42705343677339802</v>
      </c>
      <c r="AB105" s="27">
        <f>Table1[[#This Row],[Raw Terrestrial Score]]+Table1[[#This Row],[Raw Freshwater Score]]</f>
        <v>29728.517620397801</v>
      </c>
      <c r="AC105" s="28">
        <f>Table1[[#This Row],[Terrestrial % of Summed Score]]*Table1[[#This Row],[Scaled Summed Score]]</f>
        <v>0.10099520881300356</v>
      </c>
      <c r="AD105" s="28">
        <f>Table1[[#This Row],[Freshwater % of Summed Score]]*Table1[[#This Row],[Scaled Summed Score]]</f>
        <v>7.527813899144023E-2</v>
      </c>
      <c r="AE105" s="28">
        <f>Table1[[#This Row],[Summed Raw Scores]]/MAX(Table1[Summed Raw Scores])</f>
        <v>0.17627334780444379</v>
      </c>
      <c r="AF105" s="7"/>
    </row>
    <row r="106" spans="1:32" hidden="1" x14ac:dyDescent="0.3">
      <c r="A106" s="26" t="s">
        <v>189</v>
      </c>
      <c r="B106" s="26" t="s">
        <v>114</v>
      </c>
      <c r="C106" s="26" t="s">
        <v>25</v>
      </c>
      <c r="D106" s="26" t="s">
        <v>250</v>
      </c>
      <c r="E106" s="6">
        <v>50.597885300000002</v>
      </c>
      <c r="F106" s="6">
        <v>-120.67581060000001</v>
      </c>
      <c r="G106" s="6">
        <v>144</v>
      </c>
      <c r="H106" s="26" t="s">
        <v>22</v>
      </c>
      <c r="I106" s="6">
        <v>34.799999999999997</v>
      </c>
      <c r="J106" s="6">
        <v>388.55417999999997</v>
      </c>
      <c r="K106" s="6">
        <v>81.42411060961723</v>
      </c>
      <c r="L106" s="6" t="s">
        <v>22</v>
      </c>
      <c r="M106" s="6">
        <v>0.3</v>
      </c>
      <c r="N106" s="6">
        <v>21</v>
      </c>
      <c r="O106" s="6">
        <f>Table1[[#This Row],[R1 Length (km)]]+Table1[[#This Row],[T1 Length (km)]]</f>
        <v>21.3</v>
      </c>
      <c r="P106" s="26">
        <v>130</v>
      </c>
      <c r="Q106" s="6">
        <f>(Table1[[#This Row],[Linear Features (km)]]*1)*100</f>
        <v>2130</v>
      </c>
      <c r="R106" s="7">
        <f>((PI()*(45^2))*Table1[[#This Row],[Number of Turbines - WIND]])/10000</f>
        <v>18.449002858206061</v>
      </c>
      <c r="S106" s="8">
        <f>Table1[[#This Row],[ATG (ha)]]/Table1[[#This Row],[Linear Area (ha)]]</f>
        <v>8.6615036892986209E-3</v>
      </c>
      <c r="T106" s="26" t="s">
        <v>188</v>
      </c>
      <c r="U106" s="26">
        <v>29</v>
      </c>
      <c r="V106" s="7" t="s">
        <v>22</v>
      </c>
      <c r="W106" s="7" t="s">
        <v>22</v>
      </c>
      <c r="X106" s="31">
        <v>5120.45658364054</v>
      </c>
      <c r="Y106" s="27">
        <f>Table1[[#This Row],[Raw Terrestrial Score]]/Table1[[#This Row],[Summed Raw Scores]]</f>
        <v>0.55598223556695436</v>
      </c>
      <c r="Z106" s="31">
        <v>4089.2919588088998</v>
      </c>
      <c r="AA106" s="27">
        <f>Table1[[#This Row],[Raw Freshwater Score]]/Table1[[#This Row],[Summed Raw Scores]]</f>
        <v>0.44401776443304547</v>
      </c>
      <c r="AB106" s="27">
        <f>Table1[[#This Row],[Raw Terrestrial Score]]+Table1[[#This Row],[Raw Freshwater Score]]</f>
        <v>9209.7485424494407</v>
      </c>
      <c r="AC106" s="28">
        <f>Table1[[#This Row],[Terrestrial % of Summed Score]]*Table1[[#This Row],[Scaled Summed Score]]</f>
        <v>3.0361420499026719E-2</v>
      </c>
      <c r="AD106" s="28">
        <f>Table1[[#This Row],[Freshwater % of Summed Score]]*Table1[[#This Row],[Scaled Summed Score]]</f>
        <v>2.4247195670276101E-2</v>
      </c>
      <c r="AE106" s="28">
        <f>Table1[[#This Row],[Summed Raw Scores]]/MAX(Table1[Summed Raw Scores])</f>
        <v>5.4608616169302827E-2</v>
      </c>
      <c r="AF106" s="7"/>
    </row>
    <row r="107" spans="1:32" x14ac:dyDescent="0.3">
      <c r="A107" s="26" t="s">
        <v>190</v>
      </c>
      <c r="B107" s="26" t="s">
        <v>114</v>
      </c>
      <c r="C107" s="26" t="s">
        <v>25</v>
      </c>
      <c r="D107" s="26" t="s">
        <v>250</v>
      </c>
      <c r="E107" s="6">
        <v>50.438525319999997</v>
      </c>
      <c r="F107" s="6">
        <v>-121.0431569</v>
      </c>
      <c r="G107" s="6">
        <v>129</v>
      </c>
      <c r="H107" s="26" t="s">
        <v>22</v>
      </c>
      <c r="I107" s="6">
        <v>31.2</v>
      </c>
      <c r="J107" s="6">
        <v>320.00280000000004</v>
      </c>
      <c r="K107" s="6">
        <v>89.222821877244428</v>
      </c>
      <c r="L107" s="6" t="s">
        <v>22</v>
      </c>
      <c r="M107" s="6">
        <v>1.6899497070299998</v>
      </c>
      <c r="N107" s="6">
        <v>17.96984765625</v>
      </c>
      <c r="O107" s="6">
        <f>Table1[[#This Row],[R1 Length (km)]]+Table1[[#This Row],[T1 Length (km)]]</f>
        <v>19.659797363279999</v>
      </c>
      <c r="P107" s="26">
        <v>130</v>
      </c>
      <c r="Q107" s="6">
        <f>(Table1[[#This Row],[Linear Features (km)]]*1)*100</f>
        <v>1965.9797363279999</v>
      </c>
      <c r="R107" s="7">
        <f>((PI()*(45^2))*Table1[[#This Row],[Number of Turbines - WIND]])/10000</f>
        <v>16.54048532115026</v>
      </c>
      <c r="S107" s="8">
        <f>Table1[[#This Row],[ATG (ha)]]/Table1[[#This Row],[Linear Area (ha)]]</f>
        <v>8.4133549372406562E-3</v>
      </c>
      <c r="T107" s="26" t="s">
        <v>115</v>
      </c>
      <c r="U107" s="26">
        <v>26</v>
      </c>
      <c r="V107" s="7" t="s">
        <v>22</v>
      </c>
      <c r="W107" s="7" t="s">
        <v>22</v>
      </c>
      <c r="X107" s="31">
        <f>7462.30001151562+[1]plateau_average_sums!$B$37</f>
        <v>7547.8464754273346</v>
      </c>
      <c r="Y107" s="27">
        <f>Table1[[#This Row],[Raw Terrestrial Score]]/Table1[[#This Row],[Summed Raw Scores]]</f>
        <v>0.51491574936218476</v>
      </c>
      <c r="Z107" s="31">
        <f>7037.63361439109+[2]plateau_average_sums!$B$37</f>
        <v>7110.5641184934993</v>
      </c>
      <c r="AA107" s="27">
        <f>Table1[[#This Row],[Raw Freshwater Score]]/Table1[[#This Row],[Summed Raw Scores]]</f>
        <v>0.48508425063781518</v>
      </c>
      <c r="AB107" s="27">
        <f>Table1[[#This Row],[Raw Terrestrial Score]]+Table1[[#This Row],[Raw Freshwater Score]]</f>
        <v>14658.410593920835</v>
      </c>
      <c r="AC107" s="28">
        <f>Table1[[#This Row],[Terrestrial % of Summed Score]]*Table1[[#This Row],[Scaled Summed Score]]</f>
        <v>4.4754473933966178E-2</v>
      </c>
      <c r="AD107" s="28">
        <f>Table1[[#This Row],[Freshwater % of Summed Score]]*Table1[[#This Row],[Scaled Summed Score]]</f>
        <v>4.2161636108118558E-2</v>
      </c>
      <c r="AE107" s="28">
        <f>Table1[[#This Row],[Summed Raw Scores]]/MAX(Table1[Summed Raw Scores])</f>
        <v>8.6916110042084743E-2</v>
      </c>
      <c r="AF107" s="7"/>
    </row>
    <row r="108" spans="1:32" x14ac:dyDescent="0.3">
      <c r="A108" s="26" t="s">
        <v>191</v>
      </c>
      <c r="B108" s="26" t="s">
        <v>114</v>
      </c>
      <c r="C108" s="26" t="s">
        <v>25</v>
      </c>
      <c r="D108" s="26"/>
      <c r="E108" s="6">
        <v>50.360553060000001</v>
      </c>
      <c r="F108" s="6">
        <v>-120.57558160000001</v>
      </c>
      <c r="G108" s="6">
        <v>117</v>
      </c>
      <c r="H108" s="26" t="s">
        <v>22</v>
      </c>
      <c r="I108" s="6">
        <v>28.799999999999997</v>
      </c>
      <c r="J108" s="6">
        <v>291.07727999999997</v>
      </c>
      <c r="K108" s="6">
        <v>92.450222284973009</v>
      </c>
      <c r="L108" s="6" t="s">
        <v>22</v>
      </c>
      <c r="M108" s="6">
        <v>2.3071069335900001</v>
      </c>
      <c r="N108" s="6">
        <v>18.539697265625001</v>
      </c>
      <c r="O108" s="6">
        <f>Table1[[#This Row],[R1 Length (km)]]+Table1[[#This Row],[T1 Length (km)]]</f>
        <v>20.846804199215001</v>
      </c>
      <c r="P108" s="26">
        <v>130</v>
      </c>
      <c r="Q108" s="6">
        <f>(Table1[[#This Row],[Linear Features (km)]]*1)*100</f>
        <v>2084.6804199215003</v>
      </c>
      <c r="R108" s="7">
        <f>((PI()*(45^2))*Table1[[#This Row],[Number of Turbines - WIND]])/10000</f>
        <v>15.268140296446392</v>
      </c>
      <c r="S108" s="8">
        <f>Table1[[#This Row],[ATG (ha)]]/Table1[[#This Row],[Linear Area (ha)]]</f>
        <v>7.3239716507824838E-3</v>
      </c>
      <c r="T108" s="26" t="s">
        <v>115</v>
      </c>
      <c r="U108" s="26">
        <v>24</v>
      </c>
      <c r="V108" s="7" t="s">
        <v>22</v>
      </c>
      <c r="W108" s="7" t="s">
        <v>22</v>
      </c>
      <c r="X108" s="31">
        <f>7760.31156405807+[1]plateau_average_sums!$B$38</f>
        <v>7848.4392905718132</v>
      </c>
      <c r="Y108" s="27">
        <f>Table1[[#This Row],[Raw Terrestrial Score]]/Table1[[#This Row],[Summed Raw Scores]]</f>
        <v>0.57646581453583867</v>
      </c>
      <c r="Z108" s="31">
        <f>5702.72997242212+[2]plateau_average_sums!$B$38</f>
        <v>5766.3130376148192</v>
      </c>
      <c r="AA108" s="27">
        <f>Table1[[#This Row],[Raw Freshwater Score]]/Table1[[#This Row],[Summed Raw Scores]]</f>
        <v>0.42353418546416133</v>
      </c>
      <c r="AB108" s="27">
        <f>Table1[[#This Row],[Raw Terrestrial Score]]+Table1[[#This Row],[Raw Freshwater Score]]</f>
        <v>13614.752328186632</v>
      </c>
      <c r="AC108" s="28">
        <f>Table1[[#This Row],[Terrestrial % of Summed Score]]*Table1[[#This Row],[Scaled Summed Score]]</f>
        <v>4.6536819845997918E-2</v>
      </c>
      <c r="AD108" s="28">
        <f>Table1[[#This Row],[Freshwater % of Summed Score]]*Table1[[#This Row],[Scaled Summed Score]]</f>
        <v>3.4190985121012388E-2</v>
      </c>
      <c r="AE108" s="28">
        <f>Table1[[#This Row],[Summed Raw Scores]]/MAX(Table1[Summed Raw Scores])</f>
        <v>8.0727804967010305E-2</v>
      </c>
      <c r="AF108" s="7"/>
    </row>
    <row r="109" spans="1:32" x14ac:dyDescent="0.3">
      <c r="A109" s="26" t="s">
        <v>192</v>
      </c>
      <c r="B109" s="26" t="s">
        <v>114</v>
      </c>
      <c r="C109" s="26" t="s">
        <v>25</v>
      </c>
      <c r="D109" s="26"/>
      <c r="E109" s="6">
        <v>50.337349539999998</v>
      </c>
      <c r="F109" s="6">
        <v>-120.2431879</v>
      </c>
      <c r="G109" s="6">
        <v>96</v>
      </c>
      <c r="H109" s="26" t="s">
        <v>22</v>
      </c>
      <c r="I109" s="6">
        <v>22.8</v>
      </c>
      <c r="J109" s="6">
        <v>233.51532</v>
      </c>
      <c r="K109" s="6">
        <v>95.607254920173048</v>
      </c>
      <c r="L109" s="6" t="s">
        <v>22</v>
      </c>
      <c r="M109" s="6">
        <v>0.66568542480500004</v>
      </c>
      <c r="N109" s="6">
        <v>22.027921875000001</v>
      </c>
      <c r="O109" s="6">
        <f>Table1[[#This Row],[R1 Length (km)]]+Table1[[#This Row],[T1 Length (km)]]</f>
        <v>22.693607299805002</v>
      </c>
      <c r="P109" s="26">
        <v>130</v>
      </c>
      <c r="Q109" s="6">
        <f>(Table1[[#This Row],[Linear Features (km)]]*1)*100</f>
        <v>2269.3607299805003</v>
      </c>
      <c r="R109" s="7">
        <f>((PI()*(45^2))*Table1[[#This Row],[Number of Turbines - WIND]])/10000</f>
        <v>12.087277734686728</v>
      </c>
      <c r="S109" s="8">
        <f>Table1[[#This Row],[ATG (ha)]]/Table1[[#This Row],[Linear Area (ha)]]</f>
        <v>5.3262919266213746E-3</v>
      </c>
      <c r="T109" s="26" t="s">
        <v>115</v>
      </c>
      <c r="U109" s="26">
        <v>19</v>
      </c>
      <c r="V109" s="7" t="s">
        <v>22</v>
      </c>
      <c r="W109" s="7" t="s">
        <v>22</v>
      </c>
      <c r="X109" s="31">
        <f>13280.1434976161+[1]plateau_average_sums!$B$39</f>
        <v>13349.962020373987</v>
      </c>
      <c r="Y109" s="27">
        <f>Table1[[#This Row],[Raw Terrestrial Score]]/Table1[[#This Row],[Summed Raw Scores]]</f>
        <v>0.68771991658309273</v>
      </c>
      <c r="Z109" s="31">
        <f>6011.90480843186+[2]plateau_average_sums!$B$39</f>
        <v>6061.9550965574344</v>
      </c>
      <c r="AA109" s="27">
        <f>Table1[[#This Row],[Raw Freshwater Score]]/Table1[[#This Row],[Summed Raw Scores]]</f>
        <v>0.31228008341690727</v>
      </c>
      <c r="AB109" s="27">
        <f>Table1[[#This Row],[Raw Terrestrial Score]]+Table1[[#This Row],[Raw Freshwater Score]]</f>
        <v>19411.917116931421</v>
      </c>
      <c r="AC109" s="28">
        <f>Table1[[#This Row],[Terrestrial % of Summed Score]]*Table1[[#This Row],[Scaled Summed Score]]</f>
        <v>7.9157747737103948E-2</v>
      </c>
      <c r="AD109" s="28">
        <f>Table1[[#This Row],[Freshwater % of Summed Score]]*Table1[[#This Row],[Scaled Summed Score]]</f>
        <v>3.59439758401277E-2</v>
      </c>
      <c r="AE109" s="28">
        <f>Table1[[#This Row],[Summed Raw Scores]]/MAX(Table1[Summed Raw Scores])</f>
        <v>0.11510172357723164</v>
      </c>
      <c r="AF109" s="7"/>
    </row>
    <row r="110" spans="1:32" x14ac:dyDescent="0.3">
      <c r="A110" s="26" t="s">
        <v>193</v>
      </c>
      <c r="B110" s="26" t="s">
        <v>114</v>
      </c>
      <c r="C110" s="26" t="s">
        <v>25</v>
      </c>
      <c r="D110" s="26" t="s">
        <v>250</v>
      </c>
      <c r="E110" s="6">
        <v>50.469392810000002</v>
      </c>
      <c r="F110" s="6">
        <v>-119.96195470000001</v>
      </c>
      <c r="G110" s="6">
        <v>117</v>
      </c>
      <c r="H110" s="26" t="s">
        <v>22</v>
      </c>
      <c r="I110" s="6">
        <v>27.599999999999998</v>
      </c>
      <c r="J110" s="6">
        <v>332.44200000000001</v>
      </c>
      <c r="K110" s="6">
        <v>80.465695323400553</v>
      </c>
      <c r="L110" s="6" t="s">
        <v>22</v>
      </c>
      <c r="M110" s="6">
        <v>0.3</v>
      </c>
      <c r="N110" s="6">
        <v>35</v>
      </c>
      <c r="O110" s="6">
        <f>Table1[[#This Row],[R1 Length (km)]]+Table1[[#This Row],[T1 Length (km)]]</f>
        <v>35.299999999999997</v>
      </c>
      <c r="P110" s="26">
        <v>130</v>
      </c>
      <c r="Q110" s="6">
        <f>(Table1[[#This Row],[Linear Features (km)]]*1)*100</f>
        <v>3529.9999999999995</v>
      </c>
      <c r="R110" s="7">
        <f>((PI()*(45^2))*Table1[[#This Row],[Number of Turbines - WIND]])/10000</f>
        <v>14.631967784094462</v>
      </c>
      <c r="S110" s="8">
        <f>Table1[[#This Row],[ATG (ha)]]/Table1[[#This Row],[Linear Area (ha)]]</f>
        <v>4.1450333665989979E-3</v>
      </c>
      <c r="T110" s="26" t="s">
        <v>115</v>
      </c>
      <c r="U110" s="26">
        <v>23</v>
      </c>
      <c r="V110" s="7" t="s">
        <v>22</v>
      </c>
      <c r="W110" s="7" t="s">
        <v>22</v>
      </c>
      <c r="X110" s="31">
        <f>24915.8053196864+[1]plateau_average_sums!$B$40</f>
        <v>24943.252729926458</v>
      </c>
      <c r="Y110" s="27">
        <f>Table1[[#This Row],[Raw Terrestrial Score]]/Table1[[#This Row],[Summed Raw Scores]]</f>
        <v>0.62426112385528398</v>
      </c>
      <c r="Z110" s="31">
        <f>14937.187190026+[2]plateau_average_sums!$B$40</f>
        <v>15013.18821562375</v>
      </c>
      <c r="AA110" s="27">
        <f>Table1[[#This Row],[Raw Freshwater Score]]/Table1[[#This Row],[Summed Raw Scores]]</f>
        <v>0.37573887614471602</v>
      </c>
      <c r="AB110" s="27">
        <f>Table1[[#This Row],[Raw Terrestrial Score]]+Table1[[#This Row],[Raw Freshwater Score]]</f>
        <v>39956.44094555021</v>
      </c>
      <c r="AC110" s="28">
        <f>Table1[[#This Row],[Terrestrial % of Summed Score]]*Table1[[#This Row],[Scaled Summed Score]]</f>
        <v>0.1478994250564194</v>
      </c>
      <c r="AD110" s="28">
        <f>Table1[[#This Row],[Freshwater % of Summed Score]]*Table1[[#This Row],[Scaled Summed Score]]</f>
        <v>8.9019741306253855E-2</v>
      </c>
      <c r="AE110" s="28">
        <f>Table1[[#This Row],[Summed Raw Scores]]/MAX(Table1[Summed Raw Scores])</f>
        <v>0.23691916636267327</v>
      </c>
      <c r="AF110" s="7"/>
    </row>
    <row r="111" spans="1:32" x14ac:dyDescent="0.3">
      <c r="A111" s="26" t="s">
        <v>194</v>
      </c>
      <c r="B111" s="26" t="s">
        <v>114</v>
      </c>
      <c r="C111" s="26" t="s">
        <v>87</v>
      </c>
      <c r="D111" s="26" t="s">
        <v>250</v>
      </c>
      <c r="E111" s="6">
        <v>50.614013720000003</v>
      </c>
      <c r="F111" s="6">
        <v>-119.4703877</v>
      </c>
      <c r="G111" s="6">
        <v>138</v>
      </c>
      <c r="H111" s="26" t="s">
        <v>22</v>
      </c>
      <c r="I111" s="6">
        <v>33.6</v>
      </c>
      <c r="J111" s="6">
        <v>366.44832000000002</v>
      </c>
      <c r="K111" s="6">
        <v>83.191183022405298</v>
      </c>
      <c r="L111" s="6" t="s">
        <v>22</v>
      </c>
      <c r="M111" s="6">
        <v>0.2</v>
      </c>
      <c r="N111" s="6">
        <v>18.899999999999999</v>
      </c>
      <c r="O111" s="6">
        <f>Table1[[#This Row],[R1 Length (km)]]+Table1[[#This Row],[T1 Length (km)]]</f>
        <v>19.099999999999998</v>
      </c>
      <c r="P111" s="26">
        <v>130</v>
      </c>
      <c r="Q111" s="6">
        <f>(Table1[[#This Row],[Linear Features (km)]]*1)*100</f>
        <v>1909.9999999999998</v>
      </c>
      <c r="R111" s="7">
        <f>((PI()*(45^2))*Table1[[#This Row],[Number of Turbines - WIND]])/10000</f>
        <v>17.812830345854124</v>
      </c>
      <c r="S111" s="8">
        <f>Table1[[#This Row],[ATG (ha)]]/Table1[[#This Row],[Linear Area (ha)]]</f>
        <v>9.3260891863110613E-3</v>
      </c>
      <c r="T111" s="26" t="s">
        <v>115</v>
      </c>
      <c r="U111" s="26">
        <v>28</v>
      </c>
      <c r="V111" s="7" t="s">
        <v>22</v>
      </c>
      <c r="W111" s="7" t="s">
        <v>22</v>
      </c>
      <c r="X111" s="31">
        <f>5660.16409269534+[1]plateau_average_sums!$B$41</f>
        <v>5673.2100490044559</v>
      </c>
      <c r="Y111" s="27">
        <f>Table1[[#This Row],[Raw Terrestrial Score]]/Table1[[#This Row],[Summed Raw Scores]]</f>
        <v>0.36370206104823061</v>
      </c>
      <c r="Z111" s="31">
        <f>9813.15766042471+[2]plateau_average_sums!$B$41</f>
        <v>9925.2994360768789</v>
      </c>
      <c r="AA111" s="27">
        <f>Table1[[#This Row],[Raw Freshwater Score]]/Table1[[#This Row],[Summed Raw Scores]]</f>
        <v>0.63629793895176934</v>
      </c>
      <c r="AB111" s="27">
        <f>Table1[[#This Row],[Raw Terrestrial Score]]+Table1[[#This Row],[Raw Freshwater Score]]</f>
        <v>15598.509485081335</v>
      </c>
      <c r="AC111" s="28">
        <f>Table1[[#This Row],[Terrestrial % of Summed Score]]*Table1[[#This Row],[Scaled Summed Score]]</f>
        <v>3.3638936892355094E-2</v>
      </c>
      <c r="AD111" s="28">
        <f>Table1[[#This Row],[Freshwater % of Summed Score]]*Table1[[#This Row],[Scaled Summed Score]]</f>
        <v>5.8851429522957091E-2</v>
      </c>
      <c r="AE111" s="28">
        <f>Table1[[#This Row],[Summed Raw Scores]]/MAX(Table1[Summed Raw Scores])</f>
        <v>9.2490366415312192E-2</v>
      </c>
      <c r="AF111" s="7"/>
    </row>
    <row r="112" spans="1:32" x14ac:dyDescent="0.3">
      <c r="A112" s="26" t="s">
        <v>195</v>
      </c>
      <c r="B112" s="26" t="s">
        <v>114</v>
      </c>
      <c r="C112" s="26" t="s">
        <v>87</v>
      </c>
      <c r="D112" s="26" t="s">
        <v>250</v>
      </c>
      <c r="E112" s="6">
        <v>50.342679080000003</v>
      </c>
      <c r="F112" s="6">
        <v>-119.65686049999999</v>
      </c>
      <c r="G112" s="6">
        <v>186</v>
      </c>
      <c r="H112" s="26" t="s">
        <v>22</v>
      </c>
      <c r="I112" s="6">
        <v>44.4</v>
      </c>
      <c r="J112" s="6">
        <v>583.90218000000004</v>
      </c>
      <c r="K112" s="6">
        <v>73.214955174331507</v>
      </c>
      <c r="L112" s="6" t="s">
        <v>22</v>
      </c>
      <c r="M112" s="6">
        <v>0.1</v>
      </c>
      <c r="N112" s="6">
        <v>51.7</v>
      </c>
      <c r="O112" s="6">
        <f>Table1[[#This Row],[R1 Length (km)]]+Table1[[#This Row],[T1 Length (km)]]</f>
        <v>51.800000000000004</v>
      </c>
      <c r="P112" s="26">
        <v>230</v>
      </c>
      <c r="Q112" s="6">
        <f>(Table1[[#This Row],[Linear Features (km)]]*1)*100</f>
        <v>5180</v>
      </c>
      <c r="R112" s="7">
        <f>((PI()*(45^2))*Table1[[#This Row],[Number of Turbines - WIND]])/10000</f>
        <v>23.538382957021522</v>
      </c>
      <c r="S112" s="8">
        <f>Table1[[#This Row],[ATG (ha)]]/Table1[[#This Row],[Linear Area (ha)]]</f>
        <v>4.5440893739423791E-3</v>
      </c>
      <c r="T112" s="26" t="s">
        <v>115</v>
      </c>
      <c r="U112" s="26">
        <v>37</v>
      </c>
      <c r="V112" s="7" t="s">
        <v>22</v>
      </c>
      <c r="W112" s="7" t="s">
        <v>22</v>
      </c>
      <c r="X112" s="31">
        <f>20294.7532445742+[1]plateau_average_sums!$B$42</f>
        <v>20322.557162480884</v>
      </c>
      <c r="Y112" s="27">
        <f>Table1[[#This Row],[Raw Terrestrial Score]]/Table1[[#This Row],[Summed Raw Scores]]</f>
        <v>0.92003277730828104</v>
      </c>
      <c r="Z112" s="31">
        <f>1726.0691007222+[2]plateau_average_sums!$B$42</f>
        <v>1766.391909462106</v>
      </c>
      <c r="AA112" s="27">
        <f>Table1[[#This Row],[Raw Freshwater Score]]/Table1[[#This Row],[Summed Raw Scores]]</f>
        <v>7.9967222691719062E-2</v>
      </c>
      <c r="AB112" s="27">
        <f>Table1[[#This Row],[Raw Terrestrial Score]]+Table1[[#This Row],[Raw Freshwater Score]]</f>
        <v>22088.949071942989</v>
      </c>
      <c r="AC112" s="28">
        <f>Table1[[#This Row],[Terrestrial % of Summed Score]]*Table1[[#This Row],[Scaled Summed Score]]</f>
        <v>0.12050130560562232</v>
      </c>
      <c r="AD112" s="28">
        <f>Table1[[#This Row],[Freshwater % of Summed Score]]*Table1[[#This Row],[Scaled Summed Score]]</f>
        <v>1.0473708087009653E-2</v>
      </c>
      <c r="AE112" s="28">
        <f>Table1[[#This Row],[Summed Raw Scores]]/MAX(Table1[Summed Raw Scores])</f>
        <v>0.13097501369263195</v>
      </c>
      <c r="AF112" s="7"/>
    </row>
    <row r="113" spans="1:32" x14ac:dyDescent="0.3">
      <c r="A113" s="26" t="s">
        <v>196</v>
      </c>
      <c r="B113" s="26" t="s">
        <v>114</v>
      </c>
      <c r="C113" s="26" t="s">
        <v>87</v>
      </c>
      <c r="D113" s="26" t="s">
        <v>250</v>
      </c>
      <c r="E113" s="6">
        <v>50.018305660000003</v>
      </c>
      <c r="F113" s="6">
        <v>-118.79677030000001</v>
      </c>
      <c r="G113" s="6">
        <v>162</v>
      </c>
      <c r="H113" s="26" t="s">
        <v>22</v>
      </c>
      <c r="I113" s="6">
        <v>56.4</v>
      </c>
      <c r="J113" s="6">
        <v>618.81515999999988</v>
      </c>
      <c r="K113" s="6">
        <v>85.512634441569176</v>
      </c>
      <c r="L113" s="6" t="s">
        <v>22</v>
      </c>
      <c r="M113" s="6">
        <v>1</v>
      </c>
      <c r="N113" s="6">
        <v>66.8</v>
      </c>
      <c r="O113" s="6">
        <f>Table1[[#This Row],[R1 Length (km)]]+Table1[[#This Row],[T1 Length (km)]]</f>
        <v>67.8</v>
      </c>
      <c r="P113" s="26">
        <v>230</v>
      </c>
      <c r="Q113" s="6">
        <f>(Table1[[#This Row],[Linear Features (km)]]*1)*100</f>
        <v>6780</v>
      </c>
      <c r="R113" s="7">
        <f>((PI()*(45^2))*Table1[[#This Row],[Number of Turbines - WIND]])/10000</f>
        <v>29.900108080540853</v>
      </c>
      <c r="S113" s="8">
        <f>Table1[[#This Row],[ATG (ha)]]/Table1[[#This Row],[Linear Area (ha)]]</f>
        <v>4.4100454396077951E-3</v>
      </c>
      <c r="T113" s="26" t="s">
        <v>115</v>
      </c>
      <c r="U113" s="26">
        <v>47</v>
      </c>
      <c r="V113" s="7" t="s">
        <v>22</v>
      </c>
      <c r="W113" s="7" t="s">
        <v>22</v>
      </c>
      <c r="X113" s="31">
        <f>23923.6996027827+[1]plateau_average_sums!$B$43</f>
        <v>24276.291623697925</v>
      </c>
      <c r="Y113" s="27">
        <f>Table1[[#This Row],[Raw Terrestrial Score]]/Table1[[#This Row],[Summed Raw Scores]]</f>
        <v>0.43685749554756503</v>
      </c>
      <c r="Z113" s="31">
        <f>31014.4496257142+[2]plateau_average_sums!$B$43</f>
        <v>31293.984429983109</v>
      </c>
      <c r="AA113" s="27">
        <f>Table1[[#This Row],[Raw Freshwater Score]]/Table1[[#This Row],[Summed Raw Scores]]</f>
        <v>0.56314250445243486</v>
      </c>
      <c r="AB113" s="27">
        <f>Table1[[#This Row],[Raw Terrestrial Score]]+Table1[[#This Row],[Raw Freshwater Score]]</f>
        <v>55570.276053681038</v>
      </c>
      <c r="AC113" s="28">
        <f>Table1[[#This Row],[Terrestrial % of Summed Score]]*Table1[[#This Row],[Scaled Summed Score]]</f>
        <v>0.14394472174589876</v>
      </c>
      <c r="AD113" s="28">
        <f>Table1[[#This Row],[Freshwater % of Summed Score]]*Table1[[#This Row],[Scaled Summed Score]]</f>
        <v>0.18555568333579919</v>
      </c>
      <c r="AE113" s="28">
        <f>Table1[[#This Row],[Summed Raw Scores]]/MAX(Table1[Summed Raw Scores])</f>
        <v>0.32950040508169798</v>
      </c>
      <c r="AF113" s="7"/>
    </row>
    <row r="114" spans="1:32" x14ac:dyDescent="0.3">
      <c r="A114" s="26" t="s">
        <v>197</v>
      </c>
      <c r="B114" s="26" t="s">
        <v>114</v>
      </c>
      <c r="C114" s="26" t="s">
        <v>87</v>
      </c>
      <c r="D114" s="26" t="s">
        <v>250</v>
      </c>
      <c r="E114" s="6">
        <v>50.190878660000003</v>
      </c>
      <c r="F114" s="6">
        <v>-119.67523540000001</v>
      </c>
      <c r="G114" s="6">
        <v>81</v>
      </c>
      <c r="H114" s="26" t="s">
        <v>22</v>
      </c>
      <c r="I114" s="6">
        <v>20.399999999999999</v>
      </c>
      <c r="J114" s="6">
        <v>258.37619999999998</v>
      </c>
      <c r="K114" s="6">
        <v>85.143636170844871</v>
      </c>
      <c r="L114" s="6" t="s">
        <v>22</v>
      </c>
      <c r="M114" s="6">
        <v>0.1</v>
      </c>
      <c r="N114" s="6">
        <v>36.799999999999997</v>
      </c>
      <c r="O114" s="6">
        <f>Table1[[#This Row],[R1 Length (km)]]+Table1[[#This Row],[T1 Length (km)]]</f>
        <v>36.9</v>
      </c>
      <c r="P114" s="26">
        <v>130</v>
      </c>
      <c r="Q114" s="6">
        <f>(Table1[[#This Row],[Linear Features (km)]]*1)*100</f>
        <v>3690</v>
      </c>
      <c r="R114" s="7">
        <f>((PI()*(45^2))*Table1[[#This Row],[Number of Turbines - WIND]])/10000</f>
        <v>10.814932709982862</v>
      </c>
      <c r="S114" s="8">
        <f>Table1[[#This Row],[ATG (ha)]]/Table1[[#This Row],[Linear Area (ha)]]</f>
        <v>2.9308760731660876E-3</v>
      </c>
      <c r="T114" s="26" t="s">
        <v>115</v>
      </c>
      <c r="U114" s="26">
        <v>17</v>
      </c>
      <c r="V114" s="7" t="s">
        <v>22</v>
      </c>
      <c r="W114" s="7" t="s">
        <v>22</v>
      </c>
      <c r="X114" s="31">
        <f>26302.3996181288+[1]plateau_average_sums!$B$44</f>
        <v>26327.990317284908</v>
      </c>
      <c r="Y114" s="27">
        <f>Table1[[#This Row],[Raw Terrestrial Score]]/Table1[[#This Row],[Summed Raw Scores]]</f>
        <v>0.84991740225384249</v>
      </c>
      <c r="Z114" s="31">
        <f>4558.27223553741+[2]plateau_average_sums!$B$44</f>
        <v>4649.1261030488422</v>
      </c>
      <c r="AA114" s="27">
        <f>Table1[[#This Row],[Raw Freshwater Score]]/Table1[[#This Row],[Summed Raw Scores]]</f>
        <v>0.15008259774615756</v>
      </c>
      <c r="AB114" s="27">
        <f>Table1[[#This Row],[Raw Terrestrial Score]]+Table1[[#This Row],[Raw Freshwater Score]]</f>
        <v>30977.11642033375</v>
      </c>
      <c r="AC114" s="28">
        <f>Table1[[#This Row],[Terrestrial % of Summed Score]]*Table1[[#This Row],[Scaled Summed Score]]</f>
        <v>0.15611013819964192</v>
      </c>
      <c r="AD114" s="28">
        <f>Table1[[#This Row],[Freshwater % of Summed Score]]*Table1[[#This Row],[Scaled Summed Score]]</f>
        <v>2.7566696497074814E-2</v>
      </c>
      <c r="AE114" s="28">
        <f>Table1[[#This Row],[Summed Raw Scores]]/MAX(Table1[Summed Raw Scores])</f>
        <v>0.18367683469671672</v>
      </c>
      <c r="AF114" s="7"/>
    </row>
    <row r="115" spans="1:32" x14ac:dyDescent="0.3">
      <c r="A115" s="26" t="s">
        <v>198</v>
      </c>
      <c r="B115" s="26" t="s">
        <v>114</v>
      </c>
      <c r="C115" s="26" t="s">
        <v>25</v>
      </c>
      <c r="D115" s="26" t="s">
        <v>250</v>
      </c>
      <c r="E115" s="6">
        <v>50.09076254</v>
      </c>
      <c r="F115" s="6">
        <v>-119.7530118</v>
      </c>
      <c r="G115" s="6">
        <v>303</v>
      </c>
      <c r="H115" s="26" t="s">
        <v>22</v>
      </c>
      <c r="I115" s="6">
        <v>73.2</v>
      </c>
      <c r="J115" s="6">
        <v>902.53403999999989</v>
      </c>
      <c r="K115" s="6">
        <v>75.242059453167954</v>
      </c>
      <c r="L115" s="6" t="s">
        <v>22</v>
      </c>
      <c r="M115" s="6">
        <v>0</v>
      </c>
      <c r="N115" s="6">
        <v>79.900000000000006</v>
      </c>
      <c r="O115" s="6">
        <f>Table1[[#This Row],[R1 Length (km)]]+Table1[[#This Row],[T1 Length (km)]]</f>
        <v>79.900000000000006</v>
      </c>
      <c r="P115" s="26">
        <v>230</v>
      </c>
      <c r="Q115" s="6">
        <f>(Table1[[#This Row],[Linear Features (km)]]*1)*100</f>
        <v>7990.0000000000009</v>
      </c>
      <c r="R115" s="7">
        <f>((PI()*(45^2))*Table1[[#This Row],[Number of Turbines - WIND]])/10000</f>
        <v>38.806523253467915</v>
      </c>
      <c r="S115" s="8">
        <f>Table1[[#This Row],[ATG (ha)]]/Table1[[#This Row],[Linear Area (ha)]]</f>
        <v>4.8568865148270225E-3</v>
      </c>
      <c r="T115" s="26" t="s">
        <v>115</v>
      </c>
      <c r="U115" s="26">
        <v>61</v>
      </c>
      <c r="V115" s="7" t="s">
        <v>22</v>
      </c>
      <c r="W115" s="7" t="s">
        <v>22</v>
      </c>
      <c r="X115" s="31">
        <f>30958.5775140463+[1]plateau_average_sums!$B$45</f>
        <v>31003.817455706438</v>
      </c>
      <c r="Y115" s="27">
        <f>Table1[[#This Row],[Raw Terrestrial Score]]/Table1[[#This Row],[Summed Raw Scores]]</f>
        <v>0.66492700814293293</v>
      </c>
      <c r="Z115" s="31">
        <f>15473.9708944717+[2]plateau_average_sums!$B$45</f>
        <v>15623.582358141779</v>
      </c>
      <c r="AA115" s="27">
        <f>Table1[[#This Row],[Raw Freshwater Score]]/Table1[[#This Row],[Summed Raw Scores]]</f>
        <v>0.33507299185706718</v>
      </c>
      <c r="AB115" s="27">
        <f>Table1[[#This Row],[Raw Terrestrial Score]]+Table1[[#This Row],[Raw Freshwater Score]]</f>
        <v>46627.399813848213</v>
      </c>
      <c r="AC115" s="28">
        <f>Table1[[#This Row],[Terrestrial % of Summed Score]]*Table1[[#This Row],[Scaled Summed Score]]</f>
        <v>0.18383515678176274</v>
      </c>
      <c r="AD115" s="28">
        <f>Table1[[#This Row],[Freshwater % of Summed Score]]*Table1[[#This Row],[Scaled Summed Score]]</f>
        <v>9.2639034415845367E-2</v>
      </c>
      <c r="AE115" s="28">
        <f>Table1[[#This Row],[Summed Raw Scores]]/MAX(Table1[Summed Raw Scores])</f>
        <v>0.27647419119760808</v>
      </c>
      <c r="AF115" s="7"/>
    </row>
    <row r="116" spans="1:32" hidden="1" x14ac:dyDescent="0.3">
      <c r="A116" s="26" t="s">
        <v>199</v>
      </c>
      <c r="B116" s="26" t="s">
        <v>114</v>
      </c>
      <c r="C116" s="26" t="s">
        <v>25</v>
      </c>
      <c r="D116" s="26" t="s">
        <v>250</v>
      </c>
      <c r="E116" s="6">
        <v>51.20302839</v>
      </c>
      <c r="F116" s="6">
        <v>-122.80802730000001</v>
      </c>
      <c r="G116" s="6">
        <v>117</v>
      </c>
      <c r="H116" s="26" t="s">
        <v>22</v>
      </c>
      <c r="I116" s="6">
        <v>27.599999999999998</v>
      </c>
      <c r="J116" s="6">
        <v>349.46706</v>
      </c>
      <c r="K116" s="6">
        <v>91.343677990623945</v>
      </c>
      <c r="L116" s="6" t="s">
        <v>22</v>
      </c>
      <c r="M116" s="6">
        <v>2.7</v>
      </c>
      <c r="N116" s="6">
        <v>69.8</v>
      </c>
      <c r="O116" s="6">
        <f>Table1[[#This Row],[R1 Length (km)]]+Table1[[#This Row],[T1 Length (km)]]</f>
        <v>72.5</v>
      </c>
      <c r="P116" s="26">
        <v>230</v>
      </c>
      <c r="Q116" s="6">
        <f>(Table1[[#This Row],[Linear Features (km)]]*1)*100</f>
        <v>7250</v>
      </c>
      <c r="R116" s="7">
        <v>14.63</v>
      </c>
      <c r="S116" s="8">
        <f>Table1[[#This Row],[ATG (ha)]]/Table1[[#This Row],[Linear Area (ha)]]</f>
        <v>2.0179310344827588E-3</v>
      </c>
      <c r="T116" s="26" t="s">
        <v>136</v>
      </c>
      <c r="U116" s="9" t="s">
        <v>22</v>
      </c>
      <c r="V116" s="7" t="s">
        <v>22</v>
      </c>
      <c r="W116" s="7" t="s">
        <v>22</v>
      </c>
      <c r="X116" s="31">
        <v>35962.767284225702</v>
      </c>
      <c r="Y116" s="27">
        <f>Table1[[#This Row],[Raw Terrestrial Score]]/Table1[[#This Row],[Summed Raw Scores]]</f>
        <v>0.50845183360764246</v>
      </c>
      <c r="Z116" s="31">
        <v>34767.171929597898</v>
      </c>
      <c r="AA116" s="27">
        <f>Table1[[#This Row],[Raw Freshwater Score]]/Table1[[#This Row],[Summed Raw Scores]]</f>
        <v>0.49154816639235754</v>
      </c>
      <c r="AB116" s="27">
        <f>Table1[[#This Row],[Raw Terrestrial Score]]+Table1[[#This Row],[Raw Freshwater Score]]</f>
        <v>70729.9392138236</v>
      </c>
      <c r="AC116" s="28">
        <f>Table1[[#This Row],[Terrestrial % of Summed Score]]*Table1[[#This Row],[Scaled Summed Score]]</f>
        <v>0.21323893328448318</v>
      </c>
      <c r="AD116" s="28">
        <f>Table1[[#This Row],[Freshwater % of Summed Score]]*Table1[[#This Row],[Scaled Summed Score]]</f>
        <v>0.20614972693821448</v>
      </c>
      <c r="AE116" s="28">
        <f>Table1[[#This Row],[Summed Raw Scores]]/MAX(Table1[Summed Raw Scores])</f>
        <v>0.41938866022269766</v>
      </c>
      <c r="AF116" s="7"/>
    </row>
    <row r="117" spans="1:32" hidden="1" x14ac:dyDescent="0.3">
      <c r="A117" s="26" t="s">
        <v>200</v>
      </c>
      <c r="B117" s="26" t="s">
        <v>114</v>
      </c>
      <c r="C117" s="26" t="s">
        <v>25</v>
      </c>
      <c r="D117" s="26" t="s">
        <v>250</v>
      </c>
      <c r="E117" s="6">
        <v>51.175719659999999</v>
      </c>
      <c r="F117" s="6">
        <v>-122.474124</v>
      </c>
      <c r="G117" s="6">
        <v>54</v>
      </c>
      <c r="H117" s="26" t="s">
        <v>22</v>
      </c>
      <c r="I117" s="6">
        <v>13.2</v>
      </c>
      <c r="J117" s="6">
        <v>160.05395999999999</v>
      </c>
      <c r="K117" s="6">
        <v>89.798275246286522</v>
      </c>
      <c r="L117" s="6" t="s">
        <v>22</v>
      </c>
      <c r="M117" s="6">
        <v>2.6</v>
      </c>
      <c r="N117" s="6">
        <v>38.5</v>
      </c>
      <c r="O117" s="6">
        <f>Table1[[#This Row],[R1 Length (km)]]+Table1[[#This Row],[T1 Length (km)]]</f>
        <v>41.1</v>
      </c>
      <c r="P117" s="26">
        <v>69</v>
      </c>
      <c r="Q117" s="6">
        <f>(Table1[[#This Row],[Linear Features (km)]]*1)*100</f>
        <v>4110</v>
      </c>
      <c r="R117" s="7">
        <v>7</v>
      </c>
      <c r="S117" s="8">
        <f>Table1[[#This Row],[ATG (ha)]]/Table1[[#This Row],[Linear Area (ha)]]</f>
        <v>1.7031630170316302E-3</v>
      </c>
      <c r="T117" s="26" t="s">
        <v>136</v>
      </c>
      <c r="U117" s="9" t="s">
        <v>22</v>
      </c>
      <c r="V117" s="7" t="s">
        <v>22</v>
      </c>
      <c r="W117" s="7" t="s">
        <v>22</v>
      </c>
      <c r="X117" s="31">
        <v>9144.5816969573498</v>
      </c>
      <c r="Y117" s="27">
        <f>Table1[[#This Row],[Raw Terrestrial Score]]/Table1[[#This Row],[Summed Raw Scores]]</f>
        <v>0.37346648942380922</v>
      </c>
      <c r="Z117" s="31">
        <v>15341.100301086901</v>
      </c>
      <c r="AA117" s="27">
        <f>Table1[[#This Row],[Raw Freshwater Score]]/Table1[[#This Row],[Summed Raw Scores]]</f>
        <v>0.62653351057619067</v>
      </c>
      <c r="AB117" s="27">
        <f>Table1[[#This Row],[Raw Terrestrial Score]]+Table1[[#This Row],[Raw Freshwater Score]]</f>
        <v>24485.681998044252</v>
      </c>
      <c r="AC117" s="28">
        <f>Table1[[#This Row],[Terrestrial % of Summed Score]]*Table1[[#This Row],[Scaled Summed Score]]</f>
        <v>5.422221351823811E-2</v>
      </c>
      <c r="AD117" s="28">
        <f>Table1[[#This Row],[Freshwater % of Summed Score]]*Table1[[#This Row],[Scaled Summed Score]]</f>
        <v>9.0964075087984916E-2</v>
      </c>
      <c r="AE117" s="28">
        <f>Table1[[#This Row],[Summed Raw Scores]]/MAX(Table1[Summed Raw Scores])</f>
        <v>0.14518628860622304</v>
      </c>
      <c r="AF117" s="7"/>
    </row>
    <row r="118" spans="1:32" hidden="1" x14ac:dyDescent="0.3">
      <c r="A118" s="26" t="s">
        <v>201</v>
      </c>
      <c r="B118" s="26" t="s">
        <v>114</v>
      </c>
      <c r="C118" s="26" t="s">
        <v>25</v>
      </c>
      <c r="D118" s="26" t="s">
        <v>250</v>
      </c>
      <c r="E118" s="6">
        <v>51.025660500000001</v>
      </c>
      <c r="F118" s="6">
        <v>-122.15500520000001</v>
      </c>
      <c r="G118" s="6">
        <v>39</v>
      </c>
      <c r="H118" s="26" t="s">
        <v>22</v>
      </c>
      <c r="I118" s="6">
        <v>9.6</v>
      </c>
      <c r="J118" s="6">
        <v>124.21679999999999</v>
      </c>
      <c r="K118" s="6">
        <v>88.564118456528348</v>
      </c>
      <c r="L118" s="6" t="s">
        <v>22</v>
      </c>
      <c r="M118" s="6">
        <v>1.1000000000000001</v>
      </c>
      <c r="N118" s="6">
        <v>30</v>
      </c>
      <c r="O118" s="6">
        <f>Table1[[#This Row],[R1 Length (km)]]+Table1[[#This Row],[T1 Length (km)]]</f>
        <v>31.1</v>
      </c>
      <c r="P118" s="26">
        <v>69</v>
      </c>
      <c r="Q118" s="6">
        <f>(Table1[[#This Row],[Linear Features (km)]]*1)*100</f>
        <v>3110</v>
      </c>
      <c r="R118" s="7">
        <v>5.09</v>
      </c>
      <c r="S118" s="8">
        <f>Table1[[#This Row],[ATG (ha)]]/Table1[[#This Row],[Linear Area (ha)]]</f>
        <v>1.6366559485530546E-3</v>
      </c>
      <c r="T118" s="26" t="s">
        <v>136</v>
      </c>
      <c r="U118" s="9" t="s">
        <v>22</v>
      </c>
      <c r="V118" s="7" t="s">
        <v>22</v>
      </c>
      <c r="W118" s="7" t="s">
        <v>22</v>
      </c>
      <c r="X118" s="31">
        <v>15730.857072651401</v>
      </c>
      <c r="Y118" s="27">
        <f>Table1[[#This Row],[Raw Terrestrial Score]]/Table1[[#This Row],[Summed Raw Scores]]</f>
        <v>0.481770244258867</v>
      </c>
      <c r="Z118" s="31">
        <v>16921.340235322699</v>
      </c>
      <c r="AA118" s="27">
        <f>Table1[[#This Row],[Raw Freshwater Score]]/Table1[[#This Row],[Summed Raw Scores]]</f>
        <v>0.51822975574113306</v>
      </c>
      <c r="AB118" s="27">
        <f>Table1[[#This Row],[Raw Terrestrial Score]]+Table1[[#This Row],[Raw Freshwater Score]]</f>
        <v>32652.1973079741</v>
      </c>
      <c r="AC118" s="28">
        <f>Table1[[#This Row],[Terrestrial % of Summed Score]]*Table1[[#This Row],[Scaled Summed Score]]</f>
        <v>9.3275112988710454E-2</v>
      </c>
      <c r="AD118" s="28">
        <f>Table1[[#This Row],[Freshwater % of Summed Score]]*Table1[[#This Row],[Scaled Summed Score]]</f>
        <v>0.10033400691905921</v>
      </c>
      <c r="AE118" s="28">
        <f>Table1[[#This Row],[Summed Raw Scores]]/MAX(Table1[Summed Raw Scores])</f>
        <v>0.19360911990776966</v>
      </c>
      <c r="AF118" s="7"/>
    </row>
    <row r="119" spans="1:32" x14ac:dyDescent="0.3">
      <c r="A119" s="26" t="s">
        <v>202</v>
      </c>
      <c r="B119" s="26" t="s">
        <v>114</v>
      </c>
      <c r="C119" s="26" t="s">
        <v>25</v>
      </c>
      <c r="D119" s="26" t="s">
        <v>250</v>
      </c>
      <c r="E119" s="6">
        <v>50.762156240000003</v>
      </c>
      <c r="F119" s="6">
        <v>-121.717804</v>
      </c>
      <c r="G119" s="6">
        <v>48</v>
      </c>
      <c r="H119" s="26" t="s">
        <v>22</v>
      </c>
      <c r="I119" s="6">
        <v>12</v>
      </c>
      <c r="J119" s="6">
        <v>141.036</v>
      </c>
      <c r="K119" s="6">
        <v>88.914457851157948</v>
      </c>
      <c r="L119" s="6" t="s">
        <v>22</v>
      </c>
      <c r="M119" s="6">
        <v>0.74142138671900004</v>
      </c>
      <c r="N119" s="6">
        <v>15.603658203125001</v>
      </c>
      <c r="O119" s="6">
        <f>Table1[[#This Row],[R1 Length (km)]]+Table1[[#This Row],[T1 Length (km)]]</f>
        <v>16.345079589844001</v>
      </c>
      <c r="P119" s="26">
        <v>69</v>
      </c>
      <c r="Q119" s="6">
        <f>(Table1[[#This Row],[Linear Features (km)]]*1)*100</f>
        <v>1634.5079589844001</v>
      </c>
      <c r="R119" s="7">
        <f>((PI()*(45^2))*Table1[[#This Row],[Number of Turbines - WIND]])/10000</f>
        <v>6.3617251235193315</v>
      </c>
      <c r="S119" s="8">
        <f>Table1[[#This Row],[ATG (ha)]]/Table1[[#This Row],[Linear Area (ha)]]</f>
        <v>3.8921346871092525E-3</v>
      </c>
      <c r="T119" s="26" t="s">
        <v>115</v>
      </c>
      <c r="U119" s="26">
        <v>10</v>
      </c>
      <c r="V119" s="7" t="s">
        <v>22</v>
      </c>
      <c r="W119" s="7" t="s">
        <v>22</v>
      </c>
      <c r="X119" s="31">
        <f>3294.25795625709+[1]plateau_average_sums!$B$46</f>
        <v>3318.6244263574758</v>
      </c>
      <c r="Y119" s="27">
        <f>Table1[[#This Row],[Raw Terrestrial Score]]/Table1[[#This Row],[Summed Raw Scores]]</f>
        <v>0.54388723279855644</v>
      </c>
      <c r="Z119" s="31">
        <f>2748.34744295478+[2]plateau_average_sums!$B$46</f>
        <v>2783.0529549658313</v>
      </c>
      <c r="AA119" s="27">
        <f>Table1[[#This Row],[Raw Freshwater Score]]/Table1[[#This Row],[Summed Raw Scores]]</f>
        <v>0.45611276720144356</v>
      </c>
      <c r="AB119" s="27">
        <f>Table1[[#This Row],[Raw Terrestrial Score]]+Table1[[#This Row],[Raw Freshwater Score]]</f>
        <v>6101.6773813233067</v>
      </c>
      <c r="AC119" s="28">
        <f>Table1[[#This Row],[Terrestrial % of Summed Score]]*Table1[[#This Row],[Scaled Summed Score]]</f>
        <v>1.9677571724540172E-2</v>
      </c>
      <c r="AD119" s="28">
        <f>Table1[[#This Row],[Freshwater % of Summed Score]]*Table1[[#This Row],[Scaled Summed Score]]</f>
        <v>1.6501934867827844E-2</v>
      </c>
      <c r="AE119" s="28">
        <f>Table1[[#This Row],[Summed Raw Scores]]/MAX(Table1[Summed Raw Scores])</f>
        <v>3.6179506592368016E-2</v>
      </c>
      <c r="AF119" s="7"/>
    </row>
    <row r="120" spans="1:32" hidden="1" x14ac:dyDescent="0.3">
      <c r="A120" s="26" t="s">
        <v>203</v>
      </c>
      <c r="B120" s="26" t="s">
        <v>114</v>
      </c>
      <c r="C120" s="26" t="s">
        <v>25</v>
      </c>
      <c r="D120" s="26" t="s">
        <v>250</v>
      </c>
      <c r="E120" s="6">
        <v>50.152938370000001</v>
      </c>
      <c r="F120" s="6">
        <v>-121.27388120000001</v>
      </c>
      <c r="G120" s="6">
        <v>192</v>
      </c>
      <c r="H120" s="26" t="s">
        <v>22</v>
      </c>
      <c r="I120" s="6">
        <v>46.8</v>
      </c>
      <c r="J120" s="6">
        <v>671.15178000000003</v>
      </c>
      <c r="K120" s="6">
        <v>77.926025114283874</v>
      </c>
      <c r="L120" s="6" t="s">
        <v>22</v>
      </c>
      <c r="M120" s="6">
        <v>2.7</v>
      </c>
      <c r="N120" s="6">
        <v>80.900000000000006</v>
      </c>
      <c r="O120" s="6">
        <f>Table1[[#This Row],[R1 Length (km)]]+Table1[[#This Row],[T1 Length (km)]]</f>
        <v>83.600000000000009</v>
      </c>
      <c r="P120" s="26">
        <v>230</v>
      </c>
      <c r="Q120" s="6">
        <f>(Table1[[#This Row],[Linear Features (km)]]*1)*100</f>
        <v>8360</v>
      </c>
      <c r="R120" s="7">
        <v>24.81</v>
      </c>
      <c r="S120" s="8">
        <f>Table1[[#This Row],[ATG (ha)]]/Table1[[#This Row],[Linear Area (ha)]]</f>
        <v>2.9677033492822966E-3</v>
      </c>
      <c r="T120" s="26" t="s">
        <v>136</v>
      </c>
      <c r="U120" s="9" t="s">
        <v>22</v>
      </c>
      <c r="V120" s="7" t="s">
        <v>22</v>
      </c>
      <c r="W120" s="7" t="s">
        <v>22</v>
      </c>
      <c r="X120" s="31">
        <v>9612.6244885027409</v>
      </c>
      <c r="Y120" s="27">
        <f>Table1[[#This Row],[Raw Terrestrial Score]]/Table1[[#This Row],[Summed Raw Scores]]</f>
        <v>0.35935073102407655</v>
      </c>
      <c r="Z120" s="31">
        <v>17137.354455769098</v>
      </c>
      <c r="AA120" s="27">
        <f>Table1[[#This Row],[Raw Freshwater Score]]/Table1[[#This Row],[Summed Raw Scores]]</f>
        <v>0.64064926897592345</v>
      </c>
      <c r="AB120" s="27">
        <f>Table1[[#This Row],[Raw Terrestrial Score]]+Table1[[#This Row],[Raw Freshwater Score]]</f>
        <v>26749.978944271839</v>
      </c>
      <c r="AC120" s="28">
        <f>Table1[[#This Row],[Terrestrial % of Summed Score]]*Table1[[#This Row],[Scaled Summed Score]]</f>
        <v>5.6997443377827035E-2</v>
      </c>
      <c r="AD120" s="28">
        <f>Table1[[#This Row],[Freshwater % of Summed Score]]*Table1[[#This Row],[Scaled Summed Score]]</f>
        <v>0.10161484945206621</v>
      </c>
      <c r="AE120" s="28">
        <f>Table1[[#This Row],[Summed Raw Scores]]/MAX(Table1[Summed Raw Scores])</f>
        <v>0.15861229282989325</v>
      </c>
      <c r="AF120" s="7"/>
    </row>
    <row r="121" spans="1:32" hidden="1" x14ac:dyDescent="0.3">
      <c r="A121" s="26" t="s">
        <v>204</v>
      </c>
      <c r="B121" s="26" t="s">
        <v>114</v>
      </c>
      <c r="C121" s="26" t="s">
        <v>32</v>
      </c>
      <c r="D121" s="26"/>
      <c r="E121" s="6">
        <v>49.827369490000002</v>
      </c>
      <c r="F121" s="6">
        <v>-121.24361380000001</v>
      </c>
      <c r="G121" s="6">
        <v>87</v>
      </c>
      <c r="H121" s="26" t="s">
        <v>22</v>
      </c>
      <c r="I121" s="6">
        <v>21.599999999999998</v>
      </c>
      <c r="J121" s="6">
        <v>271.44612000000001</v>
      </c>
      <c r="K121" s="6">
        <v>100.79640958290931</v>
      </c>
      <c r="L121" s="6" t="s">
        <v>22</v>
      </c>
      <c r="M121" s="6">
        <v>1.02426416016</v>
      </c>
      <c r="N121" s="6">
        <v>76.394023437499996</v>
      </c>
      <c r="O121" s="6">
        <f>Table1[[#This Row],[R1 Length (km)]]+Table1[[#This Row],[T1 Length (km)]]</f>
        <v>77.418287597659997</v>
      </c>
      <c r="P121" s="26">
        <v>130</v>
      </c>
      <c r="Q121" s="6">
        <f>(Table1[[#This Row],[Linear Features (km)]]*1)*100</f>
        <v>7741.8287597660001</v>
      </c>
      <c r="R121" s="7">
        <f>1273528/10000</f>
        <v>127.3528</v>
      </c>
      <c r="S121" s="8">
        <f>Table1[[#This Row],[ATG (ha)]]/Table1[[#This Row],[Linear Area (ha)]]</f>
        <v>1.6449963432651447E-2</v>
      </c>
      <c r="T121" s="26" t="s">
        <v>136</v>
      </c>
      <c r="U121" s="9" t="s">
        <v>22</v>
      </c>
      <c r="V121" s="7" t="s">
        <v>22</v>
      </c>
      <c r="W121" s="7" t="s">
        <v>22</v>
      </c>
      <c r="X121" s="31">
        <v>22295.192578006499</v>
      </c>
      <c r="Y121" s="27">
        <f>Table1[[#This Row],[Raw Terrestrial Score]]/Table1[[#This Row],[Summed Raw Scores]]</f>
        <v>0.51024847622953495</v>
      </c>
      <c r="Z121" s="31">
        <v>21399.582843482502</v>
      </c>
      <c r="AA121" s="27">
        <f>Table1[[#This Row],[Raw Freshwater Score]]/Table1[[#This Row],[Summed Raw Scores]]</f>
        <v>0.48975152377046505</v>
      </c>
      <c r="AB121" s="27">
        <f>Table1[[#This Row],[Raw Terrestrial Score]]+Table1[[#This Row],[Raw Freshwater Score]]</f>
        <v>43694.775421489001</v>
      </c>
      <c r="AC121" s="28">
        <f>Table1[[#This Row],[Terrestrial % of Summed Score]]*Table1[[#This Row],[Scaled Summed Score]]</f>
        <v>0.13219792139832245</v>
      </c>
      <c r="AD121" s="28">
        <f>Table1[[#This Row],[Freshwater % of Summed Score]]*Table1[[#This Row],[Scaled Summed Score]]</f>
        <v>0.12688746063984616</v>
      </c>
      <c r="AE121" s="28">
        <f>Table1[[#This Row],[Summed Raw Scores]]/MAX(Table1[Summed Raw Scores])</f>
        <v>0.25908538203816861</v>
      </c>
      <c r="AF121" s="7"/>
    </row>
    <row r="122" spans="1:32" hidden="1" x14ac:dyDescent="0.3">
      <c r="A122" s="26" t="s">
        <v>205</v>
      </c>
      <c r="B122" s="26" t="s">
        <v>114</v>
      </c>
      <c r="C122" s="26" t="s">
        <v>25</v>
      </c>
      <c r="D122" s="26" t="s">
        <v>250</v>
      </c>
      <c r="E122" s="6">
        <v>49.717218209999999</v>
      </c>
      <c r="F122" s="6">
        <v>-120.94528649999999</v>
      </c>
      <c r="G122" s="6">
        <v>87</v>
      </c>
      <c r="H122" s="26" t="s">
        <v>22</v>
      </c>
      <c r="I122" s="6">
        <v>21.599999999999998</v>
      </c>
      <c r="J122" s="6">
        <v>282.40487999999999</v>
      </c>
      <c r="K122" s="6">
        <v>95.046143232935094</v>
      </c>
      <c r="L122" s="6" t="s">
        <v>22</v>
      </c>
      <c r="M122" s="6">
        <v>0.88284277343799999</v>
      </c>
      <c r="N122" s="6">
        <v>69.087421875000004</v>
      </c>
      <c r="O122" s="6">
        <f>Table1[[#This Row],[R1 Length (km)]]+Table1[[#This Row],[T1 Length (km)]]</f>
        <v>69.970264648438004</v>
      </c>
      <c r="P122" s="26">
        <v>130</v>
      </c>
      <c r="Q122" s="6">
        <f>(Table1[[#This Row],[Linear Features (km)]]*1)*100</f>
        <v>6997.0264648438006</v>
      </c>
      <c r="R122" s="7">
        <v>11.45</v>
      </c>
      <c r="S122" s="8">
        <f>Table1[[#This Row],[ATG (ha)]]/Table1[[#This Row],[Linear Area (ha)]]</f>
        <v>1.6364094172760294E-3</v>
      </c>
      <c r="T122" s="26" t="s">
        <v>136</v>
      </c>
      <c r="U122" s="9" t="s">
        <v>22</v>
      </c>
      <c r="V122" s="7" t="s">
        <v>22</v>
      </c>
      <c r="W122" s="7" t="s">
        <v>22</v>
      </c>
      <c r="X122" s="31">
        <v>19352.677699117001</v>
      </c>
      <c r="Y122" s="27">
        <f>Table1[[#This Row],[Raw Terrestrial Score]]/Table1[[#This Row],[Summed Raw Scores]]</f>
        <v>0.36581887585304984</v>
      </c>
      <c r="Z122" s="31">
        <v>33549.670912579597</v>
      </c>
      <c r="AA122" s="27">
        <f>Table1[[#This Row],[Raw Freshwater Score]]/Table1[[#This Row],[Summed Raw Scores]]</f>
        <v>0.63418112414695016</v>
      </c>
      <c r="AB122" s="27">
        <f>Table1[[#This Row],[Raw Terrestrial Score]]+Table1[[#This Row],[Raw Freshwater Score]]</f>
        <v>52902.348611696594</v>
      </c>
      <c r="AC122" s="28">
        <f>Table1[[#This Row],[Terrestrial % of Summed Score]]*Table1[[#This Row],[Scaled Summed Score]]</f>
        <v>0.114750467230263</v>
      </c>
      <c r="AD122" s="28">
        <f>Table1[[#This Row],[Freshwater % of Summed Score]]*Table1[[#This Row],[Scaled Summed Score]]</f>
        <v>0.19893063236493252</v>
      </c>
      <c r="AE122" s="28">
        <f>Table1[[#This Row],[Summed Raw Scores]]/MAX(Table1[Summed Raw Scores])</f>
        <v>0.31368109959519552</v>
      </c>
      <c r="AF122" s="7"/>
    </row>
    <row r="123" spans="1:32" hidden="1" x14ac:dyDescent="0.3">
      <c r="A123" s="26" t="s">
        <v>206</v>
      </c>
      <c r="B123" s="26" t="s">
        <v>114</v>
      </c>
      <c r="C123" s="26" t="s">
        <v>25</v>
      </c>
      <c r="D123" s="26" t="s">
        <v>250</v>
      </c>
      <c r="E123" s="6">
        <v>49.421347300000001</v>
      </c>
      <c r="F123" s="6">
        <v>-120.8643541</v>
      </c>
      <c r="G123" s="6">
        <v>117</v>
      </c>
      <c r="H123" s="26" t="s">
        <v>22</v>
      </c>
      <c r="I123" s="6">
        <v>27.599999999999998</v>
      </c>
      <c r="J123" s="6">
        <v>333.34866000000005</v>
      </c>
      <c r="K123" s="6">
        <v>90.442200022550978</v>
      </c>
      <c r="L123" s="6" t="s">
        <v>22</v>
      </c>
      <c r="M123" s="6">
        <v>1.3899495849600001</v>
      </c>
      <c r="N123" s="6">
        <v>98.132296874999994</v>
      </c>
      <c r="O123" s="6">
        <f>Table1[[#This Row],[R1 Length (km)]]+Table1[[#This Row],[T1 Length (km)]]</f>
        <v>99.522246459960002</v>
      </c>
      <c r="P123" s="26">
        <v>130</v>
      </c>
      <c r="Q123" s="6">
        <f>(Table1[[#This Row],[Linear Features (km)]]*1)*100</f>
        <v>9952.2246459960006</v>
      </c>
      <c r="R123" s="7">
        <v>14.63</v>
      </c>
      <c r="S123" s="8">
        <f>Table1[[#This Row],[ATG (ha)]]/Table1[[#This Row],[Linear Area (ha)]]</f>
        <v>1.4700230873391682E-3</v>
      </c>
      <c r="T123" s="26" t="s">
        <v>136</v>
      </c>
      <c r="U123" s="9" t="s">
        <v>22</v>
      </c>
      <c r="V123" s="7" t="s">
        <v>22</v>
      </c>
      <c r="W123" s="7" t="s">
        <v>22</v>
      </c>
      <c r="X123" s="31">
        <v>19955.473386336998</v>
      </c>
      <c r="Y123" s="27">
        <f>Table1[[#This Row],[Raw Terrestrial Score]]/Table1[[#This Row],[Summed Raw Scores]]</f>
        <v>0.6175288936635952</v>
      </c>
      <c r="Z123" s="31">
        <v>12359.5706401016</v>
      </c>
      <c r="AA123" s="27">
        <f>Table1[[#This Row],[Raw Freshwater Score]]/Table1[[#This Row],[Summed Raw Scores]]</f>
        <v>0.3824711063364048</v>
      </c>
      <c r="AB123" s="27">
        <f>Table1[[#This Row],[Raw Terrestrial Score]]+Table1[[#This Row],[Raw Freshwater Score]]</f>
        <v>32315.044026438598</v>
      </c>
      <c r="AC123" s="28">
        <f>Table1[[#This Row],[Terrestrial % of Summed Score]]*Table1[[#This Row],[Scaled Summed Score]]</f>
        <v>0.11832470578413702</v>
      </c>
      <c r="AD123" s="28">
        <f>Table1[[#This Row],[Freshwater % of Summed Score]]*Table1[[#This Row],[Scaled Summed Score]]</f>
        <v>7.328528525961088E-2</v>
      </c>
      <c r="AE123" s="28">
        <f>Table1[[#This Row],[Summed Raw Scores]]/MAX(Table1[Summed Raw Scores])</f>
        <v>0.1916099910437479</v>
      </c>
      <c r="AF123" s="7"/>
    </row>
    <row r="124" spans="1:32" x14ac:dyDescent="0.3">
      <c r="A124" s="26" t="s">
        <v>207</v>
      </c>
      <c r="B124" s="26" t="s">
        <v>114</v>
      </c>
      <c r="C124" s="26" t="s">
        <v>25</v>
      </c>
      <c r="D124" s="26" t="s">
        <v>250</v>
      </c>
      <c r="E124" s="6">
        <v>49.315802069999997</v>
      </c>
      <c r="F124" s="6">
        <v>-120.7780903</v>
      </c>
      <c r="G124" s="6">
        <v>150</v>
      </c>
      <c r="H124" s="26" t="s">
        <v>22</v>
      </c>
      <c r="I124" s="6">
        <v>36</v>
      </c>
      <c r="J124" s="6">
        <v>428.36399999999998</v>
      </c>
      <c r="K124" s="6">
        <v>86.437385455994203</v>
      </c>
      <c r="L124" s="6" t="s">
        <v>22</v>
      </c>
      <c r="M124" s="6">
        <v>0.9</v>
      </c>
      <c r="N124" s="6">
        <v>106.2</v>
      </c>
      <c r="O124" s="6">
        <f>Table1[[#This Row],[R1 Length (km)]]+Table1[[#This Row],[T1 Length (km)]]</f>
        <v>107.10000000000001</v>
      </c>
      <c r="P124" s="26">
        <v>130</v>
      </c>
      <c r="Q124" s="6">
        <f>(Table1[[#This Row],[Linear Features (km)]]*1)*100</f>
        <v>10710</v>
      </c>
      <c r="R124" s="7">
        <f>((PI()*(45^2))*Table1[[#This Row],[Number of Turbines - WIND]])/10000</f>
        <v>19.085175370557995</v>
      </c>
      <c r="S124" s="8">
        <f>Table1[[#This Row],[ATG (ha)]]/Table1[[#This Row],[Linear Area (ha)]]</f>
        <v>1.7819958329185802E-3</v>
      </c>
      <c r="T124" s="26" t="s">
        <v>115</v>
      </c>
      <c r="U124" s="26">
        <v>30</v>
      </c>
      <c r="V124" s="7" t="s">
        <v>22</v>
      </c>
      <c r="W124" s="7" t="s">
        <v>22</v>
      </c>
      <c r="X124" s="31">
        <f>17995.8068992263+[1]plateau_average_sums!$B$47</f>
        <v>18006.715071967479</v>
      </c>
      <c r="Y124" s="27">
        <f>Table1[[#This Row],[Raw Terrestrial Score]]/Table1[[#This Row],[Summed Raw Scores]]</f>
        <v>0.58473075282143572</v>
      </c>
      <c r="Z124" s="31">
        <f>12783.2802442363+[2]plateau_average_sums!$B$47</f>
        <v>12788.167846506873</v>
      </c>
      <c r="AA124" s="27">
        <f>Table1[[#This Row],[Raw Freshwater Score]]/Table1[[#This Row],[Summed Raw Scores]]</f>
        <v>0.41526924717856428</v>
      </c>
      <c r="AB124" s="27">
        <f>Table1[[#This Row],[Raw Terrestrial Score]]+Table1[[#This Row],[Raw Freshwater Score]]</f>
        <v>30794.882918474352</v>
      </c>
      <c r="AC124" s="28">
        <f>Table1[[#This Row],[Terrestrial % of Summed Score]]*Table1[[#This Row],[Scaled Summed Score]]</f>
        <v>0.10676966773878348</v>
      </c>
      <c r="AD124" s="28">
        <f>Table1[[#This Row],[Freshwater % of Summed Score]]*Table1[[#This Row],[Scaled Summed Score]]</f>
        <v>7.582662503973002E-2</v>
      </c>
      <c r="AE124" s="28">
        <f>Table1[[#This Row],[Summed Raw Scores]]/MAX(Table1[Summed Raw Scores])</f>
        <v>0.1825962927785135</v>
      </c>
      <c r="AF124" s="7"/>
    </row>
    <row r="125" spans="1:32" x14ac:dyDescent="0.3">
      <c r="A125" s="26" t="s">
        <v>208</v>
      </c>
      <c r="B125" s="26" t="s">
        <v>114</v>
      </c>
      <c r="C125" s="26" t="s">
        <v>25</v>
      </c>
      <c r="D125" s="26"/>
      <c r="E125" s="6">
        <v>49.23297204</v>
      </c>
      <c r="F125" s="6">
        <v>-120.2964695</v>
      </c>
      <c r="G125" s="6">
        <v>144</v>
      </c>
      <c r="H125" s="26" t="s">
        <v>22</v>
      </c>
      <c r="I125" s="6">
        <v>34.799999999999997</v>
      </c>
      <c r="J125" s="6">
        <v>372.04158000000001</v>
      </c>
      <c r="K125" s="6">
        <v>100.9320839148305</v>
      </c>
      <c r="L125" s="6" t="s">
        <v>22</v>
      </c>
      <c r="M125" s="6">
        <v>9.308326171880001</v>
      </c>
      <c r="N125" s="6">
        <v>90.772703125000007</v>
      </c>
      <c r="O125" s="6">
        <f>Table1[[#This Row],[R1 Length (km)]]+Table1[[#This Row],[T1 Length (km)]]</f>
        <v>100.08102929688</v>
      </c>
      <c r="P125" s="26">
        <v>130</v>
      </c>
      <c r="Q125" s="6">
        <f>(Table1[[#This Row],[Linear Features (km)]]*1)*100</f>
        <v>10008.102929688001</v>
      </c>
      <c r="R125" s="7">
        <f>((PI()*(45^2))*Table1[[#This Row],[Number of Turbines - WIND]])/10000</f>
        <v>18.449002858206061</v>
      </c>
      <c r="S125" s="8">
        <f>Table1[[#This Row],[ATG (ha)]]/Table1[[#This Row],[Linear Area (ha)]]</f>
        <v>1.8434065864249862E-3</v>
      </c>
      <c r="T125" s="26" t="s">
        <v>115</v>
      </c>
      <c r="U125" s="26">
        <v>29</v>
      </c>
      <c r="V125" s="7" t="s">
        <v>22</v>
      </c>
      <c r="W125" s="7" t="s">
        <v>22</v>
      </c>
      <c r="X125" s="31">
        <f>48310.0474011991+[1]plateau_average_sums!$B$48</f>
        <v>48368.419662679473</v>
      </c>
      <c r="Y125" s="27">
        <f>Table1[[#This Row],[Raw Terrestrial Score]]/Table1[[#This Row],[Summed Raw Scores]]</f>
        <v>0.88224329964131598</v>
      </c>
      <c r="Z125" s="31">
        <f>6451.99318253901+[2]plateau_average_sums!$B$48</f>
        <v>6455.9351183022527</v>
      </c>
      <c r="AA125" s="27">
        <f>Table1[[#This Row],[Raw Freshwater Score]]/Table1[[#This Row],[Summed Raw Scores]]</f>
        <v>0.11775670035868406</v>
      </c>
      <c r="AB125" s="27">
        <f>Table1[[#This Row],[Raw Terrestrial Score]]+Table1[[#This Row],[Raw Freshwater Score]]</f>
        <v>54824.354780981725</v>
      </c>
      <c r="AC125" s="28">
        <f>Table1[[#This Row],[Terrestrial % of Summed Score]]*Table1[[#This Row],[Scaled Summed Score]]</f>
        <v>0.2867974572704815</v>
      </c>
      <c r="AD125" s="28">
        <f>Table1[[#This Row],[Freshwater % of Summed Score]]*Table1[[#This Row],[Scaled Summed Score]]</f>
        <v>3.8280055233248053E-2</v>
      </c>
      <c r="AE125" s="28">
        <f>Table1[[#This Row],[Summed Raw Scores]]/MAX(Table1[Summed Raw Scores])</f>
        <v>0.32507751250372957</v>
      </c>
      <c r="AF125" s="7"/>
    </row>
    <row r="126" spans="1:32" x14ac:dyDescent="0.3">
      <c r="A126" s="26" t="s">
        <v>209</v>
      </c>
      <c r="B126" s="26" t="s">
        <v>114</v>
      </c>
      <c r="C126" s="26" t="s">
        <v>40</v>
      </c>
      <c r="D126" s="26"/>
      <c r="E126" s="6">
        <v>49.587992069999999</v>
      </c>
      <c r="F126" s="6">
        <v>-119.3495849</v>
      </c>
      <c r="G126" s="6">
        <v>48</v>
      </c>
      <c r="H126" s="26" t="s">
        <v>22</v>
      </c>
      <c r="I126" s="6">
        <v>12</v>
      </c>
      <c r="J126" s="6">
        <v>120.1434</v>
      </c>
      <c r="K126" s="6">
        <v>114.20171138822596</v>
      </c>
      <c r="L126" s="6" t="s">
        <v>22</v>
      </c>
      <c r="M126" s="6">
        <v>0.52426403808599997</v>
      </c>
      <c r="N126" s="6">
        <v>57.958789062500003</v>
      </c>
      <c r="O126" s="6">
        <f>Table1[[#This Row],[R1 Length (km)]]+Table1[[#This Row],[T1 Length (km)]]</f>
        <v>58.483053100586005</v>
      </c>
      <c r="P126" s="26">
        <v>69</v>
      </c>
      <c r="Q126" s="6">
        <f>(Table1[[#This Row],[Linear Features (km)]]*1)*100</f>
        <v>5848.3053100586003</v>
      </c>
      <c r="R126" s="7">
        <f>((PI()*(45^2))*Table1[[#This Row],[Number of Turbines - WIND]])/10000</f>
        <v>6.3617251235193315</v>
      </c>
      <c r="S126" s="8">
        <f>Table1[[#This Row],[ATG (ha)]]/Table1[[#This Row],[Linear Area (ha)]]</f>
        <v>1.0877895024696627E-3</v>
      </c>
      <c r="T126" s="26" t="s">
        <v>115</v>
      </c>
      <c r="U126" s="26">
        <v>10</v>
      </c>
      <c r="V126" s="7" t="s">
        <v>22</v>
      </c>
      <c r="W126" s="7" t="s">
        <v>22</v>
      </c>
      <c r="X126" s="31">
        <f>40037.4622160196+[1]plateau_average_sums!$B$49</f>
        <v>40091.960450404404</v>
      </c>
      <c r="Y126" s="27">
        <f>Table1[[#This Row],[Raw Terrestrial Score]]/Table1[[#This Row],[Summed Raw Scores]]</f>
        <v>0.72459197328829417</v>
      </c>
      <c r="Z126" s="31">
        <f>15235.1836217907+[2]plateau_average_sums!$B$49</f>
        <v>15238.435038882879</v>
      </c>
      <c r="AA126" s="27">
        <f>Table1[[#This Row],[Raw Freshwater Score]]/Table1[[#This Row],[Summed Raw Scores]]</f>
        <v>0.27540802671170578</v>
      </c>
      <c r="AB126" s="27">
        <f>Table1[[#This Row],[Raw Terrestrial Score]]+Table1[[#This Row],[Raw Freshwater Score]]</f>
        <v>55330.395489287286</v>
      </c>
      <c r="AC126" s="28">
        <f>Table1[[#This Row],[Terrestrial % of Summed Score]]*Table1[[#This Row],[Scaled Summed Score]]</f>
        <v>0.23772272061715982</v>
      </c>
      <c r="AD126" s="28">
        <f>Table1[[#This Row],[Freshwater % of Summed Score]]*Table1[[#This Row],[Scaled Summed Score]]</f>
        <v>9.0355327968367122E-2</v>
      </c>
      <c r="AE126" s="28">
        <f>Table1[[#This Row],[Summed Raw Scores]]/MAX(Table1[Summed Raw Scores])</f>
        <v>0.32807804858552697</v>
      </c>
      <c r="AF126" s="7"/>
    </row>
    <row r="127" spans="1:32" hidden="1" x14ac:dyDescent="0.3">
      <c r="A127" s="26" t="s">
        <v>210</v>
      </c>
      <c r="B127" s="26" t="s">
        <v>114</v>
      </c>
      <c r="C127" s="26" t="s">
        <v>95</v>
      </c>
      <c r="D127" s="26" t="s">
        <v>250</v>
      </c>
      <c r="E127" s="6">
        <v>49.338748189999997</v>
      </c>
      <c r="F127" s="6">
        <v>-115.9994731</v>
      </c>
      <c r="G127" s="6">
        <v>33</v>
      </c>
      <c r="H127" s="26" t="s">
        <v>22</v>
      </c>
      <c r="I127" s="6">
        <v>8.4</v>
      </c>
      <c r="J127" s="6">
        <v>97.314840000000018</v>
      </c>
      <c r="K127" s="6">
        <v>97.013018779307032</v>
      </c>
      <c r="L127" s="6" t="s">
        <v>22</v>
      </c>
      <c r="M127" s="6">
        <v>1.2656854248</v>
      </c>
      <c r="N127" s="6">
        <v>15.8698486328125</v>
      </c>
      <c r="O127" s="6">
        <f>Table1[[#This Row],[R1 Length (km)]]+Table1[[#This Row],[T1 Length (km)]]</f>
        <v>17.135534057612499</v>
      </c>
      <c r="P127" s="26">
        <v>69</v>
      </c>
      <c r="Q127" s="6">
        <f>(Table1[[#This Row],[Linear Features (km)]]*1)*100</f>
        <v>1713.5534057612499</v>
      </c>
      <c r="R127" s="7">
        <v>4.45</v>
      </c>
      <c r="S127" s="8">
        <f>Table1[[#This Row],[ATG (ha)]]/Table1[[#This Row],[Linear Area (ha)]]</f>
        <v>2.5969426952427419E-3</v>
      </c>
      <c r="T127" s="26" t="s">
        <v>136</v>
      </c>
      <c r="U127" s="9" t="s">
        <v>22</v>
      </c>
      <c r="V127" s="7" t="s">
        <v>22</v>
      </c>
      <c r="W127" s="7" t="s">
        <v>22</v>
      </c>
      <c r="X127" s="31">
        <v>5383.4348682239697</v>
      </c>
      <c r="Y127" s="27">
        <f>Table1[[#This Row],[Raw Terrestrial Score]]/Table1[[#This Row],[Summed Raw Scores]]</f>
        <v>0.69622689488345335</v>
      </c>
      <c r="Z127" s="31">
        <v>2348.8646275103101</v>
      </c>
      <c r="AA127" s="27">
        <f>Table1[[#This Row],[Raw Freshwater Score]]/Table1[[#This Row],[Summed Raw Scores]]</f>
        <v>0.30377310511654665</v>
      </c>
      <c r="AB127" s="27">
        <f>Table1[[#This Row],[Raw Terrestrial Score]]+Table1[[#This Row],[Raw Freshwater Score]]</f>
        <v>7732.2994957342798</v>
      </c>
      <c r="AC127" s="28">
        <f>Table1[[#This Row],[Terrestrial % of Summed Score]]*Table1[[#This Row],[Scaled Summed Score]]</f>
        <v>3.1920733452848016E-2</v>
      </c>
      <c r="AD127" s="28">
        <f>Table1[[#This Row],[Freshwater % of Summed Score]]*Table1[[#This Row],[Scaled Summed Score]]</f>
        <v>1.3927442892295139E-2</v>
      </c>
      <c r="AE127" s="28">
        <f>Table1[[#This Row],[Summed Raw Scores]]/MAX(Table1[Summed Raw Scores])</f>
        <v>4.5848176345143155E-2</v>
      </c>
      <c r="AF127" s="7"/>
    </row>
    <row r="128" spans="1:32" hidden="1" x14ac:dyDescent="0.3">
      <c r="A128" s="26" t="s">
        <v>211</v>
      </c>
      <c r="B128" s="26" t="s">
        <v>114</v>
      </c>
      <c r="C128" s="26" t="s">
        <v>95</v>
      </c>
      <c r="D128" s="26"/>
      <c r="E128" s="6">
        <v>49.342589940000003</v>
      </c>
      <c r="F128" s="6">
        <v>-115.73614329999999</v>
      </c>
      <c r="G128" s="6">
        <v>102</v>
      </c>
      <c r="H128" s="26" t="s">
        <v>22</v>
      </c>
      <c r="I128" s="6">
        <v>25.2</v>
      </c>
      <c r="J128" s="6">
        <v>263.98259999999999</v>
      </c>
      <c r="K128" s="6">
        <v>96.934119051467661</v>
      </c>
      <c r="L128" s="6" t="s">
        <v>22</v>
      </c>
      <c r="M128" s="6">
        <v>0.76568542480500001</v>
      </c>
      <c r="N128" s="6">
        <v>22.679394531250001</v>
      </c>
      <c r="O128" s="6">
        <f>Table1[[#This Row],[R1 Length (km)]]+Table1[[#This Row],[T1 Length (km)]]</f>
        <v>23.445079956055</v>
      </c>
      <c r="P128" s="26">
        <v>230</v>
      </c>
      <c r="Q128" s="6">
        <f>(Table1[[#This Row],[Linear Features (km)]]*1)*100</f>
        <v>2344.5079956055001</v>
      </c>
      <c r="R128" s="7">
        <f>((PI()*(45^2))*Table1[[#This Row],[Number of Turbines - WIND]])/10000</f>
        <v>13.359622759390593</v>
      </c>
      <c r="S128" s="8">
        <f>Table1[[#This Row],[ATG (ha)]]/Table1[[#This Row],[Linear Area (ha)]]</f>
        <v>5.6982628271823373E-3</v>
      </c>
      <c r="T128" s="26" t="s">
        <v>188</v>
      </c>
      <c r="U128" s="26">
        <v>21</v>
      </c>
      <c r="V128" s="7" t="s">
        <v>22</v>
      </c>
      <c r="W128" s="7" t="s">
        <v>22</v>
      </c>
      <c r="X128" s="31">
        <v>17014.018911272298</v>
      </c>
      <c r="Y128" s="27">
        <f>Table1[[#This Row],[Raw Terrestrial Score]]/Table1[[#This Row],[Summed Raw Scores]]</f>
        <v>0.88542176831030639</v>
      </c>
      <c r="Z128" s="31">
        <v>2201.70349381492</v>
      </c>
      <c r="AA128" s="27">
        <f>Table1[[#This Row],[Raw Freshwater Score]]/Table1[[#This Row],[Summed Raw Scores]]</f>
        <v>0.11457823168969362</v>
      </c>
      <c r="AB128" s="27">
        <f>Table1[[#This Row],[Raw Terrestrial Score]]+Table1[[#This Row],[Raw Freshwater Score]]</f>
        <v>19215.722405087217</v>
      </c>
      <c r="AC128" s="28">
        <f>Table1[[#This Row],[Terrestrial % of Summed Score]]*Table1[[#This Row],[Scaled Summed Score]]</f>
        <v>0.10088353921287631</v>
      </c>
      <c r="AD128" s="28">
        <f>Table1[[#This Row],[Freshwater % of Summed Score]]*Table1[[#This Row],[Scaled Summed Score]]</f>
        <v>1.3054860342622869E-2</v>
      </c>
      <c r="AE128" s="28">
        <f>Table1[[#This Row],[Summed Raw Scores]]/MAX(Table1[Summed Raw Scores])</f>
        <v>0.11393839955549917</v>
      </c>
      <c r="AF128" s="7"/>
    </row>
    <row r="129" spans="1:32" hidden="1" x14ac:dyDescent="0.3">
      <c r="A129" s="26" t="s">
        <v>107</v>
      </c>
      <c r="B129" s="26" t="s">
        <v>97</v>
      </c>
      <c r="C129" s="26" t="s">
        <v>32</v>
      </c>
      <c r="D129" s="26" t="s">
        <v>250</v>
      </c>
      <c r="E129" s="10">
        <v>49.29</v>
      </c>
      <c r="F129" s="10">
        <v>-121.4</v>
      </c>
      <c r="G129" s="6">
        <v>51.1</v>
      </c>
      <c r="H129" s="6">
        <v>40</v>
      </c>
      <c r="I129" s="6">
        <v>19</v>
      </c>
      <c r="J129" s="11">
        <v>251.3</v>
      </c>
      <c r="K129" s="11">
        <v>80.156438495857245</v>
      </c>
      <c r="L129" s="6" t="s">
        <v>22</v>
      </c>
      <c r="M129" s="10">
        <v>0</v>
      </c>
      <c r="N129" s="7">
        <v>13.058073580375128</v>
      </c>
      <c r="O129" s="7">
        <f>Table1[[#This Row],[R1 Length (km)]]+Table1[[#This Row],[T1 Length (km)]]</f>
        <v>13.058073580375128</v>
      </c>
      <c r="P129" s="9">
        <v>230</v>
      </c>
      <c r="Q129" s="7">
        <f>(Table1[[#This Row],[Linear Features (km)]]*1)*100</f>
        <v>1305.8073580375128</v>
      </c>
      <c r="R129" s="7">
        <v>13.06</v>
      </c>
      <c r="S129" s="8">
        <f>Table1[[#This Row],[ATG (ha)]]/Table1[[#This Row],[Linear Area (ha)]]</f>
        <v>1.0001475270921868E-2</v>
      </c>
      <c r="T129" s="9" t="s">
        <v>22</v>
      </c>
      <c r="U129" s="9" t="s">
        <v>22</v>
      </c>
      <c r="V129" s="7" t="s">
        <v>22</v>
      </c>
      <c r="W129" s="7" t="s">
        <v>22</v>
      </c>
      <c r="X129" s="31">
        <v>8542.6264247149193</v>
      </c>
      <c r="Y129" s="27">
        <f>Table1[[#This Row],[Raw Terrestrial Score]]/Table1[[#This Row],[Summed Raw Scores]]</f>
        <v>0.52006555717020431</v>
      </c>
      <c r="Z129" s="31">
        <v>7883.4304578006304</v>
      </c>
      <c r="AA129" s="27">
        <f>Table1[[#This Row],[Raw Freshwater Score]]/Table1[[#This Row],[Summed Raw Scores]]</f>
        <v>0.47993444282979564</v>
      </c>
      <c r="AB129" s="27">
        <f>Table1[[#This Row],[Raw Terrestrial Score]]+Table1[[#This Row],[Raw Freshwater Score]]</f>
        <v>16426.05688251555</v>
      </c>
      <c r="AC129" s="28">
        <f>Table1[[#This Row],[Terrestrial % of Summed Score]]*Table1[[#This Row],[Scaled Summed Score]]</f>
        <v>5.0652958151333985E-2</v>
      </c>
      <c r="AD129" s="28">
        <f>Table1[[#This Row],[Freshwater % of Summed Score]]*Table1[[#This Row],[Scaled Summed Score]]</f>
        <v>4.6744297738766323E-2</v>
      </c>
      <c r="AE129" s="28">
        <f>Table1[[#This Row],[Summed Raw Scores]]/MAX(Table1[Summed Raw Scores])</f>
        <v>9.7397255890100315E-2</v>
      </c>
      <c r="AF129" s="7"/>
    </row>
    <row r="130" spans="1:32" hidden="1" x14ac:dyDescent="0.3">
      <c r="A130" s="26" t="s">
        <v>108</v>
      </c>
      <c r="B130" s="26" t="s">
        <v>97</v>
      </c>
      <c r="C130" s="26" t="s">
        <v>32</v>
      </c>
      <c r="D130" s="26" t="s">
        <v>250</v>
      </c>
      <c r="E130" s="12">
        <v>49.58</v>
      </c>
      <c r="F130" s="12">
        <v>-121.35</v>
      </c>
      <c r="G130" s="6">
        <v>41.5</v>
      </c>
      <c r="H130" s="6">
        <v>40</v>
      </c>
      <c r="I130" s="6">
        <v>4</v>
      </c>
      <c r="J130" s="11">
        <v>61.7</v>
      </c>
      <c r="K130" s="11">
        <v>145.349752283105</v>
      </c>
      <c r="L130" s="6" t="s">
        <v>22</v>
      </c>
      <c r="M130" s="12">
        <v>0.72426406871269999</v>
      </c>
      <c r="N130" s="7">
        <v>14.961017305525326</v>
      </c>
      <c r="O130" s="7">
        <f>Table1[[#This Row],[R1 Length (km)]]+Table1[[#This Row],[T1 Length (km)]]</f>
        <v>15.685281374238025</v>
      </c>
      <c r="P130" s="9">
        <v>69</v>
      </c>
      <c r="Q130" s="7">
        <f>(Table1[[#This Row],[Linear Features (km)]]*1)*100</f>
        <v>1568.5281374238025</v>
      </c>
      <c r="R130" s="7">
        <v>14.96</v>
      </c>
      <c r="S130" s="8">
        <f>Table1[[#This Row],[ATG (ha)]]/Table1[[#This Row],[Linear Area (ha)]]</f>
        <v>9.537603848516707E-3</v>
      </c>
      <c r="T130" s="9" t="s">
        <v>22</v>
      </c>
      <c r="U130" s="9" t="s">
        <v>22</v>
      </c>
      <c r="V130" s="7" t="s">
        <v>22</v>
      </c>
      <c r="W130" s="7" t="s">
        <v>22</v>
      </c>
      <c r="X130" s="31">
        <v>12261.188118271501</v>
      </c>
      <c r="Y130" s="27">
        <f>Table1[[#This Row],[Raw Terrestrial Score]]/Table1[[#This Row],[Summed Raw Scores]]</f>
        <v>0.55251384409055004</v>
      </c>
      <c r="Z130" s="31">
        <v>9930.4515110552293</v>
      </c>
      <c r="AA130" s="27">
        <f>Table1[[#This Row],[Raw Freshwater Score]]/Table1[[#This Row],[Summed Raw Scores]]</f>
        <v>0.4474861559094499</v>
      </c>
      <c r="AB130" s="27">
        <f>Table1[[#This Row],[Raw Terrestrial Score]]+Table1[[#This Row],[Raw Freshwater Score]]</f>
        <v>22191.639629326732</v>
      </c>
      <c r="AC130" s="28">
        <f>Table1[[#This Row],[Terrestrial % of Summed Score]]*Table1[[#This Row],[Scaled Summed Score]]</f>
        <v>7.2701932375693917E-2</v>
      </c>
      <c r="AD130" s="28">
        <f>Table1[[#This Row],[Freshwater % of Summed Score]]*Table1[[#This Row],[Scaled Summed Score]]</f>
        <v>5.8881978422709501E-2</v>
      </c>
      <c r="AE130" s="28">
        <f>Table1[[#This Row],[Summed Raw Scores]]/MAX(Table1[Summed Raw Scores])</f>
        <v>0.13158391079840343</v>
      </c>
      <c r="AF130" s="7"/>
    </row>
    <row r="131" spans="1:32" hidden="1" x14ac:dyDescent="0.3">
      <c r="A131" s="26" t="s">
        <v>47</v>
      </c>
      <c r="B131" s="26" t="s">
        <v>42</v>
      </c>
      <c r="C131" s="26" t="s">
        <v>30</v>
      </c>
      <c r="D131" s="26"/>
      <c r="E131" s="6">
        <v>53.696828625899997</v>
      </c>
      <c r="F131" s="6">
        <v>-128.672318542</v>
      </c>
      <c r="G131" s="6">
        <v>1000</v>
      </c>
      <c r="H131" s="6" t="s">
        <v>22</v>
      </c>
      <c r="I131" s="6">
        <v>1000</v>
      </c>
      <c r="J131" s="26" t="s">
        <v>22</v>
      </c>
      <c r="K131" s="26" t="s">
        <v>22</v>
      </c>
      <c r="L131" s="6">
        <v>121.05029810000001</v>
      </c>
      <c r="M131" s="6">
        <v>3.0213203435615053</v>
      </c>
      <c r="N131" s="6">
        <v>86.858073580375986</v>
      </c>
      <c r="O131" s="6">
        <f>Table1[[#This Row],[R1 Length (km)]]+Table1[[#This Row],[T1 Length (km)]]</f>
        <v>89.879393923937485</v>
      </c>
      <c r="P131" s="26">
        <v>500</v>
      </c>
      <c r="Q131" s="6">
        <f>(Table1[[#This Row],[Linear Features (km)]]*1)*100</f>
        <v>8987.9393923937478</v>
      </c>
      <c r="R131" s="7">
        <v>109.5</v>
      </c>
      <c r="S131" s="8">
        <f>Table1[[#This Row],[ATG (ha)]]/Table1[[#This Row],[Linear Area (ha)]]</f>
        <v>1.2182992699379672E-2</v>
      </c>
      <c r="T131" s="9" t="s">
        <v>22</v>
      </c>
      <c r="U131" s="9" t="s">
        <v>22</v>
      </c>
      <c r="V131" s="7" t="s">
        <v>22</v>
      </c>
      <c r="W131" s="7" t="s">
        <v>22</v>
      </c>
      <c r="X131" s="31">
        <v>35230.175929899902</v>
      </c>
      <c r="Y131" s="27">
        <f>Table1[[#This Row],[Raw Terrestrial Score]]/Table1[[#This Row],[Summed Raw Scores]]</f>
        <v>0.55111859537544428</v>
      </c>
      <c r="Z131" s="31">
        <v>28694.6784036754</v>
      </c>
      <c r="AA131" s="27">
        <f>Table1[[#This Row],[Raw Freshwater Score]]/Table1[[#This Row],[Summed Raw Scores]]</f>
        <v>0.44888140462455572</v>
      </c>
      <c r="AB131" s="27">
        <f>Table1[[#This Row],[Raw Terrestrial Score]]+Table1[[#This Row],[Raw Freshwater Score]]</f>
        <v>63924.854333575306</v>
      </c>
      <c r="AC131" s="28">
        <f>Table1[[#This Row],[Terrestrial % of Summed Score]]*Table1[[#This Row],[Scaled Summed Score]]</f>
        <v>0.20889507960672715</v>
      </c>
      <c r="AD131" s="28">
        <f>Table1[[#This Row],[Freshwater % of Summed Score]]*Table1[[#This Row],[Scaled Summed Score]]</f>
        <v>0.170143264153783</v>
      </c>
      <c r="AE131" s="28">
        <f>Table1[[#This Row],[Summed Raw Scores]]/MAX(Table1[Summed Raw Scores])</f>
        <v>0.37903834376051015</v>
      </c>
      <c r="AF131" s="7"/>
    </row>
    <row r="132" spans="1:32" hidden="1" x14ac:dyDescent="0.3">
      <c r="A132" s="26" t="s">
        <v>35</v>
      </c>
      <c r="B132" s="26" t="s">
        <v>24</v>
      </c>
      <c r="C132" s="26" t="s">
        <v>32</v>
      </c>
      <c r="D132" s="26" t="s">
        <v>250</v>
      </c>
      <c r="E132" s="6">
        <v>49.736758000000002</v>
      </c>
      <c r="F132" s="6">
        <v>-122.303431</v>
      </c>
      <c r="G132" s="6">
        <v>10</v>
      </c>
      <c r="H132" s="6">
        <v>8</v>
      </c>
      <c r="I132" s="6" t="s">
        <v>22</v>
      </c>
      <c r="J132" s="6">
        <v>57</v>
      </c>
      <c r="K132" s="6">
        <v>157.06</v>
      </c>
      <c r="L132" s="6" t="s">
        <v>22</v>
      </c>
      <c r="M132" s="6">
        <f>300.000000003725/1000</f>
        <v>0.30000000000372501</v>
      </c>
      <c r="N132" s="6">
        <v>8.4426400000000008</v>
      </c>
      <c r="O132" s="6">
        <f>Table1[[#This Row],[R1 Length (km)]]+Table1[[#This Row],[T1 Length (km)]]</f>
        <v>8.7426400000037265</v>
      </c>
      <c r="P132" s="26">
        <v>69</v>
      </c>
      <c r="Q132" s="6">
        <f>(Table1[[#This Row],[Linear Features (km)]]*1)*100</f>
        <v>874.26400000037268</v>
      </c>
      <c r="R132" s="7">
        <v>2.2999999999999998</v>
      </c>
      <c r="S132" s="8">
        <f>Table1[[#This Row],[ATG (ha)]]/Table1[[#This Row],[Linear Area (ha)]]</f>
        <v>2.6307842939878793E-3</v>
      </c>
      <c r="T132" s="9" t="s">
        <v>22</v>
      </c>
      <c r="U132" s="9" t="s">
        <v>22</v>
      </c>
      <c r="V132" s="7" t="s">
        <v>22</v>
      </c>
      <c r="W132" s="7" t="s">
        <v>22</v>
      </c>
      <c r="X132" s="31">
        <v>2677.7747400254002</v>
      </c>
      <c r="Y132" s="27">
        <f>Table1[[#This Row],[Raw Terrestrial Score]]/Table1[[#This Row],[Summed Raw Scores]]</f>
        <v>0.32966019801160212</v>
      </c>
      <c r="Z132" s="31">
        <v>5445.0582746267301</v>
      </c>
      <c r="AA132" s="27">
        <f>Table1[[#This Row],[Raw Freshwater Score]]/Table1[[#This Row],[Summed Raw Scores]]</f>
        <v>0.67033980198839793</v>
      </c>
      <c r="AB132" s="27">
        <f>Table1[[#This Row],[Raw Terrestrial Score]]+Table1[[#This Row],[Raw Freshwater Score]]</f>
        <v>8122.8330146521303</v>
      </c>
      <c r="AC132" s="28">
        <f>Table1[[#This Row],[Terrestrial % of Summed Score]]*Table1[[#This Row],[Scaled Summed Score]]</f>
        <v>1.5877694411731494E-2</v>
      </c>
      <c r="AD132" s="28">
        <f>Table1[[#This Row],[Freshwater % of Summed Score]]*Table1[[#This Row],[Scaled Summed Score]]</f>
        <v>3.228612550799291E-2</v>
      </c>
      <c r="AE132" s="28">
        <f>Table1[[#This Row],[Summed Raw Scores]]/MAX(Table1[Summed Raw Scores])</f>
        <v>4.8163819919724404E-2</v>
      </c>
      <c r="AF132" s="7"/>
    </row>
    <row r="133" spans="1:32" hidden="1" x14ac:dyDescent="0.3">
      <c r="A133" s="26" t="s">
        <v>410</v>
      </c>
      <c r="B133" s="26" t="s">
        <v>58</v>
      </c>
      <c r="C133" s="26" t="s">
        <v>27</v>
      </c>
      <c r="D133" s="26"/>
      <c r="E133" s="10">
        <v>56.129713809999998</v>
      </c>
      <c r="F133" s="10">
        <v>-122.39928519999999</v>
      </c>
      <c r="G133" s="10">
        <v>27.714461539999999</v>
      </c>
      <c r="H133" s="26" t="s">
        <v>22</v>
      </c>
      <c r="I133" s="26" t="s">
        <v>22</v>
      </c>
      <c r="J133" s="10">
        <v>44.190235790000003</v>
      </c>
      <c r="K133" s="10">
        <v>209.41604330000001</v>
      </c>
      <c r="L133" s="6" t="s">
        <v>22</v>
      </c>
      <c r="M133" s="10">
        <v>0.3</v>
      </c>
      <c r="N133" s="10">
        <v>25.4</v>
      </c>
      <c r="O133" s="6">
        <f>Table1[[#This Row],[R1 Length (km)]]+Table1[[#This Row],[T1 Length (km)]]</f>
        <v>25.7</v>
      </c>
      <c r="P133" s="5">
        <v>130</v>
      </c>
      <c r="Q133" s="6">
        <f>(Table1[[#This Row],[Linear Features (km)]]*1)*100</f>
        <v>2570</v>
      </c>
      <c r="R133" s="10">
        <v>112.59</v>
      </c>
      <c r="S133" s="8">
        <f>Table1[[#This Row],[ATG (ha)]]/Table1[[#This Row],[Linear Area (ha)]]</f>
        <v>4.380933852140078E-2</v>
      </c>
      <c r="T133" s="9" t="s">
        <v>22</v>
      </c>
      <c r="U133" s="9" t="s">
        <v>22</v>
      </c>
      <c r="V133" s="10">
        <v>112.59</v>
      </c>
      <c r="W133" s="10">
        <v>45.036000000000001</v>
      </c>
      <c r="X133" s="31">
        <v>10117.9468599334</v>
      </c>
      <c r="Y133" s="27">
        <f>Table1[[#This Row],[Raw Terrestrial Score]]/Table1[[#This Row],[Summed Raw Scores]]</f>
        <v>0.51743500369202011</v>
      </c>
      <c r="Z133" s="31">
        <v>9436.0971992034501</v>
      </c>
      <c r="AA133" s="27">
        <f>Table1[[#This Row],[Raw Freshwater Score]]/Table1[[#This Row],[Summed Raw Scores]]</f>
        <v>0.48256499630797989</v>
      </c>
      <c r="AB133" s="27">
        <f>Table1[[#This Row],[Raw Terrestrial Score]]+Table1[[#This Row],[Raw Freshwater Score]]</f>
        <v>19554.04405913685</v>
      </c>
      <c r="AC133" s="28">
        <f>Table1[[#This Row],[Terrestrial % of Summed Score]]*Table1[[#This Row],[Scaled Summed Score]]</f>
        <v>5.9993720126972627E-2</v>
      </c>
      <c r="AD133" s="28">
        <f>Table1[[#This Row],[Freshwater % of Summed Score]]*Table1[[#This Row],[Scaled Summed Score]]</f>
        <v>5.5950736082799352E-2</v>
      </c>
      <c r="AE133" s="28">
        <f>Table1[[#This Row],[Summed Raw Scores]]/MAX(Table1[Summed Raw Scores])</f>
        <v>0.11594445620977198</v>
      </c>
      <c r="AF133" s="7"/>
    </row>
    <row r="134" spans="1:32" hidden="1" x14ac:dyDescent="0.3">
      <c r="A134" s="26" t="s">
        <v>300</v>
      </c>
      <c r="B134" s="26" t="s">
        <v>58</v>
      </c>
      <c r="C134" s="26" t="s">
        <v>27</v>
      </c>
      <c r="D134" s="26"/>
      <c r="E134" s="10">
        <v>56.170958650000003</v>
      </c>
      <c r="F134" s="10">
        <v>-122.1240687</v>
      </c>
      <c r="G134" s="10">
        <v>91.118769229999998</v>
      </c>
      <c r="H134" s="26" t="s">
        <v>22</v>
      </c>
      <c r="I134" s="26" t="s">
        <v>22</v>
      </c>
      <c r="J134" s="10">
        <v>145.15054069999999</v>
      </c>
      <c r="K134" s="10">
        <v>128.11420029999999</v>
      </c>
      <c r="L134" s="6" t="s">
        <v>22</v>
      </c>
      <c r="M134" s="10">
        <v>2.1</v>
      </c>
      <c r="N134" s="10">
        <v>18.5</v>
      </c>
      <c r="O134" s="6">
        <f>Table1[[#This Row],[R1 Length (km)]]+Table1[[#This Row],[T1 Length (km)]]</f>
        <v>20.6</v>
      </c>
      <c r="P134" s="5">
        <v>130</v>
      </c>
      <c r="Q134" s="6">
        <f>(Table1[[#This Row],[Linear Features (km)]]*1)*100</f>
        <v>2060</v>
      </c>
      <c r="R134" s="10">
        <v>370.17</v>
      </c>
      <c r="S134" s="8">
        <f>Table1[[#This Row],[ATG (ha)]]/Table1[[#This Row],[Linear Area (ha)]]</f>
        <v>0.17969417475728156</v>
      </c>
      <c r="T134" s="9" t="s">
        <v>22</v>
      </c>
      <c r="U134" s="9" t="s">
        <v>22</v>
      </c>
      <c r="V134" s="10">
        <v>370.17</v>
      </c>
      <c r="W134" s="10">
        <v>148.06800000000001</v>
      </c>
      <c r="X134" s="31">
        <v>11136.622871801301</v>
      </c>
      <c r="Y134" s="27">
        <f>Table1[[#This Row],[Raw Terrestrial Score]]/Table1[[#This Row],[Summed Raw Scores]]</f>
        <v>0.82823119768530407</v>
      </c>
      <c r="Z134" s="31">
        <v>2309.6502255238602</v>
      </c>
      <c r="AA134" s="27">
        <f>Table1[[#This Row],[Raw Freshwater Score]]/Table1[[#This Row],[Summed Raw Scores]]</f>
        <v>0.17176880231469596</v>
      </c>
      <c r="AB134" s="27">
        <f>Table1[[#This Row],[Raw Terrestrial Score]]+Table1[[#This Row],[Raw Freshwater Score]]</f>
        <v>13446.27309732516</v>
      </c>
      <c r="AC134" s="28">
        <f>Table1[[#This Row],[Terrestrial % of Summed Score]]*Table1[[#This Row],[Scaled Summed Score]]</f>
        <v>6.6033894522241759E-2</v>
      </c>
      <c r="AD134" s="28">
        <f>Table1[[#This Row],[Freshwater % of Summed Score]]*Table1[[#This Row],[Scaled Summed Score]]</f>
        <v>1.3694923598579737E-2</v>
      </c>
      <c r="AE134" s="28">
        <f>Table1[[#This Row],[Summed Raw Scores]]/MAX(Table1[Summed Raw Scores])</f>
        <v>7.9728818120821499E-2</v>
      </c>
      <c r="AF134" s="7"/>
    </row>
    <row r="135" spans="1:32" hidden="1" x14ac:dyDescent="0.3">
      <c r="A135" s="26" t="s">
        <v>275</v>
      </c>
      <c r="B135" s="26" t="s">
        <v>58</v>
      </c>
      <c r="C135" s="26" t="s">
        <v>27</v>
      </c>
      <c r="D135" s="26"/>
      <c r="E135" s="10">
        <v>56.122585809999997</v>
      </c>
      <c r="F135" s="10">
        <v>-122.0981316</v>
      </c>
      <c r="G135" s="10">
        <v>238.6633846</v>
      </c>
      <c r="H135" s="26" t="s">
        <v>22</v>
      </c>
      <c r="I135" s="26" t="s">
        <v>22</v>
      </c>
      <c r="J135" s="10">
        <v>378.2866459</v>
      </c>
      <c r="K135" s="10">
        <v>123.32111380000001</v>
      </c>
      <c r="L135" s="6" t="s">
        <v>22</v>
      </c>
      <c r="M135" s="10">
        <v>1.7</v>
      </c>
      <c r="N135" s="10">
        <v>35.700000000000003</v>
      </c>
      <c r="O135" s="6">
        <f>Table1[[#This Row],[R1 Length (km)]]+Table1[[#This Row],[T1 Length (km)]]</f>
        <v>37.400000000000006</v>
      </c>
      <c r="P135" s="5">
        <v>230</v>
      </c>
      <c r="Q135" s="6">
        <f>(Table1[[#This Row],[Linear Features (km)]]*1)*100</f>
        <v>3740.0000000000005</v>
      </c>
      <c r="R135" s="10">
        <v>969.57</v>
      </c>
      <c r="S135" s="8">
        <f>Table1[[#This Row],[ATG (ha)]]/Table1[[#This Row],[Linear Area (ha)]]</f>
        <v>0.25924331550802138</v>
      </c>
      <c r="T135" s="9" t="s">
        <v>22</v>
      </c>
      <c r="U135" s="9" t="s">
        <v>22</v>
      </c>
      <c r="V135" s="10">
        <v>969.57</v>
      </c>
      <c r="W135" s="10">
        <v>387.82799999999997</v>
      </c>
      <c r="X135" s="31">
        <v>22480.789075879398</v>
      </c>
      <c r="Y135" s="27">
        <f>Table1[[#This Row],[Raw Terrestrial Score]]/Table1[[#This Row],[Summed Raw Scores]]</f>
        <v>0.5880231422421095</v>
      </c>
      <c r="Z135" s="31">
        <v>15750.340723129901</v>
      </c>
      <c r="AA135" s="27">
        <f>Table1[[#This Row],[Raw Freshwater Score]]/Table1[[#This Row],[Summed Raw Scores]]</f>
        <v>0.41197685775789045</v>
      </c>
      <c r="AB135" s="27">
        <f>Table1[[#This Row],[Raw Terrestrial Score]]+Table1[[#This Row],[Raw Freshwater Score]]</f>
        <v>38231.129799009301</v>
      </c>
      <c r="AC135" s="28">
        <f>Table1[[#This Row],[Terrestrial % of Summed Score]]*Table1[[#This Row],[Scaled Summed Score]]</f>
        <v>0.1332984039867442</v>
      </c>
      <c r="AD135" s="28">
        <f>Table1[[#This Row],[Freshwater % of Summed Score]]*Table1[[#This Row],[Scaled Summed Score]]</f>
        <v>9.3390640050676724E-2</v>
      </c>
      <c r="AE135" s="28">
        <f>Table1[[#This Row],[Summed Raw Scores]]/MAX(Table1[Summed Raw Scores])</f>
        <v>0.22668904403742093</v>
      </c>
      <c r="AF135" s="7"/>
    </row>
    <row r="136" spans="1:32" hidden="1" x14ac:dyDescent="0.3">
      <c r="A136" s="26" t="s">
        <v>305</v>
      </c>
      <c r="B136" s="26" t="s">
        <v>58</v>
      </c>
      <c r="C136" s="26" t="s">
        <v>27</v>
      </c>
      <c r="D136" s="26"/>
      <c r="E136" s="10">
        <v>56.025869370000002</v>
      </c>
      <c r="F136" s="10">
        <v>-122.0464077</v>
      </c>
      <c r="G136" s="10">
        <v>64.8</v>
      </c>
      <c r="H136" s="26" t="s">
        <v>22</v>
      </c>
      <c r="I136" s="26" t="s">
        <v>22</v>
      </c>
      <c r="J136" s="10">
        <v>101.8299691</v>
      </c>
      <c r="K136" s="10">
        <v>129.12719440000001</v>
      </c>
      <c r="L136" s="6" t="s">
        <v>22</v>
      </c>
      <c r="M136" s="10">
        <v>0.3</v>
      </c>
      <c r="N136" s="10">
        <v>3.2</v>
      </c>
      <c r="O136" s="6">
        <f>Table1[[#This Row],[R1 Length (km)]]+Table1[[#This Row],[T1 Length (km)]]</f>
        <v>3.5</v>
      </c>
      <c r="P136" s="5">
        <v>130</v>
      </c>
      <c r="Q136" s="6">
        <f>(Table1[[#This Row],[Linear Features (km)]]*1)*100</f>
        <v>350</v>
      </c>
      <c r="R136" s="10">
        <v>263.25</v>
      </c>
      <c r="S136" s="8">
        <f>Table1[[#This Row],[ATG (ha)]]/Table1[[#This Row],[Linear Area (ha)]]</f>
        <v>0.75214285714285711</v>
      </c>
      <c r="T136" s="9" t="s">
        <v>22</v>
      </c>
      <c r="U136" s="9" t="s">
        <v>22</v>
      </c>
      <c r="V136" s="10">
        <v>263.25</v>
      </c>
      <c r="W136" s="10">
        <v>105.3</v>
      </c>
      <c r="X136" s="31">
        <v>45.675486825406601</v>
      </c>
      <c r="Y136" s="27">
        <f>Table1[[#This Row],[Raw Terrestrial Score]]/Table1[[#This Row],[Summed Raw Scores]]</f>
        <v>0.15502318936470444</v>
      </c>
      <c r="Z136" s="31">
        <v>248.960993126966</v>
      </c>
      <c r="AA136" s="27">
        <f>Table1[[#This Row],[Raw Freshwater Score]]/Table1[[#This Row],[Summed Raw Scores]]</f>
        <v>0.84497681063529551</v>
      </c>
      <c r="AB136" s="27">
        <f>Table1[[#This Row],[Raw Terrestrial Score]]+Table1[[#This Row],[Raw Freshwater Score]]</f>
        <v>294.63647995237261</v>
      </c>
      <c r="AC136" s="28">
        <f>Table1[[#This Row],[Terrestrial % of Summed Score]]*Table1[[#This Row],[Scaled Summed Score]]</f>
        <v>2.7082988388858829E-4</v>
      </c>
      <c r="AD136" s="28">
        <f>Table1[[#This Row],[Freshwater % of Summed Score]]*Table1[[#This Row],[Scaled Summed Score]]</f>
        <v>1.4761983187852668E-3</v>
      </c>
      <c r="AE136" s="28">
        <f>Table1[[#This Row],[Summed Raw Scores]]/MAX(Table1[Summed Raw Scores])</f>
        <v>1.7470282026738552E-3</v>
      </c>
      <c r="AF136" s="7"/>
    </row>
    <row r="137" spans="1:32" hidden="1" x14ac:dyDescent="0.3">
      <c r="A137" s="26" t="s">
        <v>387</v>
      </c>
      <c r="B137" s="26" t="s">
        <v>58</v>
      </c>
      <c r="C137" s="26" t="s">
        <v>27</v>
      </c>
      <c r="D137" s="26"/>
      <c r="E137" s="10">
        <v>55.983206240000001</v>
      </c>
      <c r="F137" s="10">
        <v>-121.62885989999999</v>
      </c>
      <c r="G137" s="10">
        <v>44.462769229999999</v>
      </c>
      <c r="H137" s="26" t="s">
        <v>22</v>
      </c>
      <c r="I137" s="26" t="s">
        <v>22</v>
      </c>
      <c r="J137" s="10">
        <v>71.254965519999999</v>
      </c>
      <c r="K137" s="10">
        <v>156.75472210000001</v>
      </c>
      <c r="L137" s="6" t="s">
        <v>22</v>
      </c>
      <c r="M137" s="10">
        <v>0</v>
      </c>
      <c r="N137" s="10">
        <v>29.7</v>
      </c>
      <c r="O137" s="6">
        <f>Table1[[#This Row],[R1 Length (km)]]+Table1[[#This Row],[T1 Length (km)]]</f>
        <v>29.7</v>
      </c>
      <c r="P137" s="5">
        <v>130</v>
      </c>
      <c r="Q137" s="6">
        <f>(Table1[[#This Row],[Linear Features (km)]]*1)*100</f>
        <v>2970</v>
      </c>
      <c r="R137" s="10">
        <v>180.63</v>
      </c>
      <c r="S137" s="8">
        <f>Table1[[#This Row],[ATG (ha)]]/Table1[[#This Row],[Linear Area (ha)]]</f>
        <v>6.081818181818182E-2</v>
      </c>
      <c r="T137" s="9" t="s">
        <v>22</v>
      </c>
      <c r="U137" s="9" t="s">
        <v>22</v>
      </c>
      <c r="V137" s="10">
        <v>180.63</v>
      </c>
      <c r="W137" s="10">
        <v>72.251999999999995</v>
      </c>
      <c r="X137" s="31">
        <v>17394.321212938099</v>
      </c>
      <c r="Y137" s="27">
        <f>Table1[[#This Row],[Raw Terrestrial Score]]/Table1[[#This Row],[Summed Raw Scores]]</f>
        <v>0.5893965590811675</v>
      </c>
      <c r="Z137" s="31">
        <v>12117.763553988199</v>
      </c>
      <c r="AA137" s="27">
        <f>Table1[[#This Row],[Raw Freshwater Score]]/Table1[[#This Row],[Summed Raw Scores]]</f>
        <v>0.4106034409188325</v>
      </c>
      <c r="AB137" s="27">
        <f>Table1[[#This Row],[Raw Terrestrial Score]]+Table1[[#This Row],[Raw Freshwater Score]]</f>
        <v>29512.084766926298</v>
      </c>
      <c r="AC137" s="28">
        <f>Table1[[#This Row],[Terrestrial % of Summed Score]]*Table1[[#This Row],[Scaled Summed Score]]</f>
        <v>0.10313851743777001</v>
      </c>
      <c r="AD137" s="28">
        <f>Table1[[#This Row],[Freshwater % of Summed Score]]*Table1[[#This Row],[Scaled Summed Score]]</f>
        <v>7.1851505575863686E-2</v>
      </c>
      <c r="AE137" s="28">
        <f>Table1[[#This Row],[Summed Raw Scores]]/MAX(Table1[Summed Raw Scores])</f>
        <v>0.1749900230136337</v>
      </c>
      <c r="AF137" s="7"/>
    </row>
    <row r="138" spans="1:32" hidden="1" x14ac:dyDescent="0.3">
      <c r="A138" s="26" t="s">
        <v>414</v>
      </c>
      <c r="B138" s="26" t="s">
        <v>58</v>
      </c>
      <c r="C138" s="26" t="s">
        <v>59</v>
      </c>
      <c r="D138" s="26"/>
      <c r="E138" s="10">
        <v>55.533124950000001</v>
      </c>
      <c r="F138" s="10">
        <v>-123.55083380000001</v>
      </c>
      <c r="G138" s="10">
        <v>19.938461539999999</v>
      </c>
      <c r="H138" s="26" t="s">
        <v>22</v>
      </c>
      <c r="I138" s="26" t="s">
        <v>22</v>
      </c>
      <c r="J138" s="10">
        <v>31.812067460000002</v>
      </c>
      <c r="K138" s="10">
        <v>268.02239420000001</v>
      </c>
      <c r="L138" s="6" t="s">
        <v>22</v>
      </c>
      <c r="M138" s="10">
        <v>0.8</v>
      </c>
      <c r="N138" s="10">
        <v>40.700000000000003</v>
      </c>
      <c r="O138" s="6">
        <f>Table1[[#This Row],[R1 Length (km)]]+Table1[[#This Row],[T1 Length (km)]]</f>
        <v>41.5</v>
      </c>
      <c r="P138" s="5">
        <v>130</v>
      </c>
      <c r="Q138" s="6">
        <f>(Table1[[#This Row],[Linear Features (km)]]*1)*100</f>
        <v>4150</v>
      </c>
      <c r="R138" s="10">
        <v>81</v>
      </c>
      <c r="S138" s="8">
        <f>Table1[[#This Row],[ATG (ha)]]/Table1[[#This Row],[Linear Area (ha)]]</f>
        <v>1.9518072289156627E-2</v>
      </c>
      <c r="T138" s="9" t="s">
        <v>22</v>
      </c>
      <c r="U138" s="9" t="s">
        <v>22</v>
      </c>
      <c r="V138" s="10">
        <v>81</v>
      </c>
      <c r="W138" s="10">
        <v>32.4</v>
      </c>
      <c r="X138" s="31">
        <v>12462.0227240026</v>
      </c>
      <c r="Y138" s="27">
        <f>Table1[[#This Row],[Raw Terrestrial Score]]/Table1[[#This Row],[Summed Raw Scores]]</f>
        <v>0.52822763604032452</v>
      </c>
      <c r="Z138" s="31">
        <v>11130.1217866857</v>
      </c>
      <c r="AA138" s="27">
        <f>Table1[[#This Row],[Raw Freshwater Score]]/Table1[[#This Row],[Summed Raw Scores]]</f>
        <v>0.47177236395967548</v>
      </c>
      <c r="AB138" s="27">
        <f>Table1[[#This Row],[Raw Terrestrial Score]]+Table1[[#This Row],[Raw Freshwater Score]]</f>
        <v>23592.1445106883</v>
      </c>
      <c r="AC138" s="28">
        <f>Table1[[#This Row],[Terrestrial % of Summed Score]]*Table1[[#This Row],[Scaled Summed Score]]</f>
        <v>7.3892768352087024E-2</v>
      </c>
      <c r="AD138" s="28">
        <f>Table1[[#This Row],[Freshwater % of Summed Score]]*Table1[[#This Row],[Scaled Summed Score]]</f>
        <v>6.5995346752981243E-2</v>
      </c>
      <c r="AE138" s="28">
        <f>Table1[[#This Row],[Summed Raw Scores]]/MAX(Table1[Summed Raw Scores])</f>
        <v>0.13988811510506827</v>
      </c>
      <c r="AF138" s="7"/>
    </row>
    <row r="139" spans="1:32" hidden="1" x14ac:dyDescent="0.3">
      <c r="A139" s="26" t="s">
        <v>365</v>
      </c>
      <c r="B139" s="26" t="s">
        <v>58</v>
      </c>
      <c r="C139" s="26" t="s">
        <v>27</v>
      </c>
      <c r="D139" s="26"/>
      <c r="E139" s="10">
        <v>55.770677980000002</v>
      </c>
      <c r="F139" s="10">
        <v>-122.00910759999999</v>
      </c>
      <c r="G139" s="10">
        <v>51.241846150000001</v>
      </c>
      <c r="H139" s="26" t="s">
        <v>22</v>
      </c>
      <c r="I139" s="26" t="s">
        <v>22</v>
      </c>
      <c r="J139" s="10">
        <v>81.389026430000001</v>
      </c>
      <c r="K139" s="10">
        <v>146.09743760000001</v>
      </c>
      <c r="L139" s="6" t="s">
        <v>22</v>
      </c>
      <c r="M139" s="10">
        <v>0.3</v>
      </c>
      <c r="N139" s="10">
        <v>11.5</v>
      </c>
      <c r="O139" s="6">
        <f>Table1[[#This Row],[R1 Length (km)]]+Table1[[#This Row],[T1 Length (km)]]</f>
        <v>11.8</v>
      </c>
      <c r="P139" s="5">
        <v>69</v>
      </c>
      <c r="Q139" s="6">
        <f>(Table1[[#This Row],[Linear Features (km)]]*1)*100</f>
        <v>1180</v>
      </c>
      <c r="R139" s="10">
        <v>208.17</v>
      </c>
      <c r="S139" s="8">
        <f>Table1[[#This Row],[ATG (ha)]]/Table1[[#This Row],[Linear Area (ha)]]</f>
        <v>0.17641525423728813</v>
      </c>
      <c r="T139" s="9" t="s">
        <v>22</v>
      </c>
      <c r="U139" s="9" t="s">
        <v>22</v>
      </c>
      <c r="V139" s="10">
        <v>208.17</v>
      </c>
      <c r="W139" s="10">
        <v>83.268000000000001</v>
      </c>
      <c r="X139" s="31">
        <v>17880.4936131164</v>
      </c>
      <c r="Y139" s="27">
        <f>Table1[[#This Row],[Raw Terrestrial Score]]/Table1[[#This Row],[Summed Raw Scores]]</f>
        <v>0.50880886353370502</v>
      </c>
      <c r="Z139" s="31">
        <v>17261.373784663199</v>
      </c>
      <c r="AA139" s="27">
        <f>Table1[[#This Row],[Raw Freshwater Score]]/Table1[[#This Row],[Summed Raw Scores]]</f>
        <v>0.49119113646629492</v>
      </c>
      <c r="AB139" s="27">
        <f>Table1[[#This Row],[Raw Terrestrial Score]]+Table1[[#This Row],[Raw Freshwater Score]]</f>
        <v>35141.867397779599</v>
      </c>
      <c r="AC139" s="28">
        <f>Table1[[#This Row],[Terrestrial % of Summed Score]]*Table1[[#This Row],[Scaled Summed Score]]</f>
        <v>0.10602124565462363</v>
      </c>
      <c r="AD139" s="28">
        <f>Table1[[#This Row],[Freshwater % of Summed Score]]*Table1[[#This Row],[Scaled Summed Score]]</f>
        <v>0.10235021414719733</v>
      </c>
      <c r="AE139" s="28">
        <f>Table1[[#This Row],[Summed Raw Scores]]/MAX(Table1[Summed Raw Scores])</f>
        <v>0.20837145980182098</v>
      </c>
      <c r="AF139" s="7"/>
    </row>
    <row r="140" spans="1:32" hidden="1" x14ac:dyDescent="0.3">
      <c r="A140" s="26" t="s">
        <v>405</v>
      </c>
      <c r="B140" s="26" t="s">
        <v>58</v>
      </c>
      <c r="C140" s="26" t="s">
        <v>27</v>
      </c>
      <c r="D140" s="26"/>
      <c r="E140" s="10">
        <v>55.784245439999999</v>
      </c>
      <c r="F140" s="10">
        <v>-121.9179681</v>
      </c>
      <c r="G140" s="10">
        <v>26.71753846</v>
      </c>
      <c r="H140" s="26" t="s">
        <v>22</v>
      </c>
      <c r="I140" s="26" t="s">
        <v>22</v>
      </c>
      <c r="J140" s="10">
        <v>42.146791669999999</v>
      </c>
      <c r="K140" s="10">
        <v>184.88125360000001</v>
      </c>
      <c r="L140" s="6" t="s">
        <v>22</v>
      </c>
      <c r="M140" s="10">
        <v>0.6</v>
      </c>
      <c r="N140" s="10">
        <v>22</v>
      </c>
      <c r="O140" s="6">
        <f>Table1[[#This Row],[R1 Length (km)]]+Table1[[#This Row],[T1 Length (km)]]</f>
        <v>22.6</v>
      </c>
      <c r="P140" s="5">
        <v>130</v>
      </c>
      <c r="Q140" s="6">
        <f>(Table1[[#This Row],[Linear Features (km)]]*1)*100</f>
        <v>2260</v>
      </c>
      <c r="R140" s="10">
        <v>108.54</v>
      </c>
      <c r="S140" s="8">
        <f>Table1[[#This Row],[ATG (ha)]]/Table1[[#This Row],[Linear Area (ha)]]</f>
        <v>4.8026548672566373E-2</v>
      </c>
      <c r="T140" s="9" t="s">
        <v>22</v>
      </c>
      <c r="U140" s="9" t="s">
        <v>22</v>
      </c>
      <c r="V140" s="10">
        <v>108.54</v>
      </c>
      <c r="W140" s="10">
        <v>43.415999999999997</v>
      </c>
      <c r="X140" s="31">
        <v>8148.2282880162802</v>
      </c>
      <c r="Y140" s="27">
        <f>Table1[[#This Row],[Raw Terrestrial Score]]/Table1[[#This Row],[Summed Raw Scores]]</f>
        <v>0.58500121750498124</v>
      </c>
      <c r="Z140" s="31">
        <v>5780.3380879107899</v>
      </c>
      <c r="AA140" s="27">
        <f>Table1[[#This Row],[Raw Freshwater Score]]/Table1[[#This Row],[Summed Raw Scores]]</f>
        <v>0.41499878249501876</v>
      </c>
      <c r="AB140" s="27">
        <f>Table1[[#This Row],[Raw Terrestrial Score]]+Table1[[#This Row],[Raw Freshwater Score]]</f>
        <v>13928.56637592707</v>
      </c>
      <c r="AC140" s="28">
        <f>Table1[[#This Row],[Terrestrial % of Summed Score]]*Table1[[#This Row],[Scaled Summed Score]]</f>
        <v>4.8314399572281189E-2</v>
      </c>
      <c r="AD140" s="28">
        <f>Table1[[#This Row],[Freshwater % of Summed Score]]*Table1[[#This Row],[Scaled Summed Score]]</f>
        <v>3.4274145761592059E-2</v>
      </c>
      <c r="AE140" s="28">
        <f>Table1[[#This Row],[Summed Raw Scores]]/MAX(Table1[Summed Raw Scores])</f>
        <v>8.2588545333873248E-2</v>
      </c>
      <c r="AF140" s="7"/>
    </row>
    <row r="141" spans="1:32" hidden="1" x14ac:dyDescent="0.3">
      <c r="A141" s="26" t="s">
        <v>347</v>
      </c>
      <c r="B141" s="26" t="s">
        <v>58</v>
      </c>
      <c r="C141" s="26" t="s">
        <v>27</v>
      </c>
      <c r="D141" s="26"/>
      <c r="E141" s="10">
        <v>55.75465122</v>
      </c>
      <c r="F141" s="10">
        <v>-121.4113148</v>
      </c>
      <c r="G141" s="10">
        <v>15.15323077</v>
      </c>
      <c r="H141" s="26" t="s">
        <v>22</v>
      </c>
      <c r="I141" s="26" t="s">
        <v>22</v>
      </c>
      <c r="J141" s="10">
        <v>24.337930050000001</v>
      </c>
      <c r="K141" s="10">
        <v>140.58458060000001</v>
      </c>
      <c r="L141" s="6" t="s">
        <v>22</v>
      </c>
      <c r="M141" s="10">
        <v>0.3</v>
      </c>
      <c r="N141" s="10">
        <v>15.9</v>
      </c>
      <c r="O141" s="6">
        <f>Table1[[#This Row],[R1 Length (km)]]+Table1[[#This Row],[T1 Length (km)]]</f>
        <v>16.2</v>
      </c>
      <c r="P141" s="5">
        <v>25</v>
      </c>
      <c r="Q141" s="6">
        <f>(Table1[[#This Row],[Linear Features (km)]]*1)*100</f>
        <v>1620</v>
      </c>
      <c r="R141" s="10">
        <v>61.56</v>
      </c>
      <c r="S141" s="8">
        <f>Table1[[#This Row],[ATG (ha)]]/Table1[[#This Row],[Linear Area (ha)]]</f>
        <v>3.7999999999999999E-2</v>
      </c>
      <c r="T141" s="9" t="s">
        <v>22</v>
      </c>
      <c r="U141" s="9" t="s">
        <v>22</v>
      </c>
      <c r="V141" s="10">
        <v>61.56</v>
      </c>
      <c r="W141" s="10">
        <v>24.623999999999999</v>
      </c>
      <c r="X141" s="31">
        <v>6506.3501002984103</v>
      </c>
      <c r="Y141" s="27">
        <f>Table1[[#This Row],[Raw Terrestrial Score]]/Table1[[#This Row],[Summed Raw Scores]]</f>
        <v>0.95205971281476376</v>
      </c>
      <c r="Z141" s="31">
        <v>327.622614566702</v>
      </c>
      <c r="AA141" s="27">
        <f>Table1[[#This Row],[Raw Freshwater Score]]/Table1[[#This Row],[Summed Raw Scores]]</f>
        <v>4.7940287185236227E-2</v>
      </c>
      <c r="AB141" s="27">
        <f>Table1[[#This Row],[Raw Terrestrial Score]]+Table1[[#This Row],[Raw Freshwater Score]]</f>
        <v>6833.9727148651127</v>
      </c>
      <c r="AC141" s="28">
        <f>Table1[[#This Row],[Terrestrial % of Summed Score]]*Table1[[#This Row],[Scaled Summed Score]]</f>
        <v>3.8578987651252845E-2</v>
      </c>
      <c r="AD141" s="28">
        <f>Table1[[#This Row],[Freshwater % of Summed Score]]*Table1[[#This Row],[Scaled Summed Score]]</f>
        <v>1.9426173825260753E-3</v>
      </c>
      <c r="AE141" s="28">
        <f>Table1[[#This Row],[Summed Raw Scores]]/MAX(Table1[Summed Raw Scores])</f>
        <v>4.0521605033778919E-2</v>
      </c>
      <c r="AF141" s="7"/>
    </row>
    <row r="142" spans="1:32" hidden="1" x14ac:dyDescent="0.3">
      <c r="A142" s="26" t="s">
        <v>400</v>
      </c>
      <c r="B142" s="26" t="s">
        <v>58</v>
      </c>
      <c r="C142" s="26" t="s">
        <v>59</v>
      </c>
      <c r="D142" s="26"/>
      <c r="E142" s="10">
        <v>55.081857020000001</v>
      </c>
      <c r="F142" s="10">
        <v>-123.10435889999999</v>
      </c>
      <c r="G142" s="10">
        <v>39.876923079999997</v>
      </c>
      <c r="H142" s="26" t="s">
        <v>22</v>
      </c>
      <c r="I142" s="26" t="s">
        <v>22</v>
      </c>
      <c r="J142" s="10">
        <v>60.339512419999998</v>
      </c>
      <c r="K142" s="10">
        <v>164.88743400000001</v>
      </c>
      <c r="L142" s="6" t="s">
        <v>22</v>
      </c>
      <c r="M142" s="10">
        <v>0.4</v>
      </c>
      <c r="N142" s="10">
        <v>21.8</v>
      </c>
      <c r="O142" s="6">
        <f>Table1[[#This Row],[R1 Length (km)]]+Table1[[#This Row],[T1 Length (km)]]</f>
        <v>22.2</v>
      </c>
      <c r="P142" s="5">
        <v>130</v>
      </c>
      <c r="Q142" s="6">
        <f>(Table1[[#This Row],[Linear Features (km)]]*1)*100</f>
        <v>2220</v>
      </c>
      <c r="R142" s="10">
        <v>162</v>
      </c>
      <c r="S142" s="8">
        <f>Table1[[#This Row],[ATG (ha)]]/Table1[[#This Row],[Linear Area (ha)]]</f>
        <v>7.2972972972972977E-2</v>
      </c>
      <c r="T142" s="9" t="s">
        <v>22</v>
      </c>
      <c r="U142" s="9" t="s">
        <v>22</v>
      </c>
      <c r="V142" s="10">
        <v>162</v>
      </c>
      <c r="W142" s="10">
        <v>64.8</v>
      </c>
      <c r="X142" s="31">
        <v>3383.5931633822602</v>
      </c>
      <c r="Y142" s="27">
        <f>Table1[[#This Row],[Raw Terrestrial Score]]/Table1[[#This Row],[Summed Raw Scores]]</f>
        <v>0.47821681090886786</v>
      </c>
      <c r="Z142" s="31">
        <v>3691.8443498904799</v>
      </c>
      <c r="AA142" s="27">
        <f>Table1[[#This Row],[Raw Freshwater Score]]/Table1[[#This Row],[Summed Raw Scores]]</f>
        <v>0.52178318909113208</v>
      </c>
      <c r="AB142" s="27">
        <f>Table1[[#This Row],[Raw Terrestrial Score]]+Table1[[#This Row],[Raw Freshwater Score]]</f>
        <v>7075.43751327274</v>
      </c>
      <c r="AC142" s="28">
        <f>Table1[[#This Row],[Terrestrial % of Summed Score]]*Table1[[#This Row],[Scaled Summed Score]]</f>
        <v>2.0062799704092287E-2</v>
      </c>
      <c r="AD142" s="28">
        <f>Table1[[#This Row],[Freshwater % of Summed Score]]*Table1[[#This Row],[Scaled Summed Score]]</f>
        <v>2.1890555440328984E-2</v>
      </c>
      <c r="AE142" s="28">
        <f>Table1[[#This Row],[Summed Raw Scores]]/MAX(Table1[Summed Raw Scores])</f>
        <v>4.1953355144421271E-2</v>
      </c>
      <c r="AF142" s="7"/>
    </row>
    <row r="143" spans="1:32" hidden="1" x14ac:dyDescent="0.3">
      <c r="A143" s="26" t="s">
        <v>344</v>
      </c>
      <c r="B143" s="26" t="s">
        <v>58</v>
      </c>
      <c r="C143" s="26" t="s">
        <v>59</v>
      </c>
      <c r="D143" s="26"/>
      <c r="E143" s="10">
        <v>54.985974310000003</v>
      </c>
      <c r="F143" s="10">
        <v>-123.05178960000001</v>
      </c>
      <c r="G143" s="10">
        <v>74.171076920000004</v>
      </c>
      <c r="H143" s="26" t="s">
        <v>22</v>
      </c>
      <c r="I143" s="26" t="s">
        <v>22</v>
      </c>
      <c r="J143" s="10">
        <v>114.2546452</v>
      </c>
      <c r="K143" s="10">
        <v>139.9860371</v>
      </c>
      <c r="L143" s="6" t="s">
        <v>22</v>
      </c>
      <c r="M143" s="10">
        <v>0</v>
      </c>
      <c r="N143" s="10">
        <v>20.7</v>
      </c>
      <c r="O143" s="6">
        <f>Table1[[#This Row],[R1 Length (km)]]+Table1[[#This Row],[T1 Length (km)]]</f>
        <v>20.7</v>
      </c>
      <c r="P143" s="5">
        <v>130</v>
      </c>
      <c r="Q143" s="6">
        <f>(Table1[[#This Row],[Linear Features (km)]]*1)*100</f>
        <v>2070</v>
      </c>
      <c r="R143" s="10">
        <v>301.32</v>
      </c>
      <c r="S143" s="8">
        <f>Table1[[#This Row],[ATG (ha)]]/Table1[[#This Row],[Linear Area (ha)]]</f>
        <v>0.14556521739130435</v>
      </c>
      <c r="T143" s="9" t="s">
        <v>22</v>
      </c>
      <c r="U143" s="9" t="s">
        <v>22</v>
      </c>
      <c r="V143" s="10">
        <v>301.32</v>
      </c>
      <c r="W143" s="10">
        <v>120.52800000000001</v>
      </c>
      <c r="X143" s="31">
        <v>1745.3002929184599</v>
      </c>
      <c r="Y143" s="27">
        <f>Table1[[#This Row],[Raw Terrestrial Score]]/Table1[[#This Row],[Summed Raw Scores]]</f>
        <v>0.42381292643785218</v>
      </c>
      <c r="Z143" s="31">
        <v>2372.7909309328502</v>
      </c>
      <c r="AA143" s="27">
        <f>Table1[[#This Row],[Raw Freshwater Score]]/Table1[[#This Row],[Summed Raw Scores]]</f>
        <v>0.57618707356214782</v>
      </c>
      <c r="AB143" s="27">
        <f>Table1[[#This Row],[Raw Terrestrial Score]]+Table1[[#This Row],[Raw Freshwater Score]]</f>
        <v>4118.0912238513101</v>
      </c>
      <c r="AC143" s="28">
        <f>Table1[[#This Row],[Terrestrial % of Summed Score]]*Table1[[#This Row],[Scaled Summed Score]]</f>
        <v>1.0348646692888704E-2</v>
      </c>
      <c r="AD143" s="28">
        <f>Table1[[#This Row],[Freshwater % of Summed Score]]*Table1[[#This Row],[Scaled Summed Score]]</f>
        <v>1.4069312381340307E-2</v>
      </c>
      <c r="AE143" s="28">
        <f>Table1[[#This Row],[Summed Raw Scores]]/MAX(Table1[Summed Raw Scores])</f>
        <v>2.4417959074229011E-2</v>
      </c>
      <c r="AF143" s="7"/>
    </row>
    <row r="144" spans="1:32" hidden="1" x14ac:dyDescent="0.3">
      <c r="A144" s="26" t="s">
        <v>399</v>
      </c>
      <c r="B144" s="26" t="s">
        <v>58</v>
      </c>
      <c r="C144" s="26" t="s">
        <v>59</v>
      </c>
      <c r="D144" s="26"/>
      <c r="E144" s="10">
        <v>55.06198088</v>
      </c>
      <c r="F144" s="10">
        <v>-122.89894099999999</v>
      </c>
      <c r="G144" s="10">
        <v>30.306461540000001</v>
      </c>
      <c r="H144" s="26" t="s">
        <v>22</v>
      </c>
      <c r="I144" s="26" t="s">
        <v>22</v>
      </c>
      <c r="J144" s="10">
        <v>45.845137450000003</v>
      </c>
      <c r="K144" s="10">
        <v>163.57335140000001</v>
      </c>
      <c r="L144" s="6" t="s">
        <v>22</v>
      </c>
      <c r="M144" s="10">
        <v>0.8</v>
      </c>
      <c r="N144" s="10">
        <v>7.4</v>
      </c>
      <c r="O144" s="6">
        <f>Table1[[#This Row],[R1 Length (km)]]+Table1[[#This Row],[T1 Length (km)]]</f>
        <v>8.2000000000000011</v>
      </c>
      <c r="P144" s="5">
        <v>130</v>
      </c>
      <c r="Q144" s="6">
        <f>(Table1[[#This Row],[Linear Features (km)]]*1)*100</f>
        <v>820.00000000000011</v>
      </c>
      <c r="R144" s="10">
        <v>123.12</v>
      </c>
      <c r="S144" s="8">
        <f>Table1[[#This Row],[ATG (ha)]]/Table1[[#This Row],[Linear Area (ha)]]</f>
        <v>0.15014634146341463</v>
      </c>
      <c r="T144" s="9" t="s">
        <v>22</v>
      </c>
      <c r="U144" s="9" t="s">
        <v>22</v>
      </c>
      <c r="V144" s="10">
        <v>123.12</v>
      </c>
      <c r="W144" s="10">
        <v>49.247999999999998</v>
      </c>
      <c r="X144" s="31">
        <v>2033.60987439007</v>
      </c>
      <c r="Y144" s="27">
        <f>Table1[[#This Row],[Raw Terrestrial Score]]/Table1[[#This Row],[Summed Raw Scores]]</f>
        <v>0.5023113464668113</v>
      </c>
      <c r="Z144" s="31">
        <v>2014.89488006989</v>
      </c>
      <c r="AA144" s="27">
        <f>Table1[[#This Row],[Raw Freshwater Score]]/Table1[[#This Row],[Summed Raw Scores]]</f>
        <v>0.49768865353318859</v>
      </c>
      <c r="AB144" s="27">
        <f>Table1[[#This Row],[Raw Terrestrial Score]]+Table1[[#This Row],[Raw Freshwater Score]]</f>
        <v>4048.5047544599602</v>
      </c>
      <c r="AC144" s="28">
        <f>Table1[[#This Row],[Terrestrial % of Summed Score]]*Table1[[#This Row],[Scaled Summed Score]]</f>
        <v>1.2058159954835826E-2</v>
      </c>
      <c r="AD144" s="28">
        <f>Table1[[#This Row],[Freshwater % of Summed Score]]*Table1[[#This Row],[Scaled Summed Score]]</f>
        <v>1.1947190590500761E-2</v>
      </c>
      <c r="AE144" s="28">
        <f>Table1[[#This Row],[Summed Raw Scores]]/MAX(Table1[Summed Raw Scores])</f>
        <v>2.400535054533659E-2</v>
      </c>
      <c r="AF144" s="7"/>
    </row>
    <row r="145" spans="1:32" hidden="1" x14ac:dyDescent="0.3">
      <c r="A145" s="26" t="s">
        <v>278</v>
      </c>
      <c r="B145" s="26" t="s">
        <v>58</v>
      </c>
      <c r="C145" s="26" t="s">
        <v>59</v>
      </c>
      <c r="D145" s="26"/>
      <c r="E145" s="10">
        <v>55.0759489</v>
      </c>
      <c r="F145" s="10">
        <v>-122.8093126</v>
      </c>
      <c r="G145" s="10">
        <v>116.4406154</v>
      </c>
      <c r="H145" s="26" t="s">
        <v>22</v>
      </c>
      <c r="I145" s="26" t="s">
        <v>22</v>
      </c>
      <c r="J145" s="10">
        <v>175.9141228</v>
      </c>
      <c r="K145" s="10">
        <v>123.5507886</v>
      </c>
      <c r="L145" s="6" t="s">
        <v>22</v>
      </c>
      <c r="M145" s="10">
        <v>0</v>
      </c>
      <c r="N145" s="10">
        <v>0</v>
      </c>
      <c r="O145" s="6">
        <f>Table1[[#This Row],[R1 Length (km)]]+Table1[[#This Row],[T1 Length (km)]]</f>
        <v>0</v>
      </c>
      <c r="P145" s="5">
        <v>130</v>
      </c>
      <c r="Q145" s="6">
        <f>(Table1[[#This Row],[Linear Features (km)]]*1)*100</f>
        <v>0</v>
      </c>
      <c r="R145" s="10">
        <v>473.04</v>
      </c>
      <c r="S145" s="8" t="e">
        <f>Table1[[#This Row],[ATG (ha)]]/Table1[[#This Row],[Linear Area (ha)]]</f>
        <v>#DIV/0!</v>
      </c>
      <c r="T145" s="9" t="s">
        <v>22</v>
      </c>
      <c r="U145" s="9" t="s">
        <v>22</v>
      </c>
      <c r="V145" s="10">
        <v>473.04</v>
      </c>
      <c r="W145" s="10">
        <v>189.21600000000001</v>
      </c>
      <c r="X145" s="31">
        <v>1636.9729719162001</v>
      </c>
      <c r="Y145" s="27">
        <f>Table1[[#This Row],[Raw Terrestrial Score]]/Table1[[#This Row],[Summed Raw Scores]]</f>
        <v>0.66218608399554446</v>
      </c>
      <c r="Z145" s="31">
        <v>835.10098354797799</v>
      </c>
      <c r="AA145" s="27">
        <f>Table1[[#This Row],[Raw Freshwater Score]]/Table1[[#This Row],[Summed Raw Scores]]</f>
        <v>0.33781391600445554</v>
      </c>
      <c r="AB145" s="27">
        <f>Table1[[#This Row],[Raw Terrestrial Score]]+Table1[[#This Row],[Raw Freshwater Score]]</f>
        <v>2472.0739554641782</v>
      </c>
      <c r="AC145" s="28">
        <f>Table1[[#This Row],[Terrestrial % of Summed Score]]*Table1[[#This Row],[Scaled Summed Score]]</f>
        <v>9.7063267570082472E-3</v>
      </c>
      <c r="AD145" s="28">
        <f>Table1[[#This Row],[Freshwater % of Summed Score]]*Table1[[#This Row],[Scaled Summed Score]]</f>
        <v>4.9516779815412821E-3</v>
      </c>
      <c r="AE145" s="28">
        <f>Table1[[#This Row],[Summed Raw Scores]]/MAX(Table1[Summed Raw Scores])</f>
        <v>1.4658004738549529E-2</v>
      </c>
      <c r="AF145" s="7"/>
    </row>
    <row r="146" spans="1:32" hidden="1" x14ac:dyDescent="0.3">
      <c r="A146" s="26" t="s">
        <v>412</v>
      </c>
      <c r="B146" s="26" t="s">
        <v>58</v>
      </c>
      <c r="C146" s="26" t="s">
        <v>59</v>
      </c>
      <c r="D146" s="26"/>
      <c r="E146" s="10">
        <v>54.938044419999997</v>
      </c>
      <c r="F146" s="10">
        <v>-123.0255793</v>
      </c>
      <c r="G146" s="10">
        <v>20.935384620000001</v>
      </c>
      <c r="H146" s="26" t="s">
        <v>22</v>
      </c>
      <c r="I146" s="26" t="s">
        <v>22</v>
      </c>
      <c r="J146" s="10">
        <v>32.375843719999999</v>
      </c>
      <c r="K146" s="10">
        <v>212.58870949999999</v>
      </c>
      <c r="L146" s="6" t="s">
        <v>22</v>
      </c>
      <c r="M146" s="10">
        <v>0.3</v>
      </c>
      <c r="N146" s="10">
        <v>22.1</v>
      </c>
      <c r="O146" s="6">
        <f>Table1[[#This Row],[R1 Length (km)]]+Table1[[#This Row],[T1 Length (km)]]</f>
        <v>22.400000000000002</v>
      </c>
      <c r="P146" s="5">
        <v>130</v>
      </c>
      <c r="Q146" s="6">
        <f>(Table1[[#This Row],[Linear Features (km)]]*1)*100</f>
        <v>2240</v>
      </c>
      <c r="R146" s="10">
        <v>85.05</v>
      </c>
      <c r="S146" s="8">
        <f>Table1[[#This Row],[ATG (ha)]]/Table1[[#This Row],[Linear Area (ha)]]</f>
        <v>3.7968749999999996E-2</v>
      </c>
      <c r="T146" s="9" t="s">
        <v>22</v>
      </c>
      <c r="U146" s="9" t="s">
        <v>22</v>
      </c>
      <c r="V146" s="10">
        <v>85.05</v>
      </c>
      <c r="W146" s="10">
        <v>34.020000000000003</v>
      </c>
      <c r="X146" s="31">
        <v>1980.43669925071</v>
      </c>
      <c r="Y146" s="27">
        <f>Table1[[#This Row],[Raw Terrestrial Score]]/Table1[[#This Row],[Summed Raw Scores]]</f>
        <v>0.36040938887187285</v>
      </c>
      <c r="Z146" s="31">
        <v>3514.5275286505898</v>
      </c>
      <c r="AA146" s="27">
        <f>Table1[[#This Row],[Raw Freshwater Score]]/Table1[[#This Row],[Summed Raw Scores]]</f>
        <v>0.63959061112812721</v>
      </c>
      <c r="AB146" s="27">
        <f>Table1[[#This Row],[Raw Terrestrial Score]]+Table1[[#This Row],[Raw Freshwater Score]]</f>
        <v>5494.9642279012996</v>
      </c>
      <c r="AC146" s="28">
        <f>Table1[[#This Row],[Terrestrial % of Summed Score]]*Table1[[#This Row],[Scaled Summed Score]]</f>
        <v>1.1742873006630383E-2</v>
      </c>
      <c r="AD146" s="28">
        <f>Table1[[#This Row],[Freshwater % of Summed Score]]*Table1[[#This Row],[Scaled Summed Score]]</f>
        <v>2.0839166666051474E-2</v>
      </c>
      <c r="AE146" s="28">
        <f>Table1[[#This Row],[Summed Raw Scores]]/MAX(Table1[Summed Raw Scores])</f>
        <v>3.2582039672681855E-2</v>
      </c>
      <c r="AF146" s="7"/>
    </row>
    <row r="147" spans="1:32" hidden="1" x14ac:dyDescent="0.3">
      <c r="A147" s="26" t="s">
        <v>403</v>
      </c>
      <c r="B147" s="26" t="s">
        <v>58</v>
      </c>
      <c r="C147" s="26" t="s">
        <v>59</v>
      </c>
      <c r="D147" s="26"/>
      <c r="E147" s="10">
        <v>54.780281860000002</v>
      </c>
      <c r="F147" s="10">
        <v>-123.0363394</v>
      </c>
      <c r="G147" s="10">
        <v>36.686769230000003</v>
      </c>
      <c r="H147" s="26" t="s">
        <v>22</v>
      </c>
      <c r="I147" s="26" t="s">
        <v>22</v>
      </c>
      <c r="J147" s="10">
        <v>59.563433410000002</v>
      </c>
      <c r="K147" s="10">
        <v>179.64696219999999</v>
      </c>
      <c r="L147" s="6" t="s">
        <v>22</v>
      </c>
      <c r="M147" s="10">
        <v>0</v>
      </c>
      <c r="N147" s="10">
        <v>39.799999999999997</v>
      </c>
      <c r="O147" s="6">
        <f>Table1[[#This Row],[R1 Length (km)]]+Table1[[#This Row],[T1 Length (km)]]</f>
        <v>39.799999999999997</v>
      </c>
      <c r="P147" s="5">
        <v>130</v>
      </c>
      <c r="Q147" s="6">
        <f>(Table1[[#This Row],[Linear Features (km)]]*1)*100</f>
        <v>3979.9999999999995</v>
      </c>
      <c r="R147" s="10">
        <v>149.04</v>
      </c>
      <c r="S147" s="8">
        <f>Table1[[#This Row],[ATG (ha)]]/Table1[[#This Row],[Linear Area (ha)]]</f>
        <v>3.7447236180904522E-2</v>
      </c>
      <c r="T147" s="9" t="s">
        <v>22</v>
      </c>
      <c r="U147" s="9" t="s">
        <v>22</v>
      </c>
      <c r="V147" s="10">
        <v>149.04</v>
      </c>
      <c r="W147" s="10">
        <v>59.616</v>
      </c>
      <c r="X147" s="31">
        <v>4922.86487527192</v>
      </c>
      <c r="Y147" s="27">
        <f>Table1[[#This Row],[Raw Terrestrial Score]]/Table1[[#This Row],[Summed Raw Scores]]</f>
        <v>0.49430791780138533</v>
      </c>
      <c r="Z147" s="31">
        <v>5036.24097350379</v>
      </c>
      <c r="AA147" s="27">
        <f>Table1[[#This Row],[Raw Freshwater Score]]/Table1[[#This Row],[Summed Raw Scores]]</f>
        <v>0.50569208219861461</v>
      </c>
      <c r="AB147" s="27">
        <f>Table1[[#This Row],[Raw Terrestrial Score]]+Table1[[#This Row],[Raw Freshwater Score]]</f>
        <v>9959.1058487757109</v>
      </c>
      <c r="AC147" s="28">
        <f>Table1[[#This Row],[Terrestrial % of Summed Score]]*Table1[[#This Row],[Scaled Summed Score]]</f>
        <v>2.9189813075566166E-2</v>
      </c>
      <c r="AD147" s="28">
        <f>Table1[[#This Row],[Freshwater % of Summed Score]]*Table1[[#This Row],[Scaled Summed Score]]</f>
        <v>2.9862069413790871E-2</v>
      </c>
      <c r="AE147" s="28">
        <f>Table1[[#This Row],[Summed Raw Scores]]/MAX(Table1[Summed Raw Scores])</f>
        <v>5.9051882489357041E-2</v>
      </c>
      <c r="AF147" s="7"/>
    </row>
    <row r="148" spans="1:32" hidden="1" x14ac:dyDescent="0.3">
      <c r="A148" s="26" t="s">
        <v>374</v>
      </c>
      <c r="B148" s="26" t="s">
        <v>58</v>
      </c>
      <c r="C148" s="26" t="s">
        <v>30</v>
      </c>
      <c r="D148" s="26"/>
      <c r="E148" s="10">
        <v>54.145961499999999</v>
      </c>
      <c r="F148" s="10">
        <v>-124.9931062</v>
      </c>
      <c r="G148" s="10">
        <v>23.128615379999999</v>
      </c>
      <c r="H148" s="26" t="s">
        <v>22</v>
      </c>
      <c r="I148" s="26" t="s">
        <v>22</v>
      </c>
      <c r="J148" s="10">
        <v>37.338652150000001</v>
      </c>
      <c r="K148" s="10">
        <v>151.86548139999999</v>
      </c>
      <c r="L148" s="6" t="s">
        <v>22</v>
      </c>
      <c r="M148" s="10">
        <v>0.3</v>
      </c>
      <c r="N148" s="10">
        <v>8.4</v>
      </c>
      <c r="O148" s="6">
        <f>Table1[[#This Row],[R1 Length (km)]]+Table1[[#This Row],[T1 Length (km)]]</f>
        <v>8.7000000000000011</v>
      </c>
      <c r="P148" s="5">
        <v>69</v>
      </c>
      <c r="Q148" s="6">
        <f>(Table1[[#This Row],[Linear Features (km)]]*1)*100</f>
        <v>870.00000000000011</v>
      </c>
      <c r="R148" s="10">
        <v>93.96</v>
      </c>
      <c r="S148" s="8">
        <f>Table1[[#This Row],[ATG (ha)]]/Table1[[#This Row],[Linear Area (ha)]]</f>
        <v>0.10799999999999998</v>
      </c>
      <c r="T148" s="9" t="s">
        <v>22</v>
      </c>
      <c r="U148" s="9" t="s">
        <v>22</v>
      </c>
      <c r="V148" s="10">
        <v>93.96</v>
      </c>
      <c r="W148" s="10">
        <v>37.584000000000003</v>
      </c>
      <c r="X148" s="31">
        <v>1672.84611801803</v>
      </c>
      <c r="Y148" s="27">
        <f>Table1[[#This Row],[Raw Terrestrial Score]]/Table1[[#This Row],[Summed Raw Scores]]</f>
        <v>0.27205071342332454</v>
      </c>
      <c r="Z148" s="31">
        <v>4476.1769702434503</v>
      </c>
      <c r="AA148" s="27">
        <f>Table1[[#This Row],[Raw Freshwater Score]]/Table1[[#This Row],[Summed Raw Scores]]</f>
        <v>0.72794928657667546</v>
      </c>
      <c r="AB148" s="27">
        <f>Table1[[#This Row],[Raw Terrestrial Score]]+Table1[[#This Row],[Raw Freshwater Score]]</f>
        <v>6149.0230882614806</v>
      </c>
      <c r="AC148" s="28">
        <f>Table1[[#This Row],[Terrestrial % of Summed Score]]*Table1[[#This Row],[Scaled Summed Score]]</f>
        <v>9.9190342872117962E-3</v>
      </c>
      <c r="AD148" s="28">
        <f>Table1[[#This Row],[Freshwater % of Summed Score]]*Table1[[#This Row],[Scaled Summed Score]]</f>
        <v>2.6541205652601492E-2</v>
      </c>
      <c r="AE148" s="28">
        <f>Table1[[#This Row],[Summed Raw Scores]]/MAX(Table1[Summed Raw Scores])</f>
        <v>3.6460239939813288E-2</v>
      </c>
      <c r="AF148" s="7"/>
    </row>
    <row r="149" spans="1:32" hidden="1" x14ac:dyDescent="0.3">
      <c r="A149" s="26" t="s">
        <v>349</v>
      </c>
      <c r="B149" s="26" t="s">
        <v>58</v>
      </c>
      <c r="C149" s="26" t="s">
        <v>30</v>
      </c>
      <c r="D149" s="26"/>
      <c r="E149" s="10">
        <v>54.06850523</v>
      </c>
      <c r="F149" s="10">
        <v>-125.1401281</v>
      </c>
      <c r="G149" s="10">
        <v>30.50584615</v>
      </c>
      <c r="H149" s="26" t="s">
        <v>22</v>
      </c>
      <c r="I149" s="26" t="s">
        <v>22</v>
      </c>
      <c r="J149" s="10">
        <v>48.942919070000002</v>
      </c>
      <c r="K149" s="10">
        <v>140.9820125</v>
      </c>
      <c r="L149" s="6" t="s">
        <v>22</v>
      </c>
      <c r="M149" s="10">
        <v>0</v>
      </c>
      <c r="N149" s="10">
        <v>8.5</v>
      </c>
      <c r="O149" s="6">
        <f>Table1[[#This Row],[R1 Length (km)]]+Table1[[#This Row],[T1 Length (km)]]</f>
        <v>8.5</v>
      </c>
      <c r="P149" s="5">
        <v>69</v>
      </c>
      <c r="Q149" s="6">
        <f>(Table1[[#This Row],[Linear Features (km)]]*1)*100</f>
        <v>850</v>
      </c>
      <c r="R149" s="10">
        <v>123.93</v>
      </c>
      <c r="S149" s="8">
        <f>Table1[[#This Row],[ATG (ha)]]/Table1[[#This Row],[Linear Area (ha)]]</f>
        <v>0.14580000000000001</v>
      </c>
      <c r="T149" s="9" t="s">
        <v>22</v>
      </c>
      <c r="U149" s="9" t="s">
        <v>22</v>
      </c>
      <c r="V149" s="10">
        <v>123.93</v>
      </c>
      <c r="W149" s="10">
        <v>49.572000000000003</v>
      </c>
      <c r="X149" s="31">
        <v>1735.44882251322</v>
      </c>
      <c r="Y149" s="27">
        <f>Table1[[#This Row],[Raw Terrestrial Score]]/Table1[[#This Row],[Summed Raw Scores]]</f>
        <v>0.36267662495963199</v>
      </c>
      <c r="Z149" s="31">
        <v>3049.6647003293001</v>
      </c>
      <c r="AA149" s="27">
        <f>Table1[[#This Row],[Raw Freshwater Score]]/Table1[[#This Row],[Summed Raw Scores]]</f>
        <v>0.63732337504036807</v>
      </c>
      <c r="AB149" s="27">
        <f>Table1[[#This Row],[Raw Terrestrial Score]]+Table1[[#This Row],[Raw Freshwater Score]]</f>
        <v>4785.1135228425201</v>
      </c>
      <c r="AC149" s="28">
        <f>Table1[[#This Row],[Terrestrial % of Summed Score]]*Table1[[#This Row],[Scaled Summed Score]]</f>
        <v>1.029023302789195E-2</v>
      </c>
      <c r="AD149" s="28">
        <f>Table1[[#This Row],[Freshwater % of Summed Score]]*Table1[[#This Row],[Scaled Summed Score]]</f>
        <v>1.8082792195438374E-2</v>
      </c>
      <c r="AE149" s="28">
        <f>Table1[[#This Row],[Summed Raw Scores]]/MAX(Table1[Summed Raw Scores])</f>
        <v>2.8373025223330323E-2</v>
      </c>
      <c r="AF149" s="7"/>
    </row>
    <row r="150" spans="1:32" hidden="1" x14ac:dyDescent="0.3">
      <c r="A150" s="26" t="s">
        <v>364</v>
      </c>
      <c r="B150" s="26" t="s">
        <v>58</v>
      </c>
      <c r="C150" s="26" t="s">
        <v>30</v>
      </c>
      <c r="D150" s="26"/>
      <c r="E150" s="10">
        <v>54.083533119999998</v>
      </c>
      <c r="F150" s="10">
        <v>-125.05285360000001</v>
      </c>
      <c r="G150" s="10">
        <v>24.125538460000001</v>
      </c>
      <c r="H150" s="26" t="s">
        <v>22</v>
      </c>
      <c r="I150" s="26" t="s">
        <v>22</v>
      </c>
      <c r="J150" s="10">
        <v>38.697618769999998</v>
      </c>
      <c r="K150" s="10">
        <v>145.5844884</v>
      </c>
      <c r="L150" s="6" t="s">
        <v>22</v>
      </c>
      <c r="M150" s="10">
        <v>0</v>
      </c>
      <c r="N150" s="10">
        <v>2.8</v>
      </c>
      <c r="O150" s="6">
        <f>Table1[[#This Row],[R1 Length (km)]]+Table1[[#This Row],[T1 Length (km)]]</f>
        <v>2.8</v>
      </c>
      <c r="P150" s="5">
        <v>69</v>
      </c>
      <c r="Q150" s="6">
        <f>(Table1[[#This Row],[Linear Features (km)]]*1)*100</f>
        <v>280</v>
      </c>
      <c r="R150" s="10">
        <v>98.01</v>
      </c>
      <c r="S150" s="8">
        <f>Table1[[#This Row],[ATG (ha)]]/Table1[[#This Row],[Linear Area (ha)]]</f>
        <v>0.35003571428571428</v>
      </c>
      <c r="T150" s="9" t="s">
        <v>22</v>
      </c>
      <c r="U150" s="9" t="s">
        <v>22</v>
      </c>
      <c r="V150" s="10">
        <v>98.01</v>
      </c>
      <c r="W150" s="10">
        <v>39.204000000000001</v>
      </c>
      <c r="X150" s="31">
        <v>1968.81581878662</v>
      </c>
      <c r="Y150" s="27">
        <f>Table1[[#This Row],[Raw Terrestrial Score]]/Table1[[#This Row],[Summed Raw Scores]]</f>
        <v>0.51137052228681457</v>
      </c>
      <c r="Z150" s="31">
        <v>1881.2610491216201</v>
      </c>
      <c r="AA150" s="27">
        <f>Table1[[#This Row],[Raw Freshwater Score]]/Table1[[#This Row],[Summed Raw Scores]]</f>
        <v>0.48862947771318538</v>
      </c>
      <c r="AB150" s="27">
        <f>Table1[[#This Row],[Raw Terrestrial Score]]+Table1[[#This Row],[Raw Freshwater Score]]</f>
        <v>3850.0768679082403</v>
      </c>
      <c r="AC150" s="28">
        <f>Table1[[#This Row],[Terrestrial % of Summed Score]]*Table1[[#This Row],[Scaled Summed Score]]</f>
        <v>1.1673967737622455E-2</v>
      </c>
      <c r="AD150" s="28">
        <f>Table1[[#This Row],[Freshwater % of Summed Score]]*Table1[[#This Row],[Scaled Summed Score]]</f>
        <v>1.1154817319086047E-2</v>
      </c>
      <c r="AE150" s="28">
        <f>Table1[[#This Row],[Summed Raw Scores]]/MAX(Table1[Summed Raw Scores])</f>
        <v>2.2828785056708503E-2</v>
      </c>
      <c r="AF150" s="7"/>
    </row>
    <row r="151" spans="1:32" hidden="1" x14ac:dyDescent="0.3">
      <c r="A151" s="26" t="s">
        <v>320</v>
      </c>
      <c r="B151" s="26" t="s">
        <v>58</v>
      </c>
      <c r="C151" s="26" t="s">
        <v>30</v>
      </c>
      <c r="D151" s="26"/>
      <c r="E151" s="10">
        <v>54.05108087</v>
      </c>
      <c r="F151" s="10">
        <v>-124.93800090000001</v>
      </c>
      <c r="G151" s="10">
        <v>41.671384619999998</v>
      </c>
      <c r="H151" s="26" t="s">
        <v>22</v>
      </c>
      <c r="I151" s="26" t="s">
        <v>22</v>
      </c>
      <c r="J151" s="10">
        <v>66.293952809999993</v>
      </c>
      <c r="K151" s="10">
        <v>131.9197762</v>
      </c>
      <c r="L151" s="6" t="s">
        <v>22</v>
      </c>
      <c r="M151" s="10">
        <v>0.6</v>
      </c>
      <c r="N151" s="10">
        <v>6.2</v>
      </c>
      <c r="O151" s="6">
        <f>Table1[[#This Row],[R1 Length (km)]]+Table1[[#This Row],[T1 Length (km)]]</f>
        <v>6.8</v>
      </c>
      <c r="P151" s="5">
        <v>69</v>
      </c>
      <c r="Q151" s="6">
        <f>(Table1[[#This Row],[Linear Features (km)]]*1)*100</f>
        <v>680</v>
      </c>
      <c r="R151" s="10">
        <v>169.29</v>
      </c>
      <c r="S151" s="8">
        <f>Table1[[#This Row],[ATG (ha)]]/Table1[[#This Row],[Linear Area (ha)]]</f>
        <v>0.24895588235294117</v>
      </c>
      <c r="T151" s="9" t="s">
        <v>22</v>
      </c>
      <c r="U151" s="9" t="s">
        <v>22</v>
      </c>
      <c r="V151" s="10">
        <v>169.29</v>
      </c>
      <c r="W151" s="10">
        <v>67.715999999999994</v>
      </c>
      <c r="X151" s="31">
        <v>3141.8303881883598</v>
      </c>
      <c r="Y151" s="27">
        <f>Table1[[#This Row],[Raw Terrestrial Score]]/Table1[[#This Row],[Summed Raw Scores]]</f>
        <v>0.43133170994897641</v>
      </c>
      <c r="Z151" s="31">
        <v>4142.1932894587499</v>
      </c>
      <c r="AA151" s="27">
        <f>Table1[[#This Row],[Raw Freshwater Score]]/Table1[[#This Row],[Summed Raw Scores]]</f>
        <v>0.56866829005102348</v>
      </c>
      <c r="AB151" s="27">
        <f>Table1[[#This Row],[Raw Terrestrial Score]]+Table1[[#This Row],[Raw Freshwater Score]]</f>
        <v>7284.0236776471102</v>
      </c>
      <c r="AC151" s="28">
        <f>Table1[[#This Row],[Terrestrial % of Summed Score]]*Table1[[#This Row],[Scaled Summed Score]]</f>
        <v>1.862928275911413E-2</v>
      </c>
      <c r="AD151" s="28">
        <f>Table1[[#This Row],[Freshwater % of Summed Score]]*Table1[[#This Row],[Scaled Summed Score]]</f>
        <v>2.4560870733931501E-2</v>
      </c>
      <c r="AE151" s="28">
        <f>Table1[[#This Row],[Summed Raw Scores]]/MAX(Table1[Summed Raw Scores])</f>
        <v>4.3190153493045634E-2</v>
      </c>
      <c r="AF151" s="7"/>
    </row>
    <row r="152" spans="1:32" hidden="1" x14ac:dyDescent="0.3">
      <c r="A152" s="26" t="s">
        <v>307</v>
      </c>
      <c r="B152" s="26" t="s">
        <v>58</v>
      </c>
      <c r="C152" s="26" t="s">
        <v>30</v>
      </c>
      <c r="D152" s="26"/>
      <c r="E152" s="10">
        <v>54.12836059</v>
      </c>
      <c r="F152" s="10">
        <v>-124.7907251</v>
      </c>
      <c r="G152" s="10">
        <v>51.84</v>
      </c>
      <c r="H152" s="26" t="s">
        <v>22</v>
      </c>
      <c r="I152" s="26" t="s">
        <v>22</v>
      </c>
      <c r="J152" s="10">
        <v>83.822115069999995</v>
      </c>
      <c r="K152" s="10">
        <v>129.70126819999999</v>
      </c>
      <c r="L152" s="6" t="s">
        <v>22</v>
      </c>
      <c r="M152" s="10">
        <v>0</v>
      </c>
      <c r="N152" s="10">
        <v>15.1</v>
      </c>
      <c r="O152" s="6">
        <f>Table1[[#This Row],[R1 Length (km)]]+Table1[[#This Row],[T1 Length (km)]]</f>
        <v>15.1</v>
      </c>
      <c r="P152" s="5">
        <v>69</v>
      </c>
      <c r="Q152" s="6">
        <f>(Table1[[#This Row],[Linear Features (km)]]*1)*100</f>
        <v>1510</v>
      </c>
      <c r="R152" s="10">
        <v>210.6</v>
      </c>
      <c r="S152" s="8">
        <f>Table1[[#This Row],[ATG (ha)]]/Table1[[#This Row],[Linear Area (ha)]]</f>
        <v>0.13947019867549668</v>
      </c>
      <c r="T152" s="9" t="s">
        <v>22</v>
      </c>
      <c r="U152" s="9" t="s">
        <v>22</v>
      </c>
      <c r="V152" s="10">
        <v>210.6</v>
      </c>
      <c r="W152" s="10">
        <v>84.24</v>
      </c>
      <c r="X152" s="31">
        <v>4947.7669616267103</v>
      </c>
      <c r="Y152" s="27">
        <f>Table1[[#This Row],[Raw Terrestrial Score]]/Table1[[#This Row],[Summed Raw Scores]]</f>
        <v>0.3918320673747851</v>
      </c>
      <c r="Z152" s="31">
        <v>7679.4970465898496</v>
      </c>
      <c r="AA152" s="27">
        <f>Table1[[#This Row],[Raw Freshwater Score]]/Table1[[#This Row],[Summed Raw Scores]]</f>
        <v>0.60816793262521485</v>
      </c>
      <c r="AB152" s="27">
        <f>Table1[[#This Row],[Raw Terrestrial Score]]+Table1[[#This Row],[Raw Freshwater Score]]</f>
        <v>12627.26400821656</v>
      </c>
      <c r="AC152" s="28">
        <f>Table1[[#This Row],[Terrestrial % of Summed Score]]*Table1[[#This Row],[Scaled Summed Score]]</f>
        <v>2.9337468407228662E-2</v>
      </c>
      <c r="AD152" s="28">
        <f>Table1[[#This Row],[Freshwater % of Summed Score]]*Table1[[#This Row],[Scaled Summed Score]]</f>
        <v>4.5535087593063024E-2</v>
      </c>
      <c r="AE152" s="28">
        <f>Table1[[#This Row],[Summed Raw Scores]]/MAX(Table1[Summed Raw Scores])</f>
        <v>7.487255600029169E-2</v>
      </c>
      <c r="AF152" s="7"/>
    </row>
    <row r="153" spans="1:32" hidden="1" x14ac:dyDescent="0.3">
      <c r="A153" s="26" t="s">
        <v>311</v>
      </c>
      <c r="B153" s="26" t="s">
        <v>58</v>
      </c>
      <c r="C153" s="26" t="s">
        <v>59</v>
      </c>
      <c r="D153" s="26"/>
      <c r="E153" s="10">
        <v>54.116658860000001</v>
      </c>
      <c r="F153" s="10">
        <v>-122.9649916</v>
      </c>
      <c r="G153" s="10">
        <v>50.444307690000002</v>
      </c>
      <c r="H153" s="26" t="s">
        <v>22</v>
      </c>
      <c r="I153" s="26" t="s">
        <v>22</v>
      </c>
      <c r="J153" s="10">
        <v>81.337953279999994</v>
      </c>
      <c r="K153" s="10">
        <v>130.64257370000001</v>
      </c>
      <c r="L153" s="6" t="s">
        <v>22</v>
      </c>
      <c r="M153" s="10">
        <v>1.3</v>
      </c>
      <c r="N153" s="10">
        <v>15.9</v>
      </c>
      <c r="O153" s="6">
        <f>Table1[[#This Row],[R1 Length (km)]]+Table1[[#This Row],[T1 Length (km)]]</f>
        <v>17.2</v>
      </c>
      <c r="P153" s="5">
        <v>69</v>
      </c>
      <c r="Q153" s="6">
        <f>(Table1[[#This Row],[Linear Features (km)]]*1)*100</f>
        <v>1720</v>
      </c>
      <c r="R153" s="10">
        <v>204.93</v>
      </c>
      <c r="S153" s="8">
        <f>Table1[[#This Row],[ATG (ha)]]/Table1[[#This Row],[Linear Area (ha)]]</f>
        <v>0.1191453488372093</v>
      </c>
      <c r="T153" s="9" t="s">
        <v>22</v>
      </c>
      <c r="U153" s="9" t="s">
        <v>22</v>
      </c>
      <c r="V153" s="10">
        <v>204.93</v>
      </c>
      <c r="W153" s="10">
        <v>81.971999999999994</v>
      </c>
      <c r="X153" s="31">
        <v>4579.2918069958696</v>
      </c>
      <c r="Y153" s="27">
        <f>Table1[[#This Row],[Raw Terrestrial Score]]/Table1[[#This Row],[Summed Raw Scores]]</f>
        <v>0.39511792704277193</v>
      </c>
      <c r="Z153" s="31">
        <v>7010.39191418886</v>
      </c>
      <c r="AA153" s="27">
        <f>Table1[[#This Row],[Raw Freshwater Score]]/Table1[[#This Row],[Summed Raw Scores]]</f>
        <v>0.60488207295722807</v>
      </c>
      <c r="AB153" s="27">
        <f>Table1[[#This Row],[Raw Terrestrial Score]]+Table1[[#This Row],[Raw Freshwater Score]]</f>
        <v>11589.683721184731</v>
      </c>
      <c r="AC153" s="28">
        <f>Table1[[#This Row],[Terrestrial % of Summed Score]]*Table1[[#This Row],[Scaled Summed Score]]</f>
        <v>2.7152618495809865E-2</v>
      </c>
      <c r="AD153" s="28">
        <f>Table1[[#This Row],[Freshwater % of Summed Score]]*Table1[[#This Row],[Scaled Summed Score]]</f>
        <v>4.1567671416195481E-2</v>
      </c>
      <c r="AE153" s="28">
        <f>Table1[[#This Row],[Summed Raw Scores]]/MAX(Table1[Summed Raw Scores])</f>
        <v>6.872028991200535E-2</v>
      </c>
      <c r="AF153" s="7"/>
    </row>
    <row r="154" spans="1:32" hidden="1" x14ac:dyDescent="0.3">
      <c r="A154" s="26" t="s">
        <v>282</v>
      </c>
      <c r="B154" s="26" t="s">
        <v>58</v>
      </c>
      <c r="C154" s="26" t="s">
        <v>59</v>
      </c>
      <c r="D154" s="26"/>
      <c r="E154" s="10">
        <v>54.054946289999997</v>
      </c>
      <c r="F154" s="10">
        <v>-123.0271485</v>
      </c>
      <c r="G154" s="10">
        <v>185.42769229999999</v>
      </c>
      <c r="H154" s="26" t="s">
        <v>22</v>
      </c>
      <c r="I154" s="26" t="s">
        <v>22</v>
      </c>
      <c r="J154" s="10">
        <v>301.61394189999999</v>
      </c>
      <c r="K154" s="10">
        <v>124.50190360000001</v>
      </c>
      <c r="L154" s="6" t="s">
        <v>22</v>
      </c>
      <c r="M154" s="10">
        <v>0.3</v>
      </c>
      <c r="N154" s="10">
        <v>32.200000000000003</v>
      </c>
      <c r="O154" s="6">
        <f>Table1[[#This Row],[R1 Length (km)]]+Table1[[#This Row],[T1 Length (km)]]</f>
        <v>32.5</v>
      </c>
      <c r="P154" s="5">
        <v>230</v>
      </c>
      <c r="Q154" s="6">
        <f>(Table1[[#This Row],[Linear Features (km)]]*1)*100</f>
        <v>3250</v>
      </c>
      <c r="R154" s="10">
        <v>753.3</v>
      </c>
      <c r="S154" s="8">
        <f>Table1[[#This Row],[ATG (ha)]]/Table1[[#This Row],[Linear Area (ha)]]</f>
        <v>0.23178461538461537</v>
      </c>
      <c r="T154" s="9" t="s">
        <v>22</v>
      </c>
      <c r="U154" s="9" t="s">
        <v>22</v>
      </c>
      <c r="V154" s="10">
        <v>753.3</v>
      </c>
      <c r="W154" s="10">
        <v>301.32</v>
      </c>
      <c r="X154" s="31">
        <v>13714.962565530101</v>
      </c>
      <c r="Y154" s="27">
        <f>Table1[[#This Row],[Raw Terrestrial Score]]/Table1[[#This Row],[Summed Raw Scores]]</f>
        <v>0.56387404081665715</v>
      </c>
      <c r="Z154" s="31">
        <v>10607.7789915502</v>
      </c>
      <c r="AA154" s="27">
        <f>Table1[[#This Row],[Raw Freshwater Score]]/Table1[[#This Row],[Summed Raw Scores]]</f>
        <v>0.43612595918334285</v>
      </c>
      <c r="AB154" s="27">
        <f>Table1[[#This Row],[Raw Terrestrial Score]]+Table1[[#This Row],[Raw Freshwater Score]]</f>
        <v>24322.741557080299</v>
      </c>
      <c r="AC154" s="28">
        <f>Table1[[#This Row],[Terrestrial % of Summed Score]]*Table1[[#This Row],[Scaled Summed Score]]</f>
        <v>8.1321995173409656E-2</v>
      </c>
      <c r="AD154" s="28">
        <f>Table1[[#This Row],[Freshwater % of Summed Score]]*Table1[[#This Row],[Scaled Summed Score]]</f>
        <v>6.2898148487808087E-2</v>
      </c>
      <c r="AE154" s="28">
        <f>Table1[[#This Row],[Summed Raw Scores]]/MAX(Table1[Summed Raw Scores])</f>
        <v>0.14422014366121774</v>
      </c>
      <c r="AF154" s="7"/>
    </row>
    <row r="155" spans="1:32" hidden="1" x14ac:dyDescent="0.3">
      <c r="A155" s="26" t="s">
        <v>283</v>
      </c>
      <c r="B155" s="26" t="s">
        <v>58</v>
      </c>
      <c r="C155" s="26" t="s">
        <v>59</v>
      </c>
      <c r="D155" s="26"/>
      <c r="E155" s="10">
        <v>54.068912679999997</v>
      </c>
      <c r="F155" s="10">
        <v>-122.9393031</v>
      </c>
      <c r="G155" s="10">
        <v>110.2596923</v>
      </c>
      <c r="H155" s="26" t="s">
        <v>22</v>
      </c>
      <c r="I155" s="26" t="s">
        <v>22</v>
      </c>
      <c r="J155" s="10">
        <v>177.839686</v>
      </c>
      <c r="K155" s="10">
        <v>124.6004799</v>
      </c>
      <c r="L155" s="6" t="s">
        <v>22</v>
      </c>
      <c r="M155" s="10">
        <v>2.1</v>
      </c>
      <c r="N155" s="10">
        <v>24.3</v>
      </c>
      <c r="O155" s="6">
        <f>Table1[[#This Row],[R1 Length (km)]]+Table1[[#This Row],[T1 Length (km)]]</f>
        <v>26.400000000000002</v>
      </c>
      <c r="P155" s="5">
        <v>130</v>
      </c>
      <c r="Q155" s="6">
        <f>(Table1[[#This Row],[Linear Features (km)]]*1)*100</f>
        <v>2640</v>
      </c>
      <c r="R155" s="10">
        <v>447.93</v>
      </c>
      <c r="S155" s="8">
        <f>Table1[[#This Row],[ATG (ha)]]/Table1[[#This Row],[Linear Area (ha)]]</f>
        <v>0.16967045454545454</v>
      </c>
      <c r="T155" s="9" t="s">
        <v>22</v>
      </c>
      <c r="U155" s="9" t="s">
        <v>22</v>
      </c>
      <c r="V155" s="10">
        <v>447.93</v>
      </c>
      <c r="W155" s="10">
        <v>179.172</v>
      </c>
      <c r="X155" s="31">
        <v>11785.405978847301</v>
      </c>
      <c r="Y155" s="27">
        <f>Table1[[#This Row],[Raw Terrestrial Score]]/Table1[[#This Row],[Summed Raw Scores]]</f>
        <v>0.54841242290229919</v>
      </c>
      <c r="Z155" s="31">
        <v>9704.6359798610192</v>
      </c>
      <c r="AA155" s="27">
        <f>Table1[[#This Row],[Raw Freshwater Score]]/Table1[[#This Row],[Summed Raw Scores]]</f>
        <v>0.45158757709770081</v>
      </c>
      <c r="AB155" s="27">
        <f>Table1[[#This Row],[Raw Terrestrial Score]]+Table1[[#This Row],[Raw Freshwater Score]]</f>
        <v>21490.04195870832</v>
      </c>
      <c r="AC155" s="28">
        <f>Table1[[#This Row],[Terrestrial % of Summed Score]]*Table1[[#This Row],[Scaled Summed Score]]</f>
        <v>6.9880812546822255E-2</v>
      </c>
      <c r="AD155" s="28">
        <f>Table1[[#This Row],[Freshwater % of Summed Score]]*Table1[[#This Row],[Scaled Summed Score]]</f>
        <v>5.7543019643193014E-2</v>
      </c>
      <c r="AE155" s="28">
        <f>Table1[[#This Row],[Summed Raw Scores]]/MAX(Table1[Summed Raw Scores])</f>
        <v>0.12742383219001527</v>
      </c>
      <c r="AF155" s="7"/>
    </row>
    <row r="156" spans="1:32" hidden="1" x14ac:dyDescent="0.3">
      <c r="A156" s="26" t="s">
        <v>265</v>
      </c>
      <c r="B156" s="26" t="s">
        <v>58</v>
      </c>
      <c r="C156" s="26" t="s">
        <v>59</v>
      </c>
      <c r="D156" s="26"/>
      <c r="E156" s="10">
        <v>54.13059775</v>
      </c>
      <c r="F156" s="10">
        <v>-122.87702400000001</v>
      </c>
      <c r="G156" s="10">
        <v>135.7809231</v>
      </c>
      <c r="H156" s="26" t="s">
        <v>22</v>
      </c>
      <c r="I156" s="26" t="s">
        <v>22</v>
      </c>
      <c r="J156" s="10">
        <v>215.1798311</v>
      </c>
      <c r="K156" s="10">
        <v>121.23780170000001</v>
      </c>
      <c r="L156" s="6" t="s">
        <v>22</v>
      </c>
      <c r="M156" s="10">
        <v>1.6</v>
      </c>
      <c r="N156" s="10">
        <v>17.5</v>
      </c>
      <c r="O156" s="6">
        <f>Table1[[#This Row],[R1 Length (km)]]+Table1[[#This Row],[T1 Length (km)]]</f>
        <v>19.100000000000001</v>
      </c>
      <c r="P156" s="5">
        <v>130</v>
      </c>
      <c r="Q156" s="6">
        <f>(Table1[[#This Row],[Linear Features (km)]]*1)*100</f>
        <v>1910.0000000000002</v>
      </c>
      <c r="R156" s="10">
        <v>551.61</v>
      </c>
      <c r="S156" s="8">
        <f>Table1[[#This Row],[ATG (ha)]]/Table1[[#This Row],[Linear Area (ha)]]</f>
        <v>0.28880104712041882</v>
      </c>
      <c r="T156" s="9" t="s">
        <v>22</v>
      </c>
      <c r="U156" s="9" t="s">
        <v>22</v>
      </c>
      <c r="V156" s="10">
        <v>551.61</v>
      </c>
      <c r="W156" s="10">
        <v>220.64400000000001</v>
      </c>
      <c r="X156" s="31">
        <v>12051.2493394949</v>
      </c>
      <c r="Y156" s="27">
        <f>Table1[[#This Row],[Raw Terrestrial Score]]/Table1[[#This Row],[Summed Raw Scores]]</f>
        <v>0.65542766524078389</v>
      </c>
      <c r="Z156" s="31">
        <v>6335.59939852357</v>
      </c>
      <c r="AA156" s="27">
        <f>Table1[[#This Row],[Raw Freshwater Score]]/Table1[[#This Row],[Summed Raw Scores]]</f>
        <v>0.34457233475921606</v>
      </c>
      <c r="AB156" s="27">
        <f>Table1[[#This Row],[Raw Terrestrial Score]]+Table1[[#This Row],[Raw Freshwater Score]]</f>
        <v>18386.848738018471</v>
      </c>
      <c r="AC156" s="28">
        <f>Table1[[#This Row],[Terrestrial % of Summed Score]]*Table1[[#This Row],[Scaled Summed Score]]</f>
        <v>7.1457113786302276E-2</v>
      </c>
      <c r="AD156" s="28">
        <f>Table1[[#This Row],[Freshwater % of Summed Score]]*Table1[[#This Row],[Scaled Summed Score]]</f>
        <v>3.7566532263260087E-2</v>
      </c>
      <c r="AE156" s="28">
        <f>Table1[[#This Row],[Summed Raw Scores]]/MAX(Table1[Summed Raw Scores])</f>
        <v>0.10902364604956237</v>
      </c>
      <c r="AF156" s="7"/>
    </row>
    <row r="157" spans="1:32" hidden="1" x14ac:dyDescent="0.3">
      <c r="A157" s="26" t="s">
        <v>57</v>
      </c>
      <c r="B157" s="26" t="s">
        <v>58</v>
      </c>
      <c r="C157" s="26" t="s">
        <v>59</v>
      </c>
      <c r="D157" s="26"/>
      <c r="E157" s="6">
        <v>54.144493179999998</v>
      </c>
      <c r="F157" s="6">
        <v>-122.7890088</v>
      </c>
      <c r="G157" s="6">
        <v>215.933538462</v>
      </c>
      <c r="H157" s="6" t="s">
        <v>22</v>
      </c>
      <c r="I157" s="6" t="s">
        <v>22</v>
      </c>
      <c r="J157" s="6">
        <v>341.24863688479297</v>
      </c>
      <c r="K157" s="6">
        <v>102.9148728582885</v>
      </c>
      <c r="L157" s="6" t="s">
        <v>22</v>
      </c>
      <c r="M157" s="6">
        <v>0.6</v>
      </c>
      <c r="N157" s="6">
        <v>11.3</v>
      </c>
      <c r="O157" s="6">
        <f>Table1[[#This Row],[R1 Length (km)]]+Table1[[#This Row],[T1 Length (km)]]</f>
        <v>11.9</v>
      </c>
      <c r="P157" s="26">
        <v>230</v>
      </c>
      <c r="Q157" s="6">
        <f>(Table1[[#This Row],[Linear Features (km)]]*1)*100</f>
        <v>1190</v>
      </c>
      <c r="R157" s="6">
        <v>720.9</v>
      </c>
      <c r="S157" s="29">
        <f>Table1[[#This Row],[ATG (ha)]]/Table1[[#This Row],[Linear Area (ha)]]</f>
        <v>0.60579831932773109</v>
      </c>
      <c r="T157" s="9" t="s">
        <v>22</v>
      </c>
      <c r="U157" s="9" t="s">
        <v>22</v>
      </c>
      <c r="V157" s="6">
        <v>720.9</v>
      </c>
      <c r="W157" s="6">
        <v>288.36</v>
      </c>
      <c r="X157" s="31">
        <v>6739.29359317943</v>
      </c>
      <c r="Y157" s="27">
        <f>Table1[[#This Row],[Raw Terrestrial Score]]/Table1[[#This Row],[Summed Raw Scores]]</f>
        <v>0.59203301173233269</v>
      </c>
      <c r="Z157" s="31">
        <v>4644.0135191380996</v>
      </c>
      <c r="AA157" s="27">
        <f>Table1[[#This Row],[Raw Freshwater Score]]/Table1[[#This Row],[Summed Raw Scores]]</f>
        <v>0.40796698826766736</v>
      </c>
      <c r="AB157" s="27">
        <f>Table1[[#This Row],[Raw Terrestrial Score]]+Table1[[#This Row],[Raw Freshwater Score]]</f>
        <v>11383.307112317529</v>
      </c>
      <c r="AC157" s="28">
        <f>Table1[[#This Row],[Terrestrial % of Summed Score]]*Table1[[#This Row],[Scaled Summed Score]]</f>
        <v>3.9960211224648379E-2</v>
      </c>
      <c r="AD157" s="28">
        <f>Table1[[#This Row],[Freshwater % of Summed Score]]*Table1[[#This Row],[Scaled Summed Score]]</f>
        <v>2.753638175708726E-2</v>
      </c>
      <c r="AE157" s="28">
        <f>Table1[[#This Row],[Summed Raw Scores]]/MAX(Table1[Summed Raw Scores])</f>
        <v>6.7496592981735631E-2</v>
      </c>
      <c r="AF157" s="7"/>
    </row>
    <row r="158" spans="1:32" hidden="1" x14ac:dyDescent="0.3">
      <c r="A158" s="26" t="s">
        <v>342</v>
      </c>
      <c r="B158" s="26" t="s">
        <v>58</v>
      </c>
      <c r="C158" s="26" t="s">
        <v>59</v>
      </c>
      <c r="D158" s="26"/>
      <c r="E158" s="10">
        <v>54.082835680000002</v>
      </c>
      <c r="F158" s="10">
        <v>-122.8514101</v>
      </c>
      <c r="G158" s="10">
        <v>34.493538460000003</v>
      </c>
      <c r="H158" s="26" t="s">
        <v>22</v>
      </c>
      <c r="I158" s="26" t="s">
        <v>22</v>
      </c>
      <c r="J158" s="10">
        <v>54.918278970000003</v>
      </c>
      <c r="K158" s="10">
        <v>138.5312735</v>
      </c>
      <c r="L158" s="6" t="s">
        <v>22</v>
      </c>
      <c r="M158" s="10">
        <v>0</v>
      </c>
      <c r="N158" s="10">
        <v>9.5</v>
      </c>
      <c r="O158" s="6">
        <f>Table1[[#This Row],[R1 Length (km)]]+Table1[[#This Row],[T1 Length (km)]]</f>
        <v>9.5</v>
      </c>
      <c r="P158" s="5">
        <v>69</v>
      </c>
      <c r="Q158" s="6">
        <f>(Table1[[#This Row],[Linear Features (km)]]*1)*100</f>
        <v>950</v>
      </c>
      <c r="R158" s="10">
        <v>140.13</v>
      </c>
      <c r="S158" s="8">
        <f>Table1[[#This Row],[ATG (ha)]]/Table1[[#This Row],[Linear Area (ha)]]</f>
        <v>0.14750526315789472</v>
      </c>
      <c r="T158" s="9" t="s">
        <v>22</v>
      </c>
      <c r="U158" s="9" t="s">
        <v>22</v>
      </c>
      <c r="V158" s="10">
        <v>140.13</v>
      </c>
      <c r="W158" s="10">
        <v>56.052</v>
      </c>
      <c r="X158" s="31">
        <v>3092.4693369269398</v>
      </c>
      <c r="Y158" s="27">
        <f>Table1[[#This Row],[Raw Terrestrial Score]]/Table1[[#This Row],[Summed Raw Scores]]</f>
        <v>0.47969290883090382</v>
      </c>
      <c r="Z158" s="31">
        <v>3354.2995854318101</v>
      </c>
      <c r="AA158" s="27">
        <f>Table1[[#This Row],[Raw Freshwater Score]]/Table1[[#This Row],[Summed Raw Scores]]</f>
        <v>0.52030709116909624</v>
      </c>
      <c r="AB158" s="27">
        <f>Table1[[#This Row],[Raw Terrestrial Score]]+Table1[[#This Row],[Raw Freshwater Score]]</f>
        <v>6446.7689223587495</v>
      </c>
      <c r="AC158" s="28">
        <f>Table1[[#This Row],[Terrestrial % of Summed Score]]*Table1[[#This Row],[Scaled Summed Score]]</f>
        <v>1.8336599556133728E-2</v>
      </c>
      <c r="AD158" s="28">
        <f>Table1[[#This Row],[Freshwater % of Summed Score]]*Table1[[#This Row],[Scaled Summed Score]]</f>
        <v>1.9889105303300725E-2</v>
      </c>
      <c r="AE158" s="28">
        <f>Table1[[#This Row],[Summed Raw Scores]]/MAX(Table1[Summed Raw Scores])</f>
        <v>3.8225704859434453E-2</v>
      </c>
      <c r="AF158" s="7"/>
    </row>
    <row r="159" spans="1:32" hidden="1" x14ac:dyDescent="0.3">
      <c r="A159" s="26" t="s">
        <v>271</v>
      </c>
      <c r="B159" s="26" t="s">
        <v>58</v>
      </c>
      <c r="C159" s="26" t="s">
        <v>59</v>
      </c>
      <c r="D159" s="26"/>
      <c r="E159" s="10">
        <v>54.096715250000003</v>
      </c>
      <c r="F159" s="10">
        <v>-122.7634697</v>
      </c>
      <c r="G159" s="10">
        <v>160.50461540000001</v>
      </c>
      <c r="H159" s="26" t="s">
        <v>22</v>
      </c>
      <c r="I159" s="26" t="s">
        <v>22</v>
      </c>
      <c r="J159" s="10">
        <v>253.24756149999999</v>
      </c>
      <c r="K159" s="10">
        <v>122.3110527</v>
      </c>
      <c r="L159" s="6" t="s">
        <v>22</v>
      </c>
      <c r="M159" s="10">
        <v>0</v>
      </c>
      <c r="N159" s="10">
        <v>11.4</v>
      </c>
      <c r="O159" s="6">
        <f>Table1[[#This Row],[R1 Length (km)]]+Table1[[#This Row],[T1 Length (km)]]</f>
        <v>11.4</v>
      </c>
      <c r="P159" s="5">
        <v>230</v>
      </c>
      <c r="Q159" s="6">
        <f>(Table1[[#This Row],[Linear Features (km)]]*1)*100</f>
        <v>1140</v>
      </c>
      <c r="R159" s="10">
        <v>652.04999999999995</v>
      </c>
      <c r="S159" s="8">
        <f>Table1[[#This Row],[ATG (ha)]]/Table1[[#This Row],[Linear Area (ha)]]</f>
        <v>0.5719736842105263</v>
      </c>
      <c r="T159" s="9" t="s">
        <v>22</v>
      </c>
      <c r="U159" s="9" t="s">
        <v>22</v>
      </c>
      <c r="V159" s="10">
        <v>652.04999999999995</v>
      </c>
      <c r="W159" s="10">
        <v>260.82</v>
      </c>
      <c r="X159" s="31">
        <v>5956.6118541322603</v>
      </c>
      <c r="Y159" s="27">
        <f>Table1[[#This Row],[Raw Terrestrial Score]]/Table1[[#This Row],[Summed Raw Scores]]</f>
        <v>0.64018444111620498</v>
      </c>
      <c r="Z159" s="31">
        <v>3347.91270405054</v>
      </c>
      <c r="AA159" s="27">
        <f>Table1[[#This Row],[Raw Freshwater Score]]/Table1[[#This Row],[Summed Raw Scores]]</f>
        <v>0.35981555888379502</v>
      </c>
      <c r="AB159" s="27">
        <f>Table1[[#This Row],[Raw Terrestrial Score]]+Table1[[#This Row],[Raw Freshwater Score]]</f>
        <v>9304.5245581828003</v>
      </c>
      <c r="AC159" s="28">
        <f>Table1[[#This Row],[Terrestrial % of Summed Score]]*Table1[[#This Row],[Scaled Summed Score]]</f>
        <v>3.5319349807710947E-2</v>
      </c>
      <c r="AD159" s="28">
        <f>Table1[[#This Row],[Freshwater % of Summed Score]]*Table1[[#This Row],[Scaled Summed Score]]</f>
        <v>1.9851234697793853E-2</v>
      </c>
      <c r="AE159" s="28">
        <f>Table1[[#This Row],[Summed Raw Scores]]/MAX(Table1[Summed Raw Scores])</f>
        <v>5.5170584505504799E-2</v>
      </c>
      <c r="AF159" s="7"/>
    </row>
    <row r="160" spans="1:32" hidden="1" x14ac:dyDescent="0.3">
      <c r="A160" s="26" t="s">
        <v>362</v>
      </c>
      <c r="B160" s="26" t="s">
        <v>58</v>
      </c>
      <c r="C160" s="26" t="s">
        <v>59</v>
      </c>
      <c r="D160" s="26"/>
      <c r="E160" s="10">
        <v>54.158345089999997</v>
      </c>
      <c r="F160" s="10">
        <v>-122.7009462</v>
      </c>
      <c r="G160" s="10">
        <v>15.15323077</v>
      </c>
      <c r="H160" s="26" t="s">
        <v>22</v>
      </c>
      <c r="I160" s="26" t="s">
        <v>22</v>
      </c>
      <c r="J160" s="10">
        <v>23.698995740000001</v>
      </c>
      <c r="K160" s="10">
        <v>144.9523906</v>
      </c>
      <c r="L160" s="6" t="s">
        <v>22</v>
      </c>
      <c r="M160" s="10">
        <v>1.6</v>
      </c>
      <c r="N160" s="10">
        <v>5.9</v>
      </c>
      <c r="O160" s="6">
        <f>Table1[[#This Row],[R1 Length (km)]]+Table1[[#This Row],[T1 Length (km)]]</f>
        <v>7.5</v>
      </c>
      <c r="P160" s="5">
        <v>25</v>
      </c>
      <c r="Q160" s="6">
        <f>(Table1[[#This Row],[Linear Features (km)]]*1)*100</f>
        <v>750</v>
      </c>
      <c r="R160" s="10">
        <v>61.56</v>
      </c>
      <c r="S160" s="8">
        <f>Table1[[#This Row],[ATG (ha)]]/Table1[[#This Row],[Linear Area (ha)]]</f>
        <v>8.208E-2</v>
      </c>
      <c r="T160" s="9" t="s">
        <v>22</v>
      </c>
      <c r="U160" s="9" t="s">
        <v>22</v>
      </c>
      <c r="V160" s="10">
        <v>61.56</v>
      </c>
      <c r="W160" s="10">
        <v>24.623999999999999</v>
      </c>
      <c r="X160" s="31">
        <v>2720.6693831942998</v>
      </c>
      <c r="Y160" s="27">
        <f>Table1[[#This Row],[Raw Terrestrial Score]]/Table1[[#This Row],[Summed Raw Scores]]</f>
        <v>0.4899194481311353</v>
      </c>
      <c r="Z160" s="31">
        <v>2832.63002872467</v>
      </c>
      <c r="AA160" s="27">
        <f>Table1[[#This Row],[Raw Freshwater Score]]/Table1[[#This Row],[Summed Raw Scores]]</f>
        <v>0.5100805518688647</v>
      </c>
      <c r="AB160" s="27">
        <f>Table1[[#This Row],[Raw Terrestrial Score]]+Table1[[#This Row],[Raw Freshwater Score]]</f>
        <v>5553.2994119189698</v>
      </c>
      <c r="AC160" s="28">
        <f>Table1[[#This Row],[Terrestrial % of Summed Score]]*Table1[[#This Row],[Scaled Summed Score]]</f>
        <v>1.6132035460646454E-2</v>
      </c>
      <c r="AD160" s="28">
        <f>Table1[[#This Row],[Freshwater % of Summed Score]]*Table1[[#This Row],[Scaled Summed Score]]</f>
        <v>1.679589896241903E-2</v>
      </c>
      <c r="AE160" s="28">
        <f>Table1[[#This Row],[Summed Raw Scores]]/MAX(Table1[Summed Raw Scores])</f>
        <v>3.2927934423065484E-2</v>
      </c>
      <c r="AF160" s="7"/>
    </row>
    <row r="161" spans="1:32" hidden="1" x14ac:dyDescent="0.3">
      <c r="A161" s="26" t="s">
        <v>60</v>
      </c>
      <c r="B161" s="26" t="s">
        <v>58</v>
      </c>
      <c r="C161" s="26" t="s">
        <v>59</v>
      </c>
      <c r="D161" s="26"/>
      <c r="E161" s="6">
        <v>54.110551350000001</v>
      </c>
      <c r="F161" s="6">
        <v>-122.67548189999999</v>
      </c>
      <c r="G161" s="6">
        <v>139.569230769</v>
      </c>
      <c r="H161" s="6" t="s">
        <v>22</v>
      </c>
      <c r="I161" s="6" t="s">
        <v>22</v>
      </c>
      <c r="J161" s="6">
        <v>218.33480922059522</v>
      </c>
      <c r="K161" s="6">
        <v>103.50424852725466</v>
      </c>
      <c r="L161" s="6" t="s">
        <v>22</v>
      </c>
      <c r="M161" s="6">
        <v>0.8</v>
      </c>
      <c r="N161" s="6">
        <v>5.3</v>
      </c>
      <c r="O161" s="6">
        <f>Table1[[#This Row],[R1 Length (km)]]+Table1[[#This Row],[T1 Length (km)]]</f>
        <v>6.1</v>
      </c>
      <c r="P161" s="26">
        <v>130</v>
      </c>
      <c r="Q161" s="6">
        <f>(Table1[[#This Row],[Linear Features (km)]]*1)*100</f>
        <v>610</v>
      </c>
      <c r="R161" s="6">
        <v>490.86</v>
      </c>
      <c r="S161" s="29">
        <f>Table1[[#This Row],[ATG (ha)]]/Table1[[#This Row],[Linear Area (ha)]]</f>
        <v>0.80468852459016393</v>
      </c>
      <c r="T161" s="9" t="s">
        <v>22</v>
      </c>
      <c r="U161" s="9" t="s">
        <v>22</v>
      </c>
      <c r="V161" s="6">
        <v>490.86</v>
      </c>
      <c r="W161" s="6">
        <v>196.34400000000002</v>
      </c>
      <c r="X161" s="31">
        <v>4631.8899481259295</v>
      </c>
      <c r="Y161" s="27">
        <f>Table1[[#This Row],[Raw Terrestrial Score]]/Table1[[#This Row],[Summed Raw Scores]]</f>
        <v>0.62344856020849015</v>
      </c>
      <c r="Z161" s="31">
        <v>2797.5761598348599</v>
      </c>
      <c r="AA161" s="27">
        <f>Table1[[#This Row],[Raw Freshwater Score]]/Table1[[#This Row],[Summed Raw Scores]]</f>
        <v>0.37655143979150979</v>
      </c>
      <c r="AB161" s="27">
        <f>Table1[[#This Row],[Raw Terrestrial Score]]+Table1[[#This Row],[Raw Freshwater Score]]</f>
        <v>7429.4661079607895</v>
      </c>
      <c r="AC161" s="28">
        <f>Table1[[#This Row],[Terrestrial % of Summed Score]]*Table1[[#This Row],[Scaled Summed Score]]</f>
        <v>2.7464495816558767E-2</v>
      </c>
      <c r="AD161" s="28">
        <f>Table1[[#This Row],[Freshwater % of Summed Score]]*Table1[[#This Row],[Scaled Summed Score]]</f>
        <v>1.6588049284153701E-2</v>
      </c>
      <c r="AE161" s="28">
        <f>Table1[[#This Row],[Summed Raw Scores]]/MAX(Table1[Summed Raw Scores])</f>
        <v>4.4052545100712472E-2</v>
      </c>
      <c r="AF161" s="7"/>
    </row>
    <row r="162" spans="1:32" hidden="1" x14ac:dyDescent="0.3">
      <c r="A162" s="26" t="s">
        <v>355</v>
      </c>
      <c r="B162" s="26" t="s">
        <v>58</v>
      </c>
      <c r="C162" s="26" t="s">
        <v>30</v>
      </c>
      <c r="D162" s="26"/>
      <c r="E162" s="10">
        <v>53.922611259999996</v>
      </c>
      <c r="F162" s="10">
        <v>-123.52705659999999</v>
      </c>
      <c r="G162" s="10">
        <v>84.738461540000003</v>
      </c>
      <c r="H162" s="26" t="s">
        <v>22</v>
      </c>
      <c r="I162" s="26" t="s">
        <v>22</v>
      </c>
      <c r="J162" s="10">
        <v>144.4680716</v>
      </c>
      <c r="K162" s="10">
        <v>141.7454127</v>
      </c>
      <c r="L162" s="6" t="s">
        <v>22</v>
      </c>
      <c r="M162" s="10">
        <v>0.7</v>
      </c>
      <c r="N162" s="10">
        <v>40.200000000000003</v>
      </c>
      <c r="O162" s="6">
        <f>Table1[[#This Row],[R1 Length (km)]]+Table1[[#This Row],[T1 Length (km)]]</f>
        <v>40.900000000000006</v>
      </c>
      <c r="P162" s="5">
        <v>230</v>
      </c>
      <c r="Q162" s="6">
        <f>(Table1[[#This Row],[Linear Features (km)]]*1)*100</f>
        <v>4090.0000000000005</v>
      </c>
      <c r="R162" s="10">
        <v>344.25</v>
      </c>
      <c r="S162" s="8">
        <f>Table1[[#This Row],[ATG (ha)]]/Table1[[#This Row],[Linear Area (ha)]]</f>
        <v>8.4168704156479202E-2</v>
      </c>
      <c r="T162" s="9" t="s">
        <v>22</v>
      </c>
      <c r="U162" s="9" t="s">
        <v>22</v>
      </c>
      <c r="V162" s="10">
        <v>344.25</v>
      </c>
      <c r="W162" s="10">
        <v>137.69999999999999</v>
      </c>
      <c r="X162" s="31">
        <v>14322.4706671238</v>
      </c>
      <c r="Y162" s="27">
        <f>Table1[[#This Row],[Raw Terrestrial Score]]/Table1[[#This Row],[Summed Raw Scores]]</f>
        <v>0.41275850444472201</v>
      </c>
      <c r="Z162" s="31">
        <v>20376.9250155687</v>
      </c>
      <c r="AA162" s="27">
        <f>Table1[[#This Row],[Raw Freshwater Score]]/Table1[[#This Row],[Summed Raw Scores]]</f>
        <v>0.58724149555527805</v>
      </c>
      <c r="AB162" s="27">
        <f>Table1[[#This Row],[Raw Terrestrial Score]]+Table1[[#This Row],[Raw Freshwater Score]]</f>
        <v>34699.395682692499</v>
      </c>
      <c r="AC162" s="28">
        <f>Table1[[#This Row],[Terrestrial % of Summed Score]]*Table1[[#This Row],[Scaled Summed Score]]</f>
        <v>8.4924175687542208E-2</v>
      </c>
      <c r="AD162" s="28">
        <f>Table1[[#This Row],[Freshwater % of Summed Score]]*Table1[[#This Row],[Scaled Summed Score]]</f>
        <v>0.12082367632047267</v>
      </c>
      <c r="AE162" s="28">
        <f>Table1[[#This Row],[Summed Raw Scores]]/MAX(Table1[Summed Raw Scores])</f>
        <v>0.20574785200801488</v>
      </c>
      <c r="AF162" s="7"/>
    </row>
    <row r="163" spans="1:32" hidden="1" x14ac:dyDescent="0.3">
      <c r="A163" s="26" t="s">
        <v>284</v>
      </c>
      <c r="B163" s="26" t="s">
        <v>58</v>
      </c>
      <c r="C163" s="26" t="s">
        <v>59</v>
      </c>
      <c r="D163" s="26"/>
      <c r="E163" s="10">
        <v>53.889182990000002</v>
      </c>
      <c r="F163" s="10">
        <v>-123.41353549999999</v>
      </c>
      <c r="G163" s="10">
        <v>138.77169230000001</v>
      </c>
      <c r="H163" s="26" t="s">
        <v>22</v>
      </c>
      <c r="I163" s="26" t="s">
        <v>22</v>
      </c>
      <c r="J163" s="10">
        <v>235.85113240000001</v>
      </c>
      <c r="K163" s="10">
        <v>124.791265</v>
      </c>
      <c r="L163" s="6" t="s">
        <v>22</v>
      </c>
      <c r="M163" s="10">
        <v>0.3</v>
      </c>
      <c r="N163" s="10">
        <v>66.099999999999994</v>
      </c>
      <c r="O163" s="6">
        <f>Table1[[#This Row],[R1 Length (km)]]+Table1[[#This Row],[T1 Length (km)]]</f>
        <v>66.399999999999991</v>
      </c>
      <c r="P163" s="5">
        <v>130</v>
      </c>
      <c r="Q163" s="6">
        <f>(Table1[[#This Row],[Linear Features (km)]]*1)*100</f>
        <v>6639.9999999999991</v>
      </c>
      <c r="R163" s="10">
        <v>563.76</v>
      </c>
      <c r="S163" s="8">
        <f>Table1[[#This Row],[ATG (ha)]]/Table1[[#This Row],[Linear Area (ha)]]</f>
        <v>8.4903614457831331E-2</v>
      </c>
      <c r="T163" s="9" t="s">
        <v>22</v>
      </c>
      <c r="U163" s="9" t="s">
        <v>22</v>
      </c>
      <c r="V163" s="10">
        <v>563.76</v>
      </c>
      <c r="W163" s="10">
        <v>225.50399999999999</v>
      </c>
      <c r="X163" s="31">
        <v>23343.9083500206</v>
      </c>
      <c r="Y163" s="27">
        <f>Table1[[#This Row],[Raw Terrestrial Score]]/Table1[[#This Row],[Summed Raw Scores]]</f>
        <v>0.48101823636168928</v>
      </c>
      <c r="Z163" s="31">
        <v>25186.2856954038</v>
      </c>
      <c r="AA163" s="27">
        <f>Table1[[#This Row],[Raw Freshwater Score]]/Table1[[#This Row],[Summed Raw Scores]]</f>
        <v>0.51898176363831072</v>
      </c>
      <c r="AB163" s="27">
        <f>Table1[[#This Row],[Raw Terrestrial Score]]+Table1[[#This Row],[Raw Freshwater Score]]</f>
        <v>48530.194045424403</v>
      </c>
      <c r="AC163" s="28">
        <f>Table1[[#This Row],[Terrestrial % of Summed Score]]*Table1[[#This Row],[Scaled Summed Score]]</f>
        <v>0.13841621463408774</v>
      </c>
      <c r="AD163" s="28">
        <f>Table1[[#This Row],[Freshwater % of Summed Score]]*Table1[[#This Row],[Scaled Summed Score]]</f>
        <v>0.14934047351361321</v>
      </c>
      <c r="AE163" s="28">
        <f>Table1[[#This Row],[Summed Raw Scores]]/MAX(Table1[Summed Raw Scores])</f>
        <v>0.28775668814770095</v>
      </c>
      <c r="AF163" s="6"/>
    </row>
    <row r="164" spans="1:32" hidden="1" x14ac:dyDescent="0.3">
      <c r="A164" s="26" t="s">
        <v>314</v>
      </c>
      <c r="B164" s="26" t="s">
        <v>58</v>
      </c>
      <c r="C164" s="26" t="s">
        <v>59</v>
      </c>
      <c r="D164" s="26"/>
      <c r="E164" s="10">
        <v>53.979191440000001</v>
      </c>
      <c r="F164" s="10">
        <v>-123.1768324</v>
      </c>
      <c r="G164" s="10">
        <v>43.864615379999996</v>
      </c>
      <c r="H164" s="26" t="s">
        <v>22</v>
      </c>
      <c r="I164" s="26" t="s">
        <v>22</v>
      </c>
      <c r="J164" s="10">
        <v>71.841782730000006</v>
      </c>
      <c r="K164" s="10">
        <v>130.98511629999999</v>
      </c>
      <c r="L164" s="6" t="s">
        <v>22</v>
      </c>
      <c r="M164" s="10">
        <v>1.2</v>
      </c>
      <c r="N164" s="10">
        <v>15.3</v>
      </c>
      <c r="O164" s="6">
        <f>Table1[[#This Row],[R1 Length (km)]]+Table1[[#This Row],[T1 Length (km)]]</f>
        <v>16.5</v>
      </c>
      <c r="P164" s="5">
        <v>69</v>
      </c>
      <c r="Q164" s="6">
        <f>(Table1[[#This Row],[Linear Features (km)]]*1)*100</f>
        <v>1650</v>
      </c>
      <c r="R164" s="10">
        <v>178.2</v>
      </c>
      <c r="S164" s="8">
        <f>Table1[[#This Row],[ATG (ha)]]/Table1[[#This Row],[Linear Area (ha)]]</f>
        <v>0.108</v>
      </c>
      <c r="T164" s="9" t="s">
        <v>22</v>
      </c>
      <c r="U164" s="9" t="s">
        <v>22</v>
      </c>
      <c r="V164" s="10">
        <v>178.2</v>
      </c>
      <c r="W164" s="10">
        <v>71.28</v>
      </c>
      <c r="X164" s="31">
        <v>4703.5248626619596</v>
      </c>
      <c r="Y164" s="27">
        <f>Table1[[#This Row],[Raw Terrestrial Score]]/Table1[[#This Row],[Summed Raw Scores]]</f>
        <v>0.35831993633915943</v>
      </c>
      <c r="Z164" s="31">
        <v>8423.0817970633507</v>
      </c>
      <c r="AA164" s="27">
        <f>Table1[[#This Row],[Raw Freshwater Score]]/Table1[[#This Row],[Summed Raw Scores]]</f>
        <v>0.64168006366084052</v>
      </c>
      <c r="AB164" s="27">
        <f>Table1[[#This Row],[Raw Terrestrial Score]]+Table1[[#This Row],[Raw Freshwater Score]]</f>
        <v>13126.60665972531</v>
      </c>
      <c r="AC164" s="28">
        <f>Table1[[#This Row],[Terrestrial % of Summed Score]]*Table1[[#This Row],[Scaled Summed Score]]</f>
        <v>2.7889250470194346E-2</v>
      </c>
      <c r="AD164" s="28">
        <f>Table1[[#This Row],[Freshwater % of Summed Score]]*Table1[[#This Row],[Scaled Summed Score]]</f>
        <v>4.9944125911622214E-2</v>
      </c>
      <c r="AE164" s="28">
        <f>Table1[[#This Row],[Summed Raw Scores]]/MAX(Table1[Summed Raw Scores])</f>
        <v>7.783337638181656E-2</v>
      </c>
      <c r="AF164" s="6"/>
    </row>
    <row r="165" spans="1:32" hidden="1" x14ac:dyDescent="0.3">
      <c r="A165" s="26" t="s">
        <v>341</v>
      </c>
      <c r="B165" s="26" t="s">
        <v>58</v>
      </c>
      <c r="C165" s="26" t="s">
        <v>59</v>
      </c>
      <c r="D165" s="26"/>
      <c r="E165" s="10">
        <v>53.993228530000003</v>
      </c>
      <c r="F165" s="10">
        <v>-123.0891566</v>
      </c>
      <c r="G165" s="10">
        <v>79.953230770000005</v>
      </c>
      <c r="H165" s="26" t="s">
        <v>22</v>
      </c>
      <c r="I165" s="26" t="s">
        <v>22</v>
      </c>
      <c r="J165" s="10">
        <v>128.9363008</v>
      </c>
      <c r="K165" s="10">
        <v>138.50678049999999</v>
      </c>
      <c r="L165" s="6" t="s">
        <v>22</v>
      </c>
      <c r="M165" s="10">
        <v>0.3</v>
      </c>
      <c r="N165" s="10">
        <v>39.700000000000003</v>
      </c>
      <c r="O165" s="6">
        <f>Table1[[#This Row],[R1 Length (km)]]+Table1[[#This Row],[T1 Length (km)]]</f>
        <v>40</v>
      </c>
      <c r="P165" s="5">
        <v>130</v>
      </c>
      <c r="Q165" s="6">
        <f>(Table1[[#This Row],[Linear Features (km)]]*1)*100</f>
        <v>4000</v>
      </c>
      <c r="R165" s="10">
        <v>324.81</v>
      </c>
      <c r="S165" s="8">
        <f>Table1[[#This Row],[ATG (ha)]]/Table1[[#This Row],[Linear Area (ha)]]</f>
        <v>8.1202499999999997E-2</v>
      </c>
      <c r="T165" s="9" t="s">
        <v>22</v>
      </c>
      <c r="U165" s="9" t="s">
        <v>22</v>
      </c>
      <c r="V165" s="10">
        <v>324.81</v>
      </c>
      <c r="W165" s="10">
        <v>129.92400000000001</v>
      </c>
      <c r="X165" s="31">
        <v>18849.674498915701</v>
      </c>
      <c r="Y165" s="27">
        <f>Table1[[#This Row],[Raw Terrestrial Score]]/Table1[[#This Row],[Summed Raw Scores]]</f>
        <v>0.629364870244012</v>
      </c>
      <c r="Z165" s="31">
        <v>11100.6379352808</v>
      </c>
      <c r="AA165" s="27">
        <f>Table1[[#This Row],[Raw Freshwater Score]]/Table1[[#This Row],[Summed Raw Scores]]</f>
        <v>0.37063512975598795</v>
      </c>
      <c r="AB165" s="27">
        <f>Table1[[#This Row],[Raw Terrestrial Score]]+Table1[[#This Row],[Raw Freshwater Score]]</f>
        <v>29950.312434196501</v>
      </c>
      <c r="AC165" s="28">
        <f>Table1[[#This Row],[Terrestrial % of Summed Score]]*Table1[[#This Row],[Scaled Summed Score]]</f>
        <v>0.11176794185890054</v>
      </c>
      <c r="AD165" s="28">
        <f>Table1[[#This Row],[Freshwater % of Summed Score]]*Table1[[#This Row],[Scaled Summed Score]]</f>
        <v>6.5820524137885736E-2</v>
      </c>
      <c r="AE165" s="28">
        <f>Table1[[#This Row],[Summed Raw Scores]]/MAX(Table1[Summed Raw Scores])</f>
        <v>0.17758846599678629</v>
      </c>
      <c r="AF165" s="6"/>
    </row>
    <row r="166" spans="1:32" hidden="1" x14ac:dyDescent="0.3">
      <c r="A166" s="26" t="s">
        <v>340</v>
      </c>
      <c r="B166" s="26" t="s">
        <v>58</v>
      </c>
      <c r="C166" s="26" t="s">
        <v>59</v>
      </c>
      <c r="D166" s="26"/>
      <c r="E166" s="10">
        <v>53.931505530000003</v>
      </c>
      <c r="F166" s="10">
        <v>-123.1510165</v>
      </c>
      <c r="G166" s="10">
        <v>37.484307690000001</v>
      </c>
      <c r="H166" s="26" t="s">
        <v>22</v>
      </c>
      <c r="I166" s="26" t="s">
        <v>22</v>
      </c>
      <c r="J166" s="10">
        <v>59.000256929999999</v>
      </c>
      <c r="K166" s="10">
        <v>138.41088149999999</v>
      </c>
      <c r="L166" s="6" t="s">
        <v>22</v>
      </c>
      <c r="M166" s="10">
        <v>0.3</v>
      </c>
      <c r="N166" s="10">
        <v>10.9</v>
      </c>
      <c r="O166" s="6">
        <f>Table1[[#This Row],[R1 Length (km)]]+Table1[[#This Row],[T1 Length (km)]]</f>
        <v>11.200000000000001</v>
      </c>
      <c r="P166" s="5">
        <v>69</v>
      </c>
      <c r="Q166" s="6">
        <f>(Table1[[#This Row],[Linear Features (km)]]*1)*100</f>
        <v>1120</v>
      </c>
      <c r="R166" s="10">
        <v>152.28</v>
      </c>
      <c r="S166" s="8">
        <f>Table1[[#This Row],[ATG (ha)]]/Table1[[#This Row],[Linear Area (ha)]]</f>
        <v>0.1359642857142857</v>
      </c>
      <c r="T166" s="9" t="s">
        <v>22</v>
      </c>
      <c r="U166" s="9" t="s">
        <v>22</v>
      </c>
      <c r="V166" s="10">
        <v>152.28</v>
      </c>
      <c r="W166" s="10">
        <v>60.911999999999999</v>
      </c>
      <c r="X166" s="31">
        <v>4327.2229100167797</v>
      </c>
      <c r="Y166" s="27">
        <f>Table1[[#This Row],[Raw Terrestrial Score]]/Table1[[#This Row],[Summed Raw Scores]]</f>
        <v>0.43105114944170592</v>
      </c>
      <c r="Z166" s="31">
        <v>5711.5460751056698</v>
      </c>
      <c r="AA166" s="27">
        <f>Table1[[#This Row],[Raw Freshwater Score]]/Table1[[#This Row],[Summed Raw Scores]]</f>
        <v>0.56894885055829403</v>
      </c>
      <c r="AB166" s="27">
        <f>Table1[[#This Row],[Raw Terrestrial Score]]+Table1[[#This Row],[Raw Freshwater Score]]</f>
        <v>10038.76898512245</v>
      </c>
      <c r="AC166" s="28">
        <f>Table1[[#This Row],[Terrestrial % of Summed Score]]*Table1[[#This Row],[Scaled Summed Score]]</f>
        <v>2.5657992059495708E-2</v>
      </c>
      <c r="AD166" s="28">
        <f>Table1[[#This Row],[Freshwater % of Summed Score]]*Table1[[#This Row],[Scaled Summed Score]]</f>
        <v>3.3866247912321415E-2</v>
      </c>
      <c r="AE166" s="28">
        <f>Table1[[#This Row],[Summed Raw Scores]]/MAX(Table1[Summed Raw Scores])</f>
        <v>5.9524239971817126E-2</v>
      </c>
      <c r="AF166" s="6"/>
    </row>
    <row r="167" spans="1:32" hidden="1" x14ac:dyDescent="0.3">
      <c r="A167" s="26" t="s">
        <v>61</v>
      </c>
      <c r="B167" s="26" t="s">
        <v>58</v>
      </c>
      <c r="C167" s="26" t="s">
        <v>59</v>
      </c>
      <c r="D167" s="26"/>
      <c r="E167" s="6">
        <v>53.945526719999997</v>
      </c>
      <c r="F167" s="6">
        <v>-123.0634147</v>
      </c>
      <c r="G167" s="6">
        <v>343.53969230799999</v>
      </c>
      <c r="H167" s="6" t="s">
        <v>22</v>
      </c>
      <c r="I167" s="6" t="s">
        <v>22</v>
      </c>
      <c r="J167" s="6">
        <v>542.83013040303354</v>
      </c>
      <c r="K167" s="6">
        <v>102.5152621749335</v>
      </c>
      <c r="L167" s="6" t="s">
        <v>22</v>
      </c>
      <c r="M167" s="6">
        <v>0.6</v>
      </c>
      <c r="N167" s="6">
        <v>34.5</v>
      </c>
      <c r="O167" s="6">
        <f>Table1[[#This Row],[R1 Length (km)]]+Table1[[#This Row],[T1 Length (km)]]</f>
        <v>35.1</v>
      </c>
      <c r="P167" s="26">
        <v>230</v>
      </c>
      <c r="Q167" s="6">
        <f>(Table1[[#This Row],[Linear Features (km)]]*1)*100</f>
        <v>3510</v>
      </c>
      <c r="R167" s="6">
        <v>443.07</v>
      </c>
      <c r="S167" s="29">
        <f>Table1[[#This Row],[ATG (ha)]]/Table1[[#This Row],[Linear Area (ha)]]</f>
        <v>0.12623076923076923</v>
      </c>
      <c r="T167" s="9" t="s">
        <v>22</v>
      </c>
      <c r="U167" s="9" t="s">
        <v>22</v>
      </c>
      <c r="V167" s="6">
        <v>443.07</v>
      </c>
      <c r="W167" s="6">
        <v>177.22800000000001</v>
      </c>
      <c r="X167" s="31">
        <v>22270.869080707402</v>
      </c>
      <c r="Y167" s="27">
        <f>Table1[[#This Row],[Raw Terrestrial Score]]/Table1[[#This Row],[Summed Raw Scores]]</f>
        <v>0.58764661494882009</v>
      </c>
      <c r="Z167" s="31">
        <v>15627.535358577999</v>
      </c>
      <c r="AA167" s="27">
        <f>Table1[[#This Row],[Raw Freshwater Score]]/Table1[[#This Row],[Summed Raw Scores]]</f>
        <v>0.41235338505117997</v>
      </c>
      <c r="AB167" s="27">
        <f>Table1[[#This Row],[Raw Terrestrial Score]]+Table1[[#This Row],[Raw Freshwater Score]]</f>
        <v>37898.404439285398</v>
      </c>
      <c r="AC167" s="28">
        <f>Table1[[#This Row],[Terrestrial % of Summed Score]]*Table1[[#This Row],[Scaled Summed Score]]</f>
        <v>0.13205369677353718</v>
      </c>
      <c r="AD167" s="28">
        <f>Table1[[#This Row],[Freshwater % of Summed Score]]*Table1[[#This Row],[Scaled Summed Score]]</f>
        <v>9.2662473479631288E-2</v>
      </c>
      <c r="AE167" s="28">
        <f>Table1[[#This Row],[Summed Raw Scores]]/MAX(Table1[Summed Raw Scores])</f>
        <v>0.22471617025316845</v>
      </c>
      <c r="AF167" s="6"/>
    </row>
    <row r="168" spans="1:32" hidden="1" x14ac:dyDescent="0.3">
      <c r="A168" s="26" t="s">
        <v>337</v>
      </c>
      <c r="B168" s="26" t="s">
        <v>58</v>
      </c>
      <c r="C168" s="26" t="s">
        <v>59</v>
      </c>
      <c r="D168" s="26"/>
      <c r="E168" s="10">
        <v>54.00722236</v>
      </c>
      <c r="F168" s="10">
        <v>-123.00143319999999</v>
      </c>
      <c r="G168" s="10">
        <v>75.566769230000006</v>
      </c>
      <c r="H168" s="26" t="s">
        <v>22</v>
      </c>
      <c r="I168" s="26" t="s">
        <v>22</v>
      </c>
      <c r="J168" s="10">
        <v>121.5266858</v>
      </c>
      <c r="K168" s="10">
        <v>137.62052389999999</v>
      </c>
      <c r="L168" s="6" t="s">
        <v>22</v>
      </c>
      <c r="M168" s="10">
        <v>0.4</v>
      </c>
      <c r="N168" s="10">
        <v>33</v>
      </c>
      <c r="O168" s="6">
        <f>Table1[[#This Row],[R1 Length (km)]]+Table1[[#This Row],[T1 Length (km)]]</f>
        <v>33.4</v>
      </c>
      <c r="P168" s="5">
        <v>130</v>
      </c>
      <c r="Q168" s="6">
        <f>(Table1[[#This Row],[Linear Features (km)]]*1)*100</f>
        <v>3340</v>
      </c>
      <c r="R168" s="10">
        <v>306.99</v>
      </c>
      <c r="S168" s="8">
        <f>Table1[[#This Row],[ATG (ha)]]/Table1[[#This Row],[Linear Area (ha)]]</f>
        <v>9.1913173652694607E-2</v>
      </c>
      <c r="T168" s="9" t="s">
        <v>22</v>
      </c>
      <c r="U168" s="9" t="s">
        <v>22</v>
      </c>
      <c r="V168" s="10">
        <v>306.99</v>
      </c>
      <c r="W168" s="10">
        <v>122.79600000000001</v>
      </c>
      <c r="X168" s="31">
        <v>1233.99278216064</v>
      </c>
      <c r="Y168" s="27">
        <f>Table1[[#This Row],[Raw Terrestrial Score]]/Table1[[#This Row],[Summed Raw Scores]]</f>
        <v>0.46334892188532922</v>
      </c>
      <c r="Z168" s="31">
        <v>1429.2113904953001</v>
      </c>
      <c r="AA168" s="27">
        <f>Table1[[#This Row],[Raw Freshwater Score]]/Table1[[#This Row],[Summed Raw Scores]]</f>
        <v>0.53665107811467083</v>
      </c>
      <c r="AB168" s="27">
        <f>Table1[[#This Row],[Raw Terrestrial Score]]+Table1[[#This Row],[Raw Freshwater Score]]</f>
        <v>2663.2041726559401</v>
      </c>
      <c r="AC168" s="28">
        <f>Table1[[#This Row],[Terrestrial % of Summed Score]]*Table1[[#This Row],[Scaled Summed Score]]</f>
        <v>7.31688144210485E-3</v>
      </c>
      <c r="AD168" s="28">
        <f>Table1[[#This Row],[Freshwater % of Summed Score]]*Table1[[#This Row],[Scaled Summed Score]]</f>
        <v>8.4744177203773946E-3</v>
      </c>
      <c r="AE168" s="28">
        <f>Table1[[#This Row],[Summed Raw Scores]]/MAX(Table1[Summed Raw Scores])</f>
        <v>1.5791299162482245E-2</v>
      </c>
      <c r="AF168" s="6"/>
    </row>
    <row r="169" spans="1:32" hidden="1" x14ac:dyDescent="0.3">
      <c r="A169" s="26" t="s">
        <v>277</v>
      </c>
      <c r="B169" s="26" t="s">
        <v>58</v>
      </c>
      <c r="C169" s="26" t="s">
        <v>59</v>
      </c>
      <c r="D169" s="26"/>
      <c r="E169" s="10">
        <v>54.021172870000001</v>
      </c>
      <c r="F169" s="10">
        <v>-122.9136622</v>
      </c>
      <c r="G169" s="10">
        <v>178.44923080000001</v>
      </c>
      <c r="H169" s="26" t="s">
        <v>22</v>
      </c>
      <c r="I169" s="26" t="s">
        <v>22</v>
      </c>
      <c r="J169" s="10">
        <v>285.36552330000001</v>
      </c>
      <c r="K169" s="10">
        <v>123.5273181</v>
      </c>
      <c r="L169" s="6" t="s">
        <v>22</v>
      </c>
      <c r="M169" s="10">
        <v>0.3</v>
      </c>
      <c r="N169" s="10">
        <v>26.3</v>
      </c>
      <c r="O169" s="6">
        <f>Table1[[#This Row],[R1 Length (km)]]+Table1[[#This Row],[T1 Length (km)]]</f>
        <v>26.6</v>
      </c>
      <c r="P169" s="5">
        <v>230</v>
      </c>
      <c r="Q169" s="6">
        <f>(Table1[[#This Row],[Linear Features (km)]]*1)*100</f>
        <v>2660</v>
      </c>
      <c r="R169" s="10">
        <v>724.95</v>
      </c>
      <c r="S169" s="8">
        <f>Table1[[#This Row],[ATG (ha)]]/Table1[[#This Row],[Linear Area (ha)]]</f>
        <v>0.27253759398496241</v>
      </c>
      <c r="T169" s="9" t="s">
        <v>22</v>
      </c>
      <c r="U169" s="9" t="s">
        <v>22</v>
      </c>
      <c r="V169" s="10">
        <v>724.95</v>
      </c>
      <c r="W169" s="10">
        <v>289.98</v>
      </c>
      <c r="X169" s="31">
        <v>13051.742239147399</v>
      </c>
      <c r="Y169" s="27">
        <f>Table1[[#This Row],[Raw Terrestrial Score]]/Table1[[#This Row],[Summed Raw Scores]]</f>
        <v>0.63805898790170024</v>
      </c>
      <c r="Z169" s="31">
        <v>7403.6427434682801</v>
      </c>
      <c r="AA169" s="27">
        <f>Table1[[#This Row],[Raw Freshwater Score]]/Table1[[#This Row],[Summed Raw Scores]]</f>
        <v>0.36194101209829971</v>
      </c>
      <c r="AB169" s="27">
        <f>Table1[[#This Row],[Raw Terrestrial Score]]+Table1[[#This Row],[Raw Freshwater Score]]</f>
        <v>20455.38498261568</v>
      </c>
      <c r="AC169" s="28">
        <f>Table1[[#This Row],[Terrestrial % of Summed Score]]*Table1[[#This Row],[Scaled Summed Score]]</f>
        <v>7.7389472578229201E-2</v>
      </c>
      <c r="AD169" s="28">
        <f>Table1[[#This Row],[Freshwater % of Summed Score]]*Table1[[#This Row],[Scaled Summed Score]]</f>
        <v>4.3899427109133034E-2</v>
      </c>
      <c r="AE169" s="28">
        <f>Table1[[#This Row],[Summed Raw Scores]]/MAX(Table1[Summed Raw Scores])</f>
        <v>0.12128889968736224</v>
      </c>
      <c r="AF169" s="6"/>
    </row>
    <row r="170" spans="1:32" hidden="1" x14ac:dyDescent="0.3">
      <c r="A170" s="26" t="s">
        <v>335</v>
      </c>
      <c r="B170" s="26" t="s">
        <v>58</v>
      </c>
      <c r="C170" s="26" t="s">
        <v>59</v>
      </c>
      <c r="D170" s="26"/>
      <c r="E170" s="10">
        <v>53.959504670000001</v>
      </c>
      <c r="F170" s="10">
        <v>-122.9757654</v>
      </c>
      <c r="G170" s="10">
        <v>85.934769230000001</v>
      </c>
      <c r="H170" s="26" t="s">
        <v>22</v>
      </c>
      <c r="I170" s="26" t="s">
        <v>22</v>
      </c>
      <c r="J170" s="10">
        <v>135.02003830000001</v>
      </c>
      <c r="K170" s="10">
        <v>136.94637689999999</v>
      </c>
      <c r="L170" s="6" t="s">
        <v>22</v>
      </c>
      <c r="M170" s="10">
        <v>0.3</v>
      </c>
      <c r="N170" s="10">
        <v>33.1</v>
      </c>
      <c r="O170" s="6">
        <f>Table1[[#This Row],[R1 Length (km)]]+Table1[[#This Row],[T1 Length (km)]]</f>
        <v>33.4</v>
      </c>
      <c r="P170" s="5">
        <v>130</v>
      </c>
      <c r="Q170" s="6">
        <f>(Table1[[#This Row],[Linear Features (km)]]*1)*100</f>
        <v>3340</v>
      </c>
      <c r="R170" s="10">
        <v>349.11</v>
      </c>
      <c r="S170" s="8">
        <f>Table1[[#This Row],[ATG (ha)]]/Table1[[#This Row],[Linear Area (ha)]]</f>
        <v>0.10452395209580839</v>
      </c>
      <c r="T170" s="9" t="s">
        <v>22</v>
      </c>
      <c r="U170" s="9" t="s">
        <v>22</v>
      </c>
      <c r="V170" s="10">
        <v>349.11</v>
      </c>
      <c r="W170" s="10">
        <v>139.64400000000001</v>
      </c>
      <c r="X170" s="31">
        <v>15028.6584672183</v>
      </c>
      <c r="Y170" s="27">
        <f>Table1[[#This Row],[Raw Terrestrial Score]]/Table1[[#This Row],[Summed Raw Scores]]</f>
        <v>0.61113335034222327</v>
      </c>
      <c r="Z170" s="31">
        <v>9562.7968326807004</v>
      </c>
      <c r="AA170" s="27">
        <f>Table1[[#This Row],[Raw Freshwater Score]]/Table1[[#This Row],[Summed Raw Scores]]</f>
        <v>0.38886664965777668</v>
      </c>
      <c r="AB170" s="27">
        <f>Table1[[#This Row],[Raw Terrestrial Score]]+Table1[[#This Row],[Raw Freshwater Score]]</f>
        <v>24591.455299899</v>
      </c>
      <c r="AC170" s="28">
        <f>Table1[[#This Row],[Terrestrial % of Summed Score]]*Table1[[#This Row],[Scaled Summed Score]]</f>
        <v>8.9111471175693333E-2</v>
      </c>
      <c r="AD170" s="28">
        <f>Table1[[#This Row],[Freshwater % of Summed Score]]*Table1[[#This Row],[Scaled Summed Score]]</f>
        <v>5.6701993472885522E-2</v>
      </c>
      <c r="AE170" s="28">
        <f>Table1[[#This Row],[Summed Raw Scores]]/MAX(Table1[Summed Raw Scores])</f>
        <v>0.14581346464857886</v>
      </c>
      <c r="AF170" s="6"/>
    </row>
    <row r="171" spans="1:32" hidden="1" x14ac:dyDescent="0.3">
      <c r="A171" s="26" t="s">
        <v>298</v>
      </c>
      <c r="B171" s="26" t="s">
        <v>58</v>
      </c>
      <c r="C171" s="26" t="s">
        <v>59</v>
      </c>
      <c r="D171" s="26"/>
      <c r="E171" s="10">
        <v>53.97343935</v>
      </c>
      <c r="F171" s="10">
        <v>-122.88806870000001</v>
      </c>
      <c r="G171" s="10">
        <v>17.944615379999998</v>
      </c>
      <c r="H171" s="26" t="s">
        <v>22</v>
      </c>
      <c r="I171" s="26" t="s">
        <v>22</v>
      </c>
      <c r="J171" s="10">
        <v>28.308161129999998</v>
      </c>
      <c r="K171" s="10">
        <v>127.5842246</v>
      </c>
      <c r="L171" s="6" t="s">
        <v>22</v>
      </c>
      <c r="M171" s="10">
        <v>0</v>
      </c>
      <c r="N171" s="10">
        <v>6.1</v>
      </c>
      <c r="O171" s="6">
        <f>Table1[[#This Row],[R1 Length (km)]]+Table1[[#This Row],[T1 Length (km)]]</f>
        <v>6.1</v>
      </c>
      <c r="P171" s="5">
        <v>25</v>
      </c>
      <c r="Q171" s="6">
        <f>(Table1[[#This Row],[Linear Features (km)]]*1)*100</f>
        <v>610</v>
      </c>
      <c r="R171" s="10">
        <v>72.900000000000006</v>
      </c>
      <c r="S171" s="8">
        <f>Table1[[#This Row],[ATG (ha)]]/Table1[[#This Row],[Linear Area (ha)]]</f>
        <v>0.11950819672131148</v>
      </c>
      <c r="T171" s="9" t="s">
        <v>22</v>
      </c>
      <c r="U171" s="9" t="s">
        <v>22</v>
      </c>
      <c r="V171" s="10">
        <v>72.900000000000006</v>
      </c>
      <c r="W171" s="10">
        <v>29.16</v>
      </c>
      <c r="X171" s="31">
        <v>3039.0768267959402</v>
      </c>
      <c r="Y171" s="27">
        <f>Table1[[#This Row],[Raw Terrestrial Score]]/Table1[[#This Row],[Summed Raw Scores]]</f>
        <v>0.54285118319348014</v>
      </c>
      <c r="Z171" s="31">
        <v>2559.2840516269198</v>
      </c>
      <c r="AA171" s="27">
        <f>Table1[[#This Row],[Raw Freshwater Score]]/Table1[[#This Row],[Summed Raw Scores]]</f>
        <v>0.45714881680651986</v>
      </c>
      <c r="AB171" s="27">
        <f>Table1[[#This Row],[Raw Terrestrial Score]]+Table1[[#This Row],[Raw Freshwater Score]]</f>
        <v>5598.36087842286</v>
      </c>
      <c r="AC171" s="28">
        <f>Table1[[#This Row],[Terrestrial % of Summed Score]]*Table1[[#This Row],[Scaled Summed Score]]</f>
        <v>1.802001207509444E-2</v>
      </c>
      <c r="AD171" s="28">
        <f>Table1[[#This Row],[Freshwater % of Summed Score]]*Table1[[#This Row],[Scaled Summed Score]]</f>
        <v>1.5175111437553119E-2</v>
      </c>
      <c r="AE171" s="28">
        <f>Table1[[#This Row],[Summed Raw Scores]]/MAX(Table1[Summed Raw Scores])</f>
        <v>3.3195123512647556E-2</v>
      </c>
      <c r="AF171" s="6"/>
    </row>
    <row r="172" spans="1:32" hidden="1" x14ac:dyDescent="0.3">
      <c r="A172" s="26" t="s">
        <v>330</v>
      </c>
      <c r="B172" s="26" t="s">
        <v>58</v>
      </c>
      <c r="C172" s="26" t="s">
        <v>59</v>
      </c>
      <c r="D172" s="26"/>
      <c r="E172" s="10">
        <v>54.035080030000003</v>
      </c>
      <c r="F172" s="10">
        <v>-122.82584369999999</v>
      </c>
      <c r="G172" s="10">
        <v>66.594461539999998</v>
      </c>
      <c r="H172" s="26" t="s">
        <v>22</v>
      </c>
      <c r="I172" s="26" t="s">
        <v>22</v>
      </c>
      <c r="J172" s="10">
        <v>106.9153087</v>
      </c>
      <c r="K172" s="10">
        <v>134.8991723</v>
      </c>
      <c r="L172" s="6" t="s">
        <v>22</v>
      </c>
      <c r="M172" s="10">
        <v>0.3</v>
      </c>
      <c r="N172" s="10">
        <v>19.8</v>
      </c>
      <c r="O172" s="6">
        <f>Table1[[#This Row],[R1 Length (km)]]+Table1[[#This Row],[T1 Length (km)]]</f>
        <v>20.100000000000001</v>
      </c>
      <c r="P172" s="5">
        <v>130</v>
      </c>
      <c r="Q172" s="6">
        <f>(Table1[[#This Row],[Linear Features (km)]]*1)*100</f>
        <v>2010.0000000000002</v>
      </c>
      <c r="R172" s="10">
        <v>270.54000000000002</v>
      </c>
      <c r="S172" s="8">
        <f>Table1[[#This Row],[ATG (ha)]]/Table1[[#This Row],[Linear Area (ha)]]</f>
        <v>0.13459701492537313</v>
      </c>
      <c r="T172" s="9" t="s">
        <v>22</v>
      </c>
      <c r="U172" s="9" t="s">
        <v>22</v>
      </c>
      <c r="V172" s="10">
        <v>270.54000000000002</v>
      </c>
      <c r="W172" s="10">
        <v>108.21599999999999</v>
      </c>
      <c r="X172" s="31">
        <v>8744.8696828782595</v>
      </c>
      <c r="Y172" s="27">
        <f>Table1[[#This Row],[Raw Terrestrial Score]]/Table1[[#This Row],[Summed Raw Scores]]</f>
        <v>0.61627368446304365</v>
      </c>
      <c r="Z172" s="31">
        <v>5445.0428565442598</v>
      </c>
      <c r="AA172" s="27">
        <f>Table1[[#This Row],[Raw Freshwater Score]]/Table1[[#This Row],[Summed Raw Scores]]</f>
        <v>0.38372631553695641</v>
      </c>
      <c r="AB172" s="27">
        <f>Table1[[#This Row],[Raw Terrestrial Score]]+Table1[[#This Row],[Raw Freshwater Score]]</f>
        <v>14189.912539422519</v>
      </c>
      <c r="AC172" s="28">
        <f>Table1[[#This Row],[Terrestrial % of Summed Score]]*Table1[[#This Row],[Scaled Summed Score]]</f>
        <v>5.1852146642416698E-2</v>
      </c>
      <c r="AD172" s="28">
        <f>Table1[[#This Row],[Freshwater % of Summed Score]]*Table1[[#This Row],[Scaled Summed Score]]</f>
        <v>3.2286034087456963E-2</v>
      </c>
      <c r="AE172" s="28">
        <f>Table1[[#This Row],[Summed Raw Scores]]/MAX(Table1[Summed Raw Scores])</f>
        <v>8.4138180729873654E-2</v>
      </c>
      <c r="AF172" s="6"/>
    </row>
    <row r="173" spans="1:32" hidden="1" x14ac:dyDescent="0.3">
      <c r="A173" s="26" t="s">
        <v>272</v>
      </c>
      <c r="B173" s="26" t="s">
        <v>58</v>
      </c>
      <c r="C173" s="26" t="s">
        <v>59</v>
      </c>
      <c r="D173" s="26"/>
      <c r="E173" s="10">
        <v>54.048943790000003</v>
      </c>
      <c r="F173" s="10">
        <v>-122.7379779</v>
      </c>
      <c r="G173" s="10">
        <v>167.68246149999999</v>
      </c>
      <c r="H173" s="26" t="s">
        <v>22</v>
      </c>
      <c r="I173" s="26" t="s">
        <v>22</v>
      </c>
      <c r="J173" s="10">
        <v>264.55341770000001</v>
      </c>
      <c r="K173" s="10">
        <v>122.5670989</v>
      </c>
      <c r="L173" s="6" t="s">
        <v>22</v>
      </c>
      <c r="M173" s="10">
        <v>0.3</v>
      </c>
      <c r="N173" s="10">
        <v>14.1</v>
      </c>
      <c r="O173" s="6">
        <f>Table1[[#This Row],[R1 Length (km)]]+Table1[[#This Row],[T1 Length (km)]]</f>
        <v>14.4</v>
      </c>
      <c r="P173" s="5">
        <v>230</v>
      </c>
      <c r="Q173" s="6">
        <f>(Table1[[#This Row],[Linear Features (km)]]*1)*100</f>
        <v>1440</v>
      </c>
      <c r="R173" s="10">
        <v>681.21</v>
      </c>
      <c r="S173" s="8">
        <f>Table1[[#This Row],[ATG (ha)]]/Table1[[#This Row],[Linear Area (ha)]]</f>
        <v>0.47306250000000005</v>
      </c>
      <c r="T173" s="9" t="s">
        <v>22</v>
      </c>
      <c r="U173" s="9" t="s">
        <v>22</v>
      </c>
      <c r="V173" s="10">
        <v>681.21</v>
      </c>
      <c r="W173" s="10">
        <v>272.48399999999998</v>
      </c>
      <c r="X173" s="31">
        <v>8158.3107713162899</v>
      </c>
      <c r="Y173" s="27">
        <f>Table1[[#This Row],[Raw Terrestrial Score]]/Table1[[#This Row],[Summed Raw Scores]]</f>
        <v>0.6751588497598473</v>
      </c>
      <c r="Z173" s="31">
        <v>3925.2319004833698</v>
      </c>
      <c r="AA173" s="27">
        <f>Table1[[#This Row],[Raw Freshwater Score]]/Table1[[#This Row],[Summed Raw Scores]]</f>
        <v>0.32484115024015275</v>
      </c>
      <c r="AB173" s="27">
        <f>Table1[[#This Row],[Raw Terrestrial Score]]+Table1[[#This Row],[Raw Freshwater Score]]</f>
        <v>12083.54267179966</v>
      </c>
      <c r="AC173" s="28">
        <f>Table1[[#This Row],[Terrestrial % of Summed Score]]*Table1[[#This Row],[Scaled Summed Score]]</f>
        <v>4.8374183013493062E-2</v>
      </c>
      <c r="AD173" s="28">
        <f>Table1[[#This Row],[Freshwater % of Summed Score]]*Table1[[#This Row],[Scaled Summed Score]]</f>
        <v>2.3274412025585028E-2</v>
      </c>
      <c r="AE173" s="28">
        <f>Table1[[#This Row],[Summed Raw Scores]]/MAX(Table1[Summed Raw Scores])</f>
        <v>7.1648595039078083E-2</v>
      </c>
      <c r="AF173" s="6"/>
    </row>
    <row r="174" spans="1:32" hidden="1" x14ac:dyDescent="0.3">
      <c r="A174" s="26" t="s">
        <v>62</v>
      </c>
      <c r="B174" s="26" t="s">
        <v>58</v>
      </c>
      <c r="C174" s="26" t="s">
        <v>59</v>
      </c>
      <c r="D174" s="26"/>
      <c r="E174" s="6">
        <v>53.987330720000003</v>
      </c>
      <c r="F174" s="6">
        <v>-122.8003246</v>
      </c>
      <c r="G174" s="6">
        <v>153.725538462</v>
      </c>
      <c r="H174" s="6" t="s">
        <v>22</v>
      </c>
      <c r="I174" s="6" t="s">
        <v>22</v>
      </c>
      <c r="J174" s="6">
        <v>246.20021132315097</v>
      </c>
      <c r="K174" s="6">
        <v>103.56327708214516</v>
      </c>
      <c r="L174" s="6" t="s">
        <v>22</v>
      </c>
      <c r="M174" s="6">
        <v>0</v>
      </c>
      <c r="N174" s="6">
        <v>22.5</v>
      </c>
      <c r="O174" s="6">
        <f>Table1[[#This Row],[R1 Length (km)]]+Table1[[#This Row],[T1 Length (km)]]</f>
        <v>22.5</v>
      </c>
      <c r="P174" s="26">
        <v>130</v>
      </c>
      <c r="Q174" s="6">
        <f>(Table1[[#This Row],[Linear Features (km)]]*1)*100</f>
        <v>2250</v>
      </c>
      <c r="R174" s="6">
        <v>495.72</v>
      </c>
      <c r="S174" s="29">
        <f>Table1[[#This Row],[ATG (ha)]]/Table1[[#This Row],[Linear Area (ha)]]</f>
        <v>0.22032000000000002</v>
      </c>
      <c r="T174" s="9" t="s">
        <v>22</v>
      </c>
      <c r="U174" s="9" t="s">
        <v>22</v>
      </c>
      <c r="V174" s="6">
        <v>495.72</v>
      </c>
      <c r="W174" s="6">
        <v>198.28800000000001</v>
      </c>
      <c r="X174" s="31">
        <v>10986.517423205099</v>
      </c>
      <c r="Y174" s="27">
        <f>Table1[[#This Row],[Raw Terrestrial Score]]/Table1[[#This Row],[Summed Raw Scores]]</f>
        <v>0.60996227127903602</v>
      </c>
      <c r="Z174" s="31">
        <v>7025.2809133827704</v>
      </c>
      <c r="AA174" s="27">
        <f>Table1[[#This Row],[Raw Freshwater Score]]/Table1[[#This Row],[Summed Raw Scores]]</f>
        <v>0.39003772872096404</v>
      </c>
      <c r="AB174" s="27">
        <f>Table1[[#This Row],[Raw Terrestrial Score]]+Table1[[#This Row],[Raw Freshwater Score]]</f>
        <v>18011.798336587868</v>
      </c>
      <c r="AC174" s="28">
        <f>Table1[[#This Row],[Terrestrial % of Summed Score]]*Table1[[#This Row],[Scaled Summed Score]]</f>
        <v>6.5143853845286329E-2</v>
      </c>
      <c r="AD174" s="28">
        <f>Table1[[#This Row],[Freshwater % of Summed Score]]*Table1[[#This Row],[Scaled Summed Score]]</f>
        <v>4.1655954786623858E-2</v>
      </c>
      <c r="AE174" s="28">
        <f>Table1[[#This Row],[Summed Raw Scores]]/MAX(Table1[Summed Raw Scores])</f>
        <v>0.10679980863191019</v>
      </c>
      <c r="AF174" s="6"/>
    </row>
    <row r="175" spans="1:32" hidden="1" x14ac:dyDescent="0.3">
      <c r="A175" s="26" t="s">
        <v>280</v>
      </c>
      <c r="B175" s="26" t="s">
        <v>58</v>
      </c>
      <c r="C175" s="26" t="s">
        <v>59</v>
      </c>
      <c r="D175" s="26"/>
      <c r="E175" s="10">
        <v>54.001178719999999</v>
      </c>
      <c r="F175" s="10">
        <v>-122.7125333</v>
      </c>
      <c r="G175" s="10">
        <v>123.6184615</v>
      </c>
      <c r="H175" s="26" t="s">
        <v>22</v>
      </c>
      <c r="I175" s="26" t="s">
        <v>22</v>
      </c>
      <c r="J175" s="10">
        <v>193.73190249999999</v>
      </c>
      <c r="K175" s="10">
        <v>124.1667075</v>
      </c>
      <c r="L175" s="6" t="s">
        <v>22</v>
      </c>
      <c r="M175" s="10">
        <v>1</v>
      </c>
      <c r="N175" s="10">
        <v>18.3</v>
      </c>
      <c r="O175" s="6">
        <f>Table1[[#This Row],[R1 Length (km)]]+Table1[[#This Row],[T1 Length (km)]]</f>
        <v>19.3</v>
      </c>
      <c r="P175" s="5">
        <v>130</v>
      </c>
      <c r="Q175" s="6">
        <f>(Table1[[#This Row],[Linear Features (km)]]*1)*100</f>
        <v>1930</v>
      </c>
      <c r="R175" s="10">
        <v>502.2</v>
      </c>
      <c r="S175" s="8">
        <f>Table1[[#This Row],[ATG (ha)]]/Table1[[#This Row],[Linear Area (ha)]]</f>
        <v>0.26020725388601035</v>
      </c>
      <c r="T175" s="9" t="s">
        <v>22</v>
      </c>
      <c r="U175" s="9" t="s">
        <v>22</v>
      </c>
      <c r="V175" s="10">
        <v>502.2</v>
      </c>
      <c r="W175" s="10">
        <v>200.88</v>
      </c>
      <c r="X175" s="31">
        <v>11177.008647590899</v>
      </c>
      <c r="Y175" s="27">
        <f>Table1[[#This Row],[Raw Terrestrial Score]]/Table1[[#This Row],[Summed Raw Scores]]</f>
        <v>0.67147052109093242</v>
      </c>
      <c r="Z175" s="31">
        <v>5468.5599909722796</v>
      </c>
      <c r="AA175" s="27">
        <f>Table1[[#This Row],[Raw Freshwater Score]]/Table1[[#This Row],[Summed Raw Scores]]</f>
        <v>0.32852947890906764</v>
      </c>
      <c r="AB175" s="27">
        <f>Table1[[#This Row],[Raw Terrestrial Score]]+Table1[[#This Row],[Raw Freshwater Score]]</f>
        <v>16645.568638563178</v>
      </c>
      <c r="AC175" s="28">
        <f>Table1[[#This Row],[Terrestrial % of Summed Score]]*Table1[[#This Row],[Scaled Summed Score]]</f>
        <v>6.6273359402159879E-2</v>
      </c>
      <c r="AD175" s="28">
        <f>Table1[[#This Row],[Freshwater % of Summed Score]]*Table1[[#This Row],[Scaled Summed Score]]</f>
        <v>3.2425477435064375E-2</v>
      </c>
      <c r="AE175" s="28">
        <f>Table1[[#This Row],[Summed Raw Scores]]/MAX(Table1[Summed Raw Scores])</f>
        <v>9.8698836837224246E-2</v>
      </c>
      <c r="AF175" s="6"/>
    </row>
    <row r="176" spans="1:32" hidden="1" x14ac:dyDescent="0.3">
      <c r="A176" s="26" t="s">
        <v>267</v>
      </c>
      <c r="B176" s="26" t="s">
        <v>58</v>
      </c>
      <c r="C176" s="26" t="s">
        <v>59</v>
      </c>
      <c r="D176" s="26"/>
      <c r="E176" s="10">
        <v>54.062764119999997</v>
      </c>
      <c r="F176" s="10">
        <v>-122.6500649</v>
      </c>
      <c r="G176" s="10">
        <v>127.008</v>
      </c>
      <c r="H176" s="26" t="s">
        <v>22</v>
      </c>
      <c r="I176" s="26" t="s">
        <v>22</v>
      </c>
      <c r="J176" s="10">
        <v>198.5628634</v>
      </c>
      <c r="K176" s="10">
        <v>121.6432087</v>
      </c>
      <c r="L176" s="6" t="s">
        <v>22</v>
      </c>
      <c r="M176" s="10">
        <v>1.6</v>
      </c>
      <c r="N176" s="10">
        <v>9.9</v>
      </c>
      <c r="O176" s="6">
        <f>Table1[[#This Row],[R1 Length (km)]]+Table1[[#This Row],[T1 Length (km)]]</f>
        <v>11.5</v>
      </c>
      <c r="P176" s="5">
        <v>130</v>
      </c>
      <c r="Q176" s="6">
        <f>(Table1[[#This Row],[Linear Features (km)]]*1)*100</f>
        <v>1150</v>
      </c>
      <c r="R176" s="10">
        <v>515.97</v>
      </c>
      <c r="S176" s="8">
        <f>Table1[[#This Row],[ATG (ha)]]/Table1[[#This Row],[Linear Area (ha)]]</f>
        <v>0.44866956521739132</v>
      </c>
      <c r="T176" s="9" t="s">
        <v>22</v>
      </c>
      <c r="U176" s="9" t="s">
        <v>22</v>
      </c>
      <c r="V176" s="10">
        <v>515.97</v>
      </c>
      <c r="W176" s="10">
        <v>206.38800000000001</v>
      </c>
      <c r="X176" s="31">
        <v>6078.9508448243096</v>
      </c>
      <c r="Y176" s="27">
        <f>Table1[[#This Row],[Raw Terrestrial Score]]/Table1[[#This Row],[Summed Raw Scores]]</f>
        <v>0.66399638088502377</v>
      </c>
      <c r="Z176" s="31">
        <v>3076.1455078423</v>
      </c>
      <c r="AA176" s="27">
        <f>Table1[[#This Row],[Raw Freshwater Score]]/Table1[[#This Row],[Summed Raw Scores]]</f>
        <v>0.33600361911497628</v>
      </c>
      <c r="AB176" s="27">
        <f>Table1[[#This Row],[Raw Terrestrial Score]]+Table1[[#This Row],[Raw Freshwater Score]]</f>
        <v>9155.0963526666092</v>
      </c>
      <c r="AC176" s="28">
        <f>Table1[[#This Row],[Terrestrial % of Summed Score]]*Table1[[#This Row],[Scaled Summed Score]]</f>
        <v>3.6044751044720748E-2</v>
      </c>
      <c r="AD176" s="28">
        <f>Table1[[#This Row],[Freshwater % of Summed Score]]*Table1[[#This Row],[Scaled Summed Score]]</f>
        <v>1.8239808453446433E-2</v>
      </c>
      <c r="AE176" s="28">
        <f>Table1[[#This Row],[Summed Raw Scores]]/MAX(Table1[Summed Raw Scores])</f>
        <v>5.4284559498167177E-2</v>
      </c>
      <c r="AF176" s="6"/>
    </row>
    <row r="177" spans="1:32" hidden="1" x14ac:dyDescent="0.3">
      <c r="A177" s="26" t="s">
        <v>63</v>
      </c>
      <c r="B177" s="26" t="s">
        <v>58</v>
      </c>
      <c r="C177" s="26" t="s">
        <v>59</v>
      </c>
      <c r="D177" s="26"/>
      <c r="E177" s="6">
        <v>54.076540960000003</v>
      </c>
      <c r="F177" s="6">
        <v>-122.56210470000001</v>
      </c>
      <c r="G177" s="6">
        <v>250.626461538</v>
      </c>
      <c r="H177" s="6" t="s">
        <v>22</v>
      </c>
      <c r="I177" s="6" t="s">
        <v>22</v>
      </c>
      <c r="J177" s="6">
        <v>389.13790936218737</v>
      </c>
      <c r="K177" s="6">
        <v>103.23340136967143</v>
      </c>
      <c r="L177" s="6" t="s">
        <v>22</v>
      </c>
      <c r="M177" s="6">
        <v>0.8</v>
      </c>
      <c r="N177" s="6">
        <v>9.6</v>
      </c>
      <c r="O177" s="6">
        <f>Table1[[#This Row],[R1 Length (km)]]+Table1[[#This Row],[T1 Length (km)]]</f>
        <v>10.4</v>
      </c>
      <c r="P177" s="26">
        <v>230</v>
      </c>
      <c r="Q177" s="6">
        <f>(Table1[[#This Row],[Linear Features (km)]]*1)*100</f>
        <v>1040</v>
      </c>
      <c r="R177" s="6">
        <v>384.75</v>
      </c>
      <c r="S177" s="29">
        <f>Table1[[#This Row],[ATG (ha)]]/Table1[[#This Row],[Linear Area (ha)]]</f>
        <v>0.36995192307692309</v>
      </c>
      <c r="T177" s="9" t="s">
        <v>22</v>
      </c>
      <c r="U177" s="9" t="s">
        <v>22</v>
      </c>
      <c r="V177" s="6">
        <v>384.75</v>
      </c>
      <c r="W177" s="6">
        <v>153.9</v>
      </c>
      <c r="X177" s="31">
        <v>7545.7537600696096</v>
      </c>
      <c r="Y177" s="27">
        <f>Table1[[#This Row],[Raw Terrestrial Score]]/Table1[[#This Row],[Summed Raw Scores]]</f>
        <v>0.69607380784675876</v>
      </c>
      <c r="Z177" s="31">
        <v>3294.6968861222299</v>
      </c>
      <c r="AA177" s="27">
        <f>Table1[[#This Row],[Raw Freshwater Score]]/Table1[[#This Row],[Summed Raw Scores]]</f>
        <v>0.30392619215324129</v>
      </c>
      <c r="AB177" s="27">
        <f>Table1[[#This Row],[Raw Terrestrial Score]]+Table1[[#This Row],[Raw Freshwater Score]]</f>
        <v>10840.450646191839</v>
      </c>
      <c r="AC177" s="28">
        <f>Table1[[#This Row],[Terrestrial % of Summed Score]]*Table1[[#This Row],[Scaled Summed Score]]</f>
        <v>4.4742065311820324E-2</v>
      </c>
      <c r="AD177" s="28">
        <f>Table1[[#This Row],[Freshwater % of Summed Score]]*Table1[[#This Row],[Scaled Summed Score]]</f>
        <v>1.9535694901893004E-2</v>
      </c>
      <c r="AE177" s="28">
        <f>Table1[[#This Row],[Summed Raw Scores]]/MAX(Table1[Summed Raw Scores])</f>
        <v>6.4277760213713328E-2</v>
      </c>
      <c r="AF177" s="6"/>
    </row>
    <row r="178" spans="1:32" hidden="1" x14ac:dyDescent="0.3">
      <c r="A178" s="26" t="s">
        <v>64</v>
      </c>
      <c r="B178" s="26" t="s">
        <v>58</v>
      </c>
      <c r="C178" s="26" t="s">
        <v>59</v>
      </c>
      <c r="D178" s="26"/>
      <c r="E178" s="6">
        <v>54.01498333</v>
      </c>
      <c r="F178" s="6">
        <v>-122.62469489999999</v>
      </c>
      <c r="G178" s="6">
        <v>290.70276923099999</v>
      </c>
      <c r="H178" s="6" t="s">
        <v>22</v>
      </c>
      <c r="I178" s="6" t="s">
        <v>22</v>
      </c>
      <c r="J178" s="6">
        <v>454.63551613398141</v>
      </c>
      <c r="K178" s="6">
        <v>102.89142068129254</v>
      </c>
      <c r="L178" s="6" t="s">
        <v>22</v>
      </c>
      <c r="M178" s="6">
        <v>0.4</v>
      </c>
      <c r="N178" s="6">
        <v>15</v>
      </c>
      <c r="O178" s="6">
        <f>Table1[[#This Row],[R1 Length (km)]]+Table1[[#This Row],[T1 Length (km)]]</f>
        <v>15.4</v>
      </c>
      <c r="P178" s="26">
        <v>230</v>
      </c>
      <c r="Q178" s="6">
        <f>(Table1[[#This Row],[Linear Features (km)]]*1)*100</f>
        <v>1540</v>
      </c>
      <c r="R178" s="6">
        <v>464.94</v>
      </c>
      <c r="S178" s="29">
        <f>Table1[[#This Row],[ATG (ha)]]/Table1[[#This Row],[Linear Area (ha)]]</f>
        <v>0.3019090909090909</v>
      </c>
      <c r="T178" s="9" t="s">
        <v>22</v>
      </c>
      <c r="U178" s="9" t="s">
        <v>22</v>
      </c>
      <c r="V178" s="6">
        <v>464.94</v>
      </c>
      <c r="W178" s="6">
        <v>185.976</v>
      </c>
      <c r="X178" s="31">
        <v>11061.5037027001</v>
      </c>
      <c r="Y178" s="27">
        <f>Table1[[#This Row],[Raw Terrestrial Score]]/Table1[[#This Row],[Summed Raw Scores]]</f>
        <v>0.63394759416584623</v>
      </c>
      <c r="Z178" s="31">
        <v>6387.10530614853</v>
      </c>
      <c r="AA178" s="27">
        <f>Table1[[#This Row],[Raw Freshwater Score]]/Table1[[#This Row],[Summed Raw Scores]]</f>
        <v>0.36605240583415372</v>
      </c>
      <c r="AB178" s="27">
        <f>Table1[[#This Row],[Raw Terrestrial Score]]+Table1[[#This Row],[Raw Freshwater Score]]</f>
        <v>17448.609008848631</v>
      </c>
      <c r="AC178" s="28">
        <f>Table1[[#This Row],[Terrestrial % of Summed Score]]*Table1[[#This Row],[Scaled Summed Score]]</f>
        <v>6.5588480203544922E-2</v>
      </c>
      <c r="AD178" s="28">
        <f>Table1[[#This Row],[Freshwater % of Summed Score]]*Table1[[#This Row],[Scaled Summed Score]]</f>
        <v>3.7871933255152417E-2</v>
      </c>
      <c r="AE178" s="28">
        <f>Table1[[#This Row],[Summed Raw Scores]]/MAX(Table1[Summed Raw Scores])</f>
        <v>0.10346041345869735</v>
      </c>
      <c r="AF178" s="6"/>
    </row>
    <row r="179" spans="1:32" hidden="1" x14ac:dyDescent="0.3">
      <c r="A179" s="26" t="s">
        <v>390</v>
      </c>
      <c r="B179" s="26" t="s">
        <v>58</v>
      </c>
      <c r="C179" s="26" t="s">
        <v>59</v>
      </c>
      <c r="D179" s="26"/>
      <c r="E179" s="10">
        <v>54.103964050000002</v>
      </c>
      <c r="F179" s="10">
        <v>-122.3860435</v>
      </c>
      <c r="G179" s="10">
        <v>14.754461539999999</v>
      </c>
      <c r="H179" s="26" t="s">
        <v>22</v>
      </c>
      <c r="I179" s="26" t="s">
        <v>22</v>
      </c>
      <c r="J179" s="10">
        <v>22.972212339999999</v>
      </c>
      <c r="K179" s="10">
        <v>158.62293260000001</v>
      </c>
      <c r="L179" s="6" t="s">
        <v>22</v>
      </c>
      <c r="M179" s="10">
        <v>0.3</v>
      </c>
      <c r="N179" s="10">
        <v>17.2</v>
      </c>
      <c r="O179" s="6">
        <f>Table1[[#This Row],[R1 Length (km)]]+Table1[[#This Row],[T1 Length (km)]]</f>
        <v>17.5</v>
      </c>
      <c r="P179" s="5">
        <v>25</v>
      </c>
      <c r="Q179" s="6">
        <f>(Table1[[#This Row],[Linear Features (km)]]*1)*100</f>
        <v>1750</v>
      </c>
      <c r="R179" s="10">
        <v>59.94</v>
      </c>
      <c r="S179" s="8">
        <f>Table1[[#This Row],[ATG (ha)]]/Table1[[#This Row],[Linear Area (ha)]]</f>
        <v>3.4251428571428572E-2</v>
      </c>
      <c r="T179" s="9" t="s">
        <v>22</v>
      </c>
      <c r="U179" s="9" t="s">
        <v>22</v>
      </c>
      <c r="V179" s="10">
        <v>59.94</v>
      </c>
      <c r="W179" s="10">
        <v>23.975999999999999</v>
      </c>
      <c r="X179" s="31">
        <v>7680.85491281748</v>
      </c>
      <c r="Y179" s="27">
        <f>Table1[[#This Row],[Raw Terrestrial Score]]/Table1[[#This Row],[Summed Raw Scores]]</f>
        <v>0.57832077971422746</v>
      </c>
      <c r="Z179" s="31">
        <v>5600.4505187682798</v>
      </c>
      <c r="AA179" s="27">
        <f>Table1[[#This Row],[Raw Freshwater Score]]/Table1[[#This Row],[Summed Raw Scores]]</f>
        <v>0.42167922028577265</v>
      </c>
      <c r="AB179" s="27">
        <f>Table1[[#This Row],[Raw Terrestrial Score]]+Table1[[#This Row],[Raw Freshwater Score]]</f>
        <v>13281.305431585759</v>
      </c>
      <c r="AC179" s="28">
        <f>Table1[[#This Row],[Terrestrial % of Summed Score]]*Table1[[#This Row],[Scaled Summed Score]]</f>
        <v>4.5543138974193806E-2</v>
      </c>
      <c r="AD179" s="28">
        <f>Table1[[#This Row],[Freshwater % of Summed Score]]*Table1[[#This Row],[Scaled Summed Score]]</f>
        <v>3.3207513901704212E-2</v>
      </c>
      <c r="AE179" s="28">
        <f>Table1[[#This Row],[Summed Raw Scores]]/MAX(Table1[Summed Raw Scores])</f>
        <v>7.8750652875898011E-2</v>
      </c>
      <c r="AF179" s="6"/>
    </row>
    <row r="180" spans="1:32" hidden="1" x14ac:dyDescent="0.3">
      <c r="A180" s="26" t="s">
        <v>383</v>
      </c>
      <c r="B180" s="26" t="s">
        <v>58</v>
      </c>
      <c r="C180" s="26" t="s">
        <v>59</v>
      </c>
      <c r="D180" s="26"/>
      <c r="E180" s="10">
        <v>53.883825719999997</v>
      </c>
      <c r="F180" s="10">
        <v>-123.1252483</v>
      </c>
      <c r="G180" s="10">
        <v>24.92307692</v>
      </c>
      <c r="H180" s="26" t="s">
        <v>22</v>
      </c>
      <c r="I180" s="26" t="s">
        <v>22</v>
      </c>
      <c r="J180" s="10">
        <v>38.799224440000003</v>
      </c>
      <c r="K180" s="10">
        <v>155.846732</v>
      </c>
      <c r="L180" s="6" t="s">
        <v>22</v>
      </c>
      <c r="M180" s="10">
        <v>1.1000000000000001</v>
      </c>
      <c r="N180" s="10">
        <v>10.3</v>
      </c>
      <c r="O180" s="6">
        <f>Table1[[#This Row],[R1 Length (km)]]+Table1[[#This Row],[T1 Length (km)]]</f>
        <v>11.4</v>
      </c>
      <c r="P180" s="5">
        <v>69</v>
      </c>
      <c r="Q180" s="6">
        <f>(Table1[[#This Row],[Linear Features (km)]]*1)*100</f>
        <v>1140</v>
      </c>
      <c r="R180" s="10">
        <v>101.25</v>
      </c>
      <c r="S180" s="8">
        <f>Table1[[#This Row],[ATG (ha)]]/Table1[[#This Row],[Linear Area (ha)]]</f>
        <v>8.8815789473684209E-2</v>
      </c>
      <c r="T180" s="9" t="s">
        <v>22</v>
      </c>
      <c r="U180" s="9" t="s">
        <v>22</v>
      </c>
      <c r="V180" s="10">
        <v>101.25</v>
      </c>
      <c r="W180" s="10">
        <v>40.5</v>
      </c>
      <c r="X180" s="31">
        <v>2542.9849489927301</v>
      </c>
      <c r="Y180" s="27">
        <f>Table1[[#This Row],[Raw Terrestrial Score]]/Table1[[#This Row],[Summed Raw Scores]]</f>
        <v>0.28307592004814425</v>
      </c>
      <c r="Z180" s="31">
        <v>6440.4176256954697</v>
      </c>
      <c r="AA180" s="27">
        <f>Table1[[#This Row],[Raw Freshwater Score]]/Table1[[#This Row],[Summed Raw Scores]]</f>
        <v>0.7169240799518557</v>
      </c>
      <c r="AB180" s="27">
        <f>Table1[[#This Row],[Raw Terrestrial Score]]+Table1[[#This Row],[Raw Freshwater Score]]</f>
        <v>8983.4025746881998</v>
      </c>
      <c r="AC180" s="28">
        <f>Table1[[#This Row],[Terrestrial % of Summed Score]]*Table1[[#This Row],[Scaled Summed Score]]</f>
        <v>1.5078466948775598E-2</v>
      </c>
      <c r="AD180" s="28">
        <f>Table1[[#This Row],[Freshwater % of Summed Score]]*Table1[[#This Row],[Scaled Summed Score]]</f>
        <v>3.8188045251241705E-2</v>
      </c>
      <c r="AE180" s="28">
        <f>Table1[[#This Row],[Summed Raw Scores]]/MAX(Table1[Summed Raw Scores])</f>
        <v>5.3266512200017303E-2</v>
      </c>
      <c r="AF180" s="6"/>
    </row>
    <row r="181" spans="1:32" hidden="1" x14ac:dyDescent="0.3">
      <c r="A181" s="26" t="s">
        <v>363</v>
      </c>
      <c r="B181" s="26" t="s">
        <v>58</v>
      </c>
      <c r="C181" s="26" t="s">
        <v>59</v>
      </c>
      <c r="D181" s="26"/>
      <c r="E181" s="10">
        <v>53.897831050000001</v>
      </c>
      <c r="F181" s="10">
        <v>-123.0377204</v>
      </c>
      <c r="G181" s="10">
        <v>34.69292308</v>
      </c>
      <c r="H181" s="26" t="s">
        <v>22</v>
      </c>
      <c r="I181" s="26" t="s">
        <v>22</v>
      </c>
      <c r="J181" s="10">
        <v>54.238500999999999</v>
      </c>
      <c r="K181" s="10">
        <v>144.98988410000001</v>
      </c>
      <c r="L181" s="6" t="s">
        <v>22</v>
      </c>
      <c r="M181" s="10">
        <v>0.8</v>
      </c>
      <c r="N181" s="10">
        <v>15.4</v>
      </c>
      <c r="O181" s="6">
        <f>Table1[[#This Row],[R1 Length (km)]]+Table1[[#This Row],[T1 Length (km)]]</f>
        <v>16.2</v>
      </c>
      <c r="P181" s="5">
        <v>69</v>
      </c>
      <c r="Q181" s="6">
        <f>(Table1[[#This Row],[Linear Features (km)]]*1)*100</f>
        <v>1620</v>
      </c>
      <c r="R181" s="10">
        <v>140.94</v>
      </c>
      <c r="S181" s="8">
        <f>Table1[[#This Row],[ATG (ha)]]/Table1[[#This Row],[Linear Area (ha)]]</f>
        <v>8.6999999999999994E-2</v>
      </c>
      <c r="T181" s="9" t="s">
        <v>22</v>
      </c>
      <c r="U181" s="9" t="s">
        <v>22</v>
      </c>
      <c r="V181" s="10">
        <v>140.94</v>
      </c>
      <c r="W181" s="10">
        <v>56.375999999999998</v>
      </c>
      <c r="X181" s="31">
        <v>12114.490138948</v>
      </c>
      <c r="Y181" s="27">
        <f>Table1[[#This Row],[Raw Terrestrial Score]]/Table1[[#This Row],[Summed Raw Scores]]</f>
        <v>0.55816383135223413</v>
      </c>
      <c r="Z181" s="31">
        <v>9589.6932181119901</v>
      </c>
      <c r="AA181" s="27">
        <f>Table1[[#This Row],[Raw Freshwater Score]]/Table1[[#This Row],[Summed Raw Scores]]</f>
        <v>0.44183616864776581</v>
      </c>
      <c r="AB181" s="27">
        <f>Table1[[#This Row],[Raw Terrestrial Score]]+Table1[[#This Row],[Raw Freshwater Score]]</f>
        <v>21704.183357059992</v>
      </c>
      <c r="AC181" s="28">
        <f>Table1[[#This Row],[Terrestrial % of Summed Score]]*Table1[[#This Row],[Scaled Summed Score]]</f>
        <v>7.1832096070308882E-2</v>
      </c>
      <c r="AD181" s="28">
        <f>Table1[[#This Row],[Freshwater % of Summed Score]]*Table1[[#This Row],[Scaled Summed Score]]</f>
        <v>5.6861473873635784E-2</v>
      </c>
      <c r="AE181" s="28">
        <f>Table1[[#This Row],[Summed Raw Scores]]/MAX(Table1[Summed Raw Scores])</f>
        <v>0.12869356994394468</v>
      </c>
      <c r="AF181" s="6"/>
    </row>
    <row r="182" spans="1:32" hidden="1" x14ac:dyDescent="0.3">
      <c r="A182" s="26" t="s">
        <v>371</v>
      </c>
      <c r="B182" s="26" t="s">
        <v>58</v>
      </c>
      <c r="C182" s="26" t="s">
        <v>59</v>
      </c>
      <c r="D182" s="26"/>
      <c r="E182" s="10">
        <v>53.836151950000001</v>
      </c>
      <c r="F182" s="10">
        <v>-123.09952749999999</v>
      </c>
      <c r="G182" s="10">
        <v>77.361230770000006</v>
      </c>
      <c r="H182" s="26" t="s">
        <v>22</v>
      </c>
      <c r="I182" s="26" t="s">
        <v>22</v>
      </c>
      <c r="J182" s="10">
        <v>120.16547749999999</v>
      </c>
      <c r="K182" s="10">
        <v>149.45837270000001</v>
      </c>
      <c r="L182" s="6" t="s">
        <v>22</v>
      </c>
      <c r="M182" s="10">
        <v>0</v>
      </c>
      <c r="N182" s="10">
        <v>48.9</v>
      </c>
      <c r="O182" s="6">
        <f>Table1[[#This Row],[R1 Length (km)]]+Table1[[#This Row],[T1 Length (km)]]</f>
        <v>48.9</v>
      </c>
      <c r="P182" s="5">
        <v>130</v>
      </c>
      <c r="Q182" s="6">
        <f>(Table1[[#This Row],[Linear Features (km)]]*1)*100</f>
        <v>4890</v>
      </c>
      <c r="R182" s="10">
        <v>314.27999999999997</v>
      </c>
      <c r="S182" s="8">
        <f>Table1[[#This Row],[ATG (ha)]]/Table1[[#This Row],[Linear Area (ha)]]</f>
        <v>6.4269938650306738E-2</v>
      </c>
      <c r="T182" s="9" t="s">
        <v>22</v>
      </c>
      <c r="U182" s="9" t="s">
        <v>22</v>
      </c>
      <c r="V182" s="10">
        <v>314.27999999999997</v>
      </c>
      <c r="W182" s="10">
        <v>125.712</v>
      </c>
      <c r="X182" s="31">
        <v>21248.5712442845</v>
      </c>
      <c r="Y182" s="27">
        <f>Table1[[#This Row],[Raw Terrestrial Score]]/Table1[[#This Row],[Summed Raw Scores]]</f>
        <v>0.50615644157333595</v>
      </c>
      <c r="Z182" s="31">
        <v>20731.673397540999</v>
      </c>
      <c r="AA182" s="27">
        <f>Table1[[#This Row],[Raw Freshwater Score]]/Table1[[#This Row],[Summed Raw Scores]]</f>
        <v>0.493843558426664</v>
      </c>
      <c r="AB182" s="27">
        <f>Table1[[#This Row],[Raw Terrestrial Score]]+Table1[[#This Row],[Raw Freshwater Score]]</f>
        <v>41980.244641825499</v>
      </c>
      <c r="AC182" s="28">
        <f>Table1[[#This Row],[Terrestrial % of Summed Score]]*Table1[[#This Row],[Scaled Summed Score]]</f>
        <v>0.12599204700073249</v>
      </c>
      <c r="AD182" s="28">
        <f>Table1[[#This Row],[Freshwater % of Summed Score]]*Table1[[#This Row],[Scaled Summed Score]]</f>
        <v>0.12292713420952532</v>
      </c>
      <c r="AE182" s="28">
        <f>Table1[[#This Row],[Summed Raw Scores]]/MAX(Table1[Summed Raw Scores])</f>
        <v>0.24891918121025783</v>
      </c>
      <c r="AF182" s="6"/>
    </row>
    <row r="183" spans="1:32" hidden="1" x14ac:dyDescent="0.3">
      <c r="A183" s="26" t="s">
        <v>304</v>
      </c>
      <c r="B183" s="26" t="s">
        <v>58</v>
      </c>
      <c r="C183" s="26" t="s">
        <v>59</v>
      </c>
      <c r="D183" s="26"/>
      <c r="E183" s="10">
        <v>53.850141479999998</v>
      </c>
      <c r="F183" s="10">
        <v>-123.01207340000001</v>
      </c>
      <c r="G183" s="10">
        <v>163.09661539999999</v>
      </c>
      <c r="H183" s="26" t="s">
        <v>22</v>
      </c>
      <c r="I183" s="26" t="s">
        <v>22</v>
      </c>
      <c r="J183" s="10">
        <v>253.96906899999999</v>
      </c>
      <c r="K183" s="10">
        <v>128.94942349999999</v>
      </c>
      <c r="L183" s="6" t="s">
        <v>22</v>
      </c>
      <c r="M183" s="10">
        <v>0.4</v>
      </c>
      <c r="N183" s="10">
        <v>27.5</v>
      </c>
      <c r="O183" s="6">
        <f>Table1[[#This Row],[R1 Length (km)]]+Table1[[#This Row],[T1 Length (km)]]</f>
        <v>27.9</v>
      </c>
      <c r="P183" s="5">
        <v>230</v>
      </c>
      <c r="Q183" s="6">
        <f>(Table1[[#This Row],[Linear Features (km)]]*1)*100</f>
        <v>2790</v>
      </c>
      <c r="R183" s="10">
        <v>662.58</v>
      </c>
      <c r="S183" s="8">
        <f>Table1[[#This Row],[ATG (ha)]]/Table1[[#This Row],[Linear Area (ha)]]</f>
        <v>0.23748387096774196</v>
      </c>
      <c r="T183" s="9" t="s">
        <v>22</v>
      </c>
      <c r="U183" s="9" t="s">
        <v>22</v>
      </c>
      <c r="V183" s="10">
        <v>662.58</v>
      </c>
      <c r="W183" s="10">
        <v>265.03199999999998</v>
      </c>
      <c r="X183" s="31">
        <v>13633.638740629</v>
      </c>
      <c r="Y183" s="27">
        <f>Table1[[#This Row],[Raw Terrestrial Score]]/Table1[[#This Row],[Summed Raw Scores]]</f>
        <v>0.51703955637782406</v>
      </c>
      <c r="Z183" s="31">
        <v>12735.0183039904</v>
      </c>
      <c r="AA183" s="27">
        <f>Table1[[#This Row],[Raw Freshwater Score]]/Table1[[#This Row],[Summed Raw Scores]]</f>
        <v>0.48296044362217594</v>
      </c>
      <c r="AB183" s="27">
        <f>Table1[[#This Row],[Raw Terrestrial Score]]+Table1[[#This Row],[Raw Freshwater Score]]</f>
        <v>26368.657044619402</v>
      </c>
      <c r="AC183" s="28">
        <f>Table1[[#This Row],[Terrestrial % of Summed Score]]*Table1[[#This Row],[Scaled Summed Score]]</f>
        <v>8.0839790744160103E-2</v>
      </c>
      <c r="AD183" s="28">
        <f>Table1[[#This Row],[Freshwater % of Summed Score]]*Table1[[#This Row],[Scaled Summed Score]]</f>
        <v>7.5511478219653635E-2</v>
      </c>
      <c r="AE183" s="28">
        <f>Table1[[#This Row],[Summed Raw Scores]]/MAX(Table1[Summed Raw Scores])</f>
        <v>0.15635126896381374</v>
      </c>
      <c r="AF183" s="6"/>
    </row>
    <row r="184" spans="1:32" hidden="1" x14ac:dyDescent="0.3">
      <c r="A184" s="26" t="s">
        <v>352</v>
      </c>
      <c r="B184" s="26" t="s">
        <v>58</v>
      </c>
      <c r="C184" s="26" t="s">
        <v>59</v>
      </c>
      <c r="D184" s="26"/>
      <c r="E184" s="10">
        <v>53.911793189999997</v>
      </c>
      <c r="F184" s="10">
        <v>-122.9501451</v>
      </c>
      <c r="G184" s="10">
        <v>79.953230770000005</v>
      </c>
      <c r="H184" s="26" t="s">
        <v>22</v>
      </c>
      <c r="I184" s="26" t="s">
        <v>22</v>
      </c>
      <c r="J184" s="10">
        <v>125.1369</v>
      </c>
      <c r="K184" s="10">
        <v>141.2623447</v>
      </c>
      <c r="L184" s="6" t="s">
        <v>22</v>
      </c>
      <c r="M184" s="10">
        <v>0.6</v>
      </c>
      <c r="N184" s="10">
        <v>36.299999999999997</v>
      </c>
      <c r="O184" s="6">
        <f>Table1[[#This Row],[R1 Length (km)]]+Table1[[#This Row],[T1 Length (km)]]</f>
        <v>36.9</v>
      </c>
      <c r="P184" s="5">
        <v>130</v>
      </c>
      <c r="Q184" s="6">
        <f>(Table1[[#This Row],[Linear Features (km)]]*1)*100</f>
        <v>3690</v>
      </c>
      <c r="R184" s="10">
        <v>324.81</v>
      </c>
      <c r="S184" s="8">
        <f>Table1[[#This Row],[ATG (ha)]]/Table1[[#This Row],[Linear Area (ha)]]</f>
        <v>8.8024390243902434E-2</v>
      </c>
      <c r="T184" s="9" t="s">
        <v>22</v>
      </c>
      <c r="U184" s="9" t="s">
        <v>22</v>
      </c>
      <c r="V184" s="10">
        <v>324.81</v>
      </c>
      <c r="W184" s="10">
        <v>129.92400000000001</v>
      </c>
      <c r="X184" s="31">
        <v>17119.788307175</v>
      </c>
      <c r="Y184" s="27">
        <f>Table1[[#This Row],[Raw Terrestrial Score]]/Table1[[#This Row],[Summed Raw Scores]]</f>
        <v>0.5505178535088926</v>
      </c>
      <c r="Z184" s="31">
        <v>13977.819514364</v>
      </c>
      <c r="AA184" s="27">
        <f>Table1[[#This Row],[Raw Freshwater Score]]/Table1[[#This Row],[Summed Raw Scores]]</f>
        <v>0.4494821464911074</v>
      </c>
      <c r="AB184" s="27">
        <f>Table1[[#This Row],[Raw Terrestrial Score]]+Table1[[#This Row],[Raw Freshwater Score]]</f>
        <v>31097.607821539001</v>
      </c>
      <c r="AC184" s="28">
        <f>Table1[[#This Row],[Terrestrial % of Summed Score]]*Table1[[#This Row],[Scaled Summed Score]]</f>
        <v>0.10151069209513876</v>
      </c>
      <c r="AD184" s="28">
        <f>Table1[[#This Row],[Freshwater % of Summed Score]]*Table1[[#This Row],[Scaled Summed Score]]</f>
        <v>8.2880588674648384E-2</v>
      </c>
      <c r="AE184" s="28">
        <f>Table1[[#This Row],[Summed Raw Scores]]/MAX(Table1[Summed Raw Scores])</f>
        <v>0.18439128076978714</v>
      </c>
      <c r="AF184" s="6"/>
    </row>
    <row r="185" spans="1:32" hidden="1" x14ac:dyDescent="0.3">
      <c r="A185" s="26" t="s">
        <v>302</v>
      </c>
      <c r="B185" s="26" t="s">
        <v>58</v>
      </c>
      <c r="C185" s="26" t="s">
        <v>59</v>
      </c>
      <c r="D185" s="26"/>
      <c r="E185" s="10">
        <v>53.925712089999998</v>
      </c>
      <c r="F185" s="10">
        <v>-122.8625225</v>
      </c>
      <c r="G185" s="10">
        <v>113.4498462</v>
      </c>
      <c r="H185" s="26" t="s">
        <v>22</v>
      </c>
      <c r="I185" s="26" t="s">
        <v>22</v>
      </c>
      <c r="J185" s="10">
        <v>179.15782189999999</v>
      </c>
      <c r="K185" s="10">
        <v>128.72191280000001</v>
      </c>
      <c r="L185" s="6" t="s">
        <v>22</v>
      </c>
      <c r="M185" s="10">
        <v>0</v>
      </c>
      <c r="N185" s="10">
        <v>31.3</v>
      </c>
      <c r="O185" s="6">
        <f>Table1[[#This Row],[R1 Length (km)]]+Table1[[#This Row],[T1 Length (km)]]</f>
        <v>31.3</v>
      </c>
      <c r="P185" s="5">
        <v>130</v>
      </c>
      <c r="Q185" s="6">
        <f>(Table1[[#This Row],[Linear Features (km)]]*1)*100</f>
        <v>3130</v>
      </c>
      <c r="R185" s="10">
        <v>460.89</v>
      </c>
      <c r="S185" s="8">
        <f>Table1[[#This Row],[ATG (ha)]]/Table1[[#This Row],[Linear Area (ha)]]</f>
        <v>0.14724920127795527</v>
      </c>
      <c r="T185" s="9" t="s">
        <v>22</v>
      </c>
      <c r="U185" s="9" t="s">
        <v>22</v>
      </c>
      <c r="V185" s="10">
        <v>460.89</v>
      </c>
      <c r="W185" s="10">
        <v>184.35599999999999</v>
      </c>
      <c r="X185" s="31">
        <v>13215.774188634001</v>
      </c>
      <c r="Y185" s="27">
        <f>Table1[[#This Row],[Raw Terrestrial Score]]/Table1[[#This Row],[Summed Raw Scores]]</f>
        <v>0.55313826380203779</v>
      </c>
      <c r="Z185" s="31">
        <v>10676.5779654086</v>
      </c>
      <c r="AA185" s="27">
        <f>Table1[[#This Row],[Raw Freshwater Score]]/Table1[[#This Row],[Summed Raw Scores]]</f>
        <v>0.44686173619796227</v>
      </c>
      <c r="AB185" s="27">
        <f>Table1[[#This Row],[Raw Terrestrial Score]]+Table1[[#This Row],[Raw Freshwater Score]]</f>
        <v>23892.352154042601</v>
      </c>
      <c r="AC185" s="28">
        <f>Table1[[#This Row],[Terrestrial % of Summed Score]]*Table1[[#This Row],[Scaled Summed Score]]</f>
        <v>7.8362089553353914E-2</v>
      </c>
      <c r="AD185" s="28">
        <f>Table1[[#This Row],[Freshwater % of Summed Score]]*Table1[[#This Row],[Scaled Summed Score]]</f>
        <v>6.3306087612199871E-2</v>
      </c>
      <c r="AE185" s="28">
        <f>Table1[[#This Row],[Summed Raw Scores]]/MAX(Table1[Summed Raw Scores])</f>
        <v>0.14166817716555377</v>
      </c>
      <c r="AF185" s="6"/>
    </row>
    <row r="186" spans="1:32" hidden="1" x14ac:dyDescent="0.3">
      <c r="A186" s="26" t="s">
        <v>386</v>
      </c>
      <c r="B186" s="26" t="s">
        <v>58</v>
      </c>
      <c r="C186" s="26" t="s">
        <v>59</v>
      </c>
      <c r="D186" s="26"/>
      <c r="E186" s="10">
        <v>53.864087849999997</v>
      </c>
      <c r="F186" s="10">
        <v>-122.92457210000001</v>
      </c>
      <c r="G186" s="10">
        <v>56.226461540000003</v>
      </c>
      <c r="H186" s="26" t="s">
        <v>22</v>
      </c>
      <c r="I186" s="26" t="s">
        <v>22</v>
      </c>
      <c r="J186" s="10">
        <v>88.359315530000003</v>
      </c>
      <c r="K186" s="10">
        <v>156.55513719999999</v>
      </c>
      <c r="L186" s="6" t="s">
        <v>22</v>
      </c>
      <c r="M186" s="10">
        <v>0.3</v>
      </c>
      <c r="N186" s="10">
        <v>39.700000000000003</v>
      </c>
      <c r="O186" s="6">
        <f>Table1[[#This Row],[R1 Length (km)]]+Table1[[#This Row],[T1 Length (km)]]</f>
        <v>40</v>
      </c>
      <c r="P186" s="5">
        <v>130</v>
      </c>
      <c r="Q186" s="6">
        <f>(Table1[[#This Row],[Linear Features (km)]]*1)*100</f>
        <v>4000</v>
      </c>
      <c r="R186" s="10">
        <v>228.42</v>
      </c>
      <c r="S186" s="8">
        <f>Table1[[#This Row],[ATG (ha)]]/Table1[[#This Row],[Linear Area (ha)]]</f>
        <v>5.7104999999999996E-2</v>
      </c>
      <c r="T186" s="9" t="s">
        <v>22</v>
      </c>
      <c r="U186" s="9" t="s">
        <v>22</v>
      </c>
      <c r="V186" s="10">
        <v>228.42</v>
      </c>
      <c r="W186" s="10">
        <v>91.367999999999995</v>
      </c>
      <c r="X186" s="31">
        <v>17777.538690667599</v>
      </c>
      <c r="Y186" s="27">
        <f>Table1[[#This Row],[Raw Terrestrial Score]]/Table1[[#This Row],[Summed Raw Scores]]</f>
        <v>0.56588375827130633</v>
      </c>
      <c r="Z186" s="31">
        <v>13637.9922038317</v>
      </c>
      <c r="AA186" s="27">
        <f>Table1[[#This Row],[Raw Freshwater Score]]/Table1[[#This Row],[Summed Raw Scores]]</f>
        <v>0.43411624172869356</v>
      </c>
      <c r="AB186" s="27">
        <f>Table1[[#This Row],[Raw Terrestrial Score]]+Table1[[#This Row],[Raw Freshwater Score]]</f>
        <v>31415.530894499301</v>
      </c>
      <c r="AC186" s="28">
        <f>Table1[[#This Row],[Terrestrial % of Summed Score]]*Table1[[#This Row],[Scaled Summed Score]]</f>
        <v>0.10541078101307202</v>
      </c>
      <c r="AD186" s="28">
        <f>Table1[[#This Row],[Freshwater % of Summed Score]]*Table1[[#This Row],[Scaled Summed Score]]</f>
        <v>8.0865604326360266E-2</v>
      </c>
      <c r="AE186" s="28">
        <f>Table1[[#This Row],[Summed Raw Scores]]/MAX(Table1[Summed Raw Scores])</f>
        <v>0.1862763853394323</v>
      </c>
      <c r="AF186" s="6"/>
    </row>
    <row r="187" spans="1:32" hidden="1" x14ac:dyDescent="0.3">
      <c r="A187" s="26" t="s">
        <v>339</v>
      </c>
      <c r="B187" s="26" t="s">
        <v>58</v>
      </c>
      <c r="C187" s="26" t="s">
        <v>59</v>
      </c>
      <c r="D187" s="26"/>
      <c r="E187" s="10">
        <v>53.877991010000002</v>
      </c>
      <c r="F187" s="10">
        <v>-122.8370235</v>
      </c>
      <c r="G187" s="10">
        <v>33.496615380000001</v>
      </c>
      <c r="H187" s="26" t="s">
        <v>22</v>
      </c>
      <c r="I187" s="26" t="s">
        <v>22</v>
      </c>
      <c r="J187" s="10">
        <v>52.848051429999998</v>
      </c>
      <c r="K187" s="10">
        <v>138.08396289999999</v>
      </c>
      <c r="L187" s="6" t="s">
        <v>22</v>
      </c>
      <c r="M187" s="10">
        <v>1.6</v>
      </c>
      <c r="N187" s="10">
        <v>3.9</v>
      </c>
      <c r="O187" s="6">
        <f>Table1[[#This Row],[R1 Length (km)]]+Table1[[#This Row],[T1 Length (km)]]</f>
        <v>5.5</v>
      </c>
      <c r="P187" s="5">
        <v>69</v>
      </c>
      <c r="Q187" s="6">
        <f>(Table1[[#This Row],[Linear Features (km)]]*1)*100</f>
        <v>550</v>
      </c>
      <c r="R187" s="10">
        <v>136.08000000000001</v>
      </c>
      <c r="S187" s="8">
        <f>Table1[[#This Row],[ATG (ha)]]/Table1[[#This Row],[Linear Area (ha)]]</f>
        <v>0.24741818181818184</v>
      </c>
      <c r="T187" s="9" t="s">
        <v>22</v>
      </c>
      <c r="U187" s="9" t="s">
        <v>22</v>
      </c>
      <c r="V187" s="10">
        <v>136.08000000000001</v>
      </c>
      <c r="W187" s="10">
        <v>54.432000000000002</v>
      </c>
      <c r="X187" s="31">
        <v>1332.16655422747</v>
      </c>
      <c r="Y187" s="27">
        <f>Table1[[#This Row],[Raw Terrestrial Score]]/Table1[[#This Row],[Summed Raw Scores]]</f>
        <v>0.42588971925199132</v>
      </c>
      <c r="Z187" s="31">
        <v>1795.7947324812401</v>
      </c>
      <c r="AA187" s="27">
        <f>Table1[[#This Row],[Raw Freshwater Score]]/Table1[[#This Row],[Summed Raw Scores]]</f>
        <v>0.57411028074800874</v>
      </c>
      <c r="AB187" s="27">
        <f>Table1[[#This Row],[Raw Terrestrial Score]]+Table1[[#This Row],[Raw Freshwater Score]]</f>
        <v>3127.9612867087098</v>
      </c>
      <c r="AC187" s="28">
        <f>Table1[[#This Row],[Terrestrial % of Summed Score]]*Table1[[#This Row],[Scaled Summed Score]]</f>
        <v>7.8989965576239853E-3</v>
      </c>
      <c r="AD187" s="28">
        <f>Table1[[#This Row],[Freshwater % of Summed Score]]*Table1[[#This Row],[Scaled Summed Score]]</f>
        <v>1.0648050249463394E-2</v>
      </c>
      <c r="AE187" s="28">
        <f>Table1[[#This Row],[Summed Raw Scores]]/MAX(Table1[Summed Raw Scores])</f>
        <v>1.8547046807087377E-2</v>
      </c>
      <c r="AF187" s="6"/>
    </row>
    <row r="188" spans="1:32" hidden="1" x14ac:dyDescent="0.3">
      <c r="A188" s="26" t="s">
        <v>293</v>
      </c>
      <c r="B188" s="26" t="s">
        <v>58</v>
      </c>
      <c r="C188" s="26" t="s">
        <v>59</v>
      </c>
      <c r="D188" s="26"/>
      <c r="E188" s="10">
        <v>53.939587699999997</v>
      </c>
      <c r="F188" s="10">
        <v>-122.7748527</v>
      </c>
      <c r="G188" s="10">
        <v>117.23815380000001</v>
      </c>
      <c r="H188" s="26" t="s">
        <v>22</v>
      </c>
      <c r="I188" s="26" t="s">
        <v>22</v>
      </c>
      <c r="J188" s="10">
        <v>185.2655259</v>
      </c>
      <c r="K188" s="10">
        <v>126.7814691</v>
      </c>
      <c r="L188" s="6" t="s">
        <v>22</v>
      </c>
      <c r="M188" s="10">
        <v>0.6</v>
      </c>
      <c r="N188" s="10">
        <v>27.4</v>
      </c>
      <c r="O188" s="6">
        <f>Table1[[#This Row],[R1 Length (km)]]+Table1[[#This Row],[T1 Length (km)]]</f>
        <v>28</v>
      </c>
      <c r="P188" s="5">
        <v>130</v>
      </c>
      <c r="Q188" s="6">
        <f>(Table1[[#This Row],[Linear Features (km)]]*1)*100</f>
        <v>2800</v>
      </c>
      <c r="R188" s="10">
        <v>476.28</v>
      </c>
      <c r="S188" s="8">
        <f>Table1[[#This Row],[ATG (ha)]]/Table1[[#This Row],[Linear Area (ha)]]</f>
        <v>0.1701</v>
      </c>
      <c r="T188" s="9" t="s">
        <v>22</v>
      </c>
      <c r="U188" s="9" t="s">
        <v>22</v>
      </c>
      <c r="V188" s="10">
        <v>476.28</v>
      </c>
      <c r="W188" s="10">
        <v>190.512</v>
      </c>
      <c r="X188" s="31">
        <v>10607.208638071999</v>
      </c>
      <c r="Y188" s="27">
        <f>Table1[[#This Row],[Raw Terrestrial Score]]/Table1[[#This Row],[Summed Raw Scores]]</f>
        <v>0.57595986230086571</v>
      </c>
      <c r="Z188" s="31">
        <v>7809.36746793985</v>
      </c>
      <c r="AA188" s="27">
        <f>Table1[[#This Row],[Raw Freshwater Score]]/Table1[[#This Row],[Summed Raw Scores]]</f>
        <v>0.42404013769913423</v>
      </c>
      <c r="AB188" s="27">
        <f>Table1[[#This Row],[Raw Terrestrial Score]]+Table1[[#This Row],[Raw Freshwater Score]]</f>
        <v>18416.576106011849</v>
      </c>
      <c r="AC188" s="28">
        <f>Table1[[#This Row],[Terrestrial % of Summed Score]]*Table1[[#This Row],[Scaled Summed Score]]</f>
        <v>6.2894766613261974E-2</v>
      </c>
      <c r="AD188" s="28">
        <f>Table1[[#This Row],[Freshwater % of Summed Score]]*Table1[[#This Row],[Scaled Summed Score]]</f>
        <v>4.6305145967464809E-2</v>
      </c>
      <c r="AE188" s="28">
        <f>Table1[[#This Row],[Summed Raw Scores]]/MAX(Table1[Summed Raw Scores])</f>
        <v>0.10919991258072678</v>
      </c>
      <c r="AF188" s="6"/>
    </row>
    <row r="189" spans="1:32" hidden="1" x14ac:dyDescent="0.3">
      <c r="A189" s="26" t="s">
        <v>266</v>
      </c>
      <c r="B189" s="26" t="s">
        <v>58</v>
      </c>
      <c r="C189" s="26" t="s">
        <v>59</v>
      </c>
      <c r="D189" s="26"/>
      <c r="E189" s="10">
        <v>53.953420000000001</v>
      </c>
      <c r="F189" s="10">
        <v>-122.68713579999999</v>
      </c>
      <c r="G189" s="10">
        <v>204.16984619999999</v>
      </c>
      <c r="H189" s="26" t="s">
        <v>22</v>
      </c>
      <c r="I189" s="26" t="s">
        <v>22</v>
      </c>
      <c r="J189" s="10">
        <v>317.67374080000002</v>
      </c>
      <c r="K189" s="10">
        <v>121.5247313</v>
      </c>
      <c r="L189" s="6" t="s">
        <v>22</v>
      </c>
      <c r="M189" s="10">
        <v>0.3</v>
      </c>
      <c r="N189" s="10">
        <v>13.8</v>
      </c>
      <c r="O189" s="6">
        <f>Table1[[#This Row],[R1 Length (km)]]+Table1[[#This Row],[T1 Length (km)]]</f>
        <v>14.100000000000001</v>
      </c>
      <c r="P189" s="5">
        <v>230</v>
      </c>
      <c r="Q189" s="6">
        <f>(Table1[[#This Row],[Linear Features (km)]]*1)*100</f>
        <v>1410.0000000000002</v>
      </c>
      <c r="R189" s="10">
        <v>829.44</v>
      </c>
      <c r="S189" s="8">
        <f>Table1[[#This Row],[ATG (ha)]]/Table1[[#This Row],[Linear Area (ha)]]</f>
        <v>0.58825531914893614</v>
      </c>
      <c r="T189" s="9" t="s">
        <v>22</v>
      </c>
      <c r="U189" s="9" t="s">
        <v>22</v>
      </c>
      <c r="V189" s="10">
        <v>829.44</v>
      </c>
      <c r="W189" s="10">
        <v>331.77600000000001</v>
      </c>
      <c r="X189" s="31">
        <v>8583.8856786936503</v>
      </c>
      <c r="Y189" s="27">
        <f>Table1[[#This Row],[Raw Terrestrial Score]]/Table1[[#This Row],[Summed Raw Scores]]</f>
        <v>0.65088978851441603</v>
      </c>
      <c r="Z189" s="31">
        <v>4604.0392667651204</v>
      </c>
      <c r="AA189" s="27">
        <f>Table1[[#This Row],[Raw Freshwater Score]]/Table1[[#This Row],[Summed Raw Scores]]</f>
        <v>0.34911021148558402</v>
      </c>
      <c r="AB189" s="27">
        <f>Table1[[#This Row],[Raw Terrestrial Score]]+Table1[[#This Row],[Raw Freshwater Score]]</f>
        <v>13187.92494545877</v>
      </c>
      <c r="AC189" s="28">
        <f>Table1[[#This Row],[Terrestrial % of Summed Score]]*Table1[[#This Row],[Scaled Summed Score]]</f>
        <v>5.0897602264424732E-2</v>
      </c>
      <c r="AD189" s="28">
        <f>Table1[[#This Row],[Freshwater % of Summed Score]]*Table1[[#This Row],[Scaled Summed Score]]</f>
        <v>2.7299356979002463E-2</v>
      </c>
      <c r="AE189" s="28">
        <f>Table1[[#This Row],[Summed Raw Scores]]/MAX(Table1[Summed Raw Scores])</f>
        <v>7.8196959243427192E-2</v>
      </c>
      <c r="AF189" s="6"/>
    </row>
    <row r="190" spans="1:32" hidden="1" x14ac:dyDescent="0.3">
      <c r="A190" s="26" t="s">
        <v>65</v>
      </c>
      <c r="B190" s="26" t="s">
        <v>58</v>
      </c>
      <c r="C190" s="26" t="s">
        <v>59</v>
      </c>
      <c r="D190" s="26"/>
      <c r="E190" s="6">
        <v>53.891850929999997</v>
      </c>
      <c r="F190" s="6">
        <v>-122.7494279</v>
      </c>
      <c r="G190" s="6">
        <v>370.45661538500002</v>
      </c>
      <c r="H190" s="6" t="s">
        <v>22</v>
      </c>
      <c r="I190" s="6" t="s">
        <v>22</v>
      </c>
      <c r="J190" s="6">
        <v>580.13911071541554</v>
      </c>
      <c r="K190" s="6">
        <v>100.256598345669</v>
      </c>
      <c r="L190" s="6" t="s">
        <v>22</v>
      </c>
      <c r="M190" s="6">
        <v>0</v>
      </c>
      <c r="N190" s="6">
        <v>12.1</v>
      </c>
      <c r="O190" s="6">
        <f>Table1[[#This Row],[R1 Length (km)]]+Table1[[#This Row],[T1 Length (km)]]</f>
        <v>12.1</v>
      </c>
      <c r="P190" s="26">
        <v>230</v>
      </c>
      <c r="Q190" s="6">
        <f>(Table1[[#This Row],[Linear Features (km)]]*1)*100</f>
        <v>1210</v>
      </c>
      <c r="R190" s="6">
        <v>329.67</v>
      </c>
      <c r="S190" s="29">
        <f>Table1[[#This Row],[ATG (ha)]]/Table1[[#This Row],[Linear Area (ha)]]</f>
        <v>0.27245454545454545</v>
      </c>
      <c r="T190" s="9" t="s">
        <v>22</v>
      </c>
      <c r="U190" s="9" t="s">
        <v>22</v>
      </c>
      <c r="V190" s="6">
        <v>329.67</v>
      </c>
      <c r="W190" s="6">
        <v>131.86800000000002</v>
      </c>
      <c r="X190" s="31">
        <v>9988.8712053299005</v>
      </c>
      <c r="Y190" s="27">
        <f>Table1[[#This Row],[Raw Terrestrial Score]]/Table1[[#This Row],[Summed Raw Scores]]</f>
        <v>0.67521310206250706</v>
      </c>
      <c r="Z190" s="31">
        <v>4804.7860486805403</v>
      </c>
      <c r="AA190" s="27">
        <f>Table1[[#This Row],[Raw Freshwater Score]]/Table1[[#This Row],[Summed Raw Scores]]</f>
        <v>0.32478689793749288</v>
      </c>
      <c r="AB190" s="27">
        <f>Table1[[#This Row],[Raw Terrestrial Score]]+Table1[[#This Row],[Raw Freshwater Score]]</f>
        <v>14793.657254010441</v>
      </c>
      <c r="AC190" s="28">
        <f>Table1[[#This Row],[Terrestrial % of Summed Score]]*Table1[[#This Row],[Scaled Summed Score]]</f>
        <v>5.9228374271268147E-2</v>
      </c>
      <c r="AD190" s="28">
        <f>Table1[[#This Row],[Freshwater % of Summed Score]]*Table1[[#This Row],[Scaled Summed Score]]</f>
        <v>2.848967220968587E-2</v>
      </c>
      <c r="AE190" s="28">
        <f>Table1[[#This Row],[Summed Raw Scores]]/MAX(Table1[Summed Raw Scores])</f>
        <v>8.7718046480954021E-2</v>
      </c>
      <c r="AF190" s="6"/>
    </row>
    <row r="191" spans="1:32" hidden="1" x14ac:dyDescent="0.3">
      <c r="A191" s="26" t="s">
        <v>66</v>
      </c>
      <c r="B191" s="26" t="s">
        <v>58</v>
      </c>
      <c r="C191" s="26" t="s">
        <v>59</v>
      </c>
      <c r="D191" s="26"/>
      <c r="E191" s="6">
        <v>53.905667559999998</v>
      </c>
      <c r="F191" s="6">
        <v>-122.66178530000001</v>
      </c>
      <c r="G191" s="6">
        <v>382.61907692300002</v>
      </c>
      <c r="H191" s="6" t="s">
        <v>22</v>
      </c>
      <c r="I191" s="6" t="s">
        <v>22</v>
      </c>
      <c r="J191" s="6">
        <v>593.97001973886643</v>
      </c>
      <c r="K191" s="6">
        <v>100.52005295582235</v>
      </c>
      <c r="L191" s="6" t="s">
        <v>22</v>
      </c>
      <c r="M191" s="6">
        <v>0.3</v>
      </c>
      <c r="N191" s="6">
        <v>7.9</v>
      </c>
      <c r="O191" s="6">
        <f>Table1[[#This Row],[R1 Length (km)]]+Table1[[#This Row],[T1 Length (km)]]</f>
        <v>8.2000000000000011</v>
      </c>
      <c r="P191" s="26">
        <v>230</v>
      </c>
      <c r="Q191" s="6">
        <f>(Table1[[#This Row],[Linear Features (km)]]*1)*100</f>
        <v>820.00000000000011</v>
      </c>
      <c r="R191" s="6">
        <v>357.21</v>
      </c>
      <c r="S191" s="29">
        <f>Table1[[#This Row],[ATG (ha)]]/Table1[[#This Row],[Linear Area (ha)]]</f>
        <v>0.43562195121951208</v>
      </c>
      <c r="T191" s="9" t="s">
        <v>22</v>
      </c>
      <c r="U191" s="9" t="s">
        <v>22</v>
      </c>
      <c r="V191" s="6">
        <v>357.21</v>
      </c>
      <c r="W191" s="6">
        <v>142.88399999999999</v>
      </c>
      <c r="X191" s="31">
        <v>6010.1032438427201</v>
      </c>
      <c r="Y191" s="27">
        <f>Table1[[#This Row],[Raw Terrestrial Score]]/Table1[[#This Row],[Summed Raw Scores]]</f>
        <v>0.67910533627364389</v>
      </c>
      <c r="Z191" s="31">
        <v>2839.92770543694</v>
      </c>
      <c r="AA191" s="27">
        <f>Table1[[#This Row],[Raw Freshwater Score]]/Table1[[#This Row],[Summed Raw Scores]]</f>
        <v>0.320894663726356</v>
      </c>
      <c r="AB191" s="27">
        <f>Table1[[#This Row],[Raw Terrestrial Score]]+Table1[[#This Row],[Raw Freshwater Score]]</f>
        <v>8850.0309492796605</v>
      </c>
      <c r="AC191" s="28">
        <f>Table1[[#This Row],[Terrestrial % of Summed Score]]*Table1[[#This Row],[Scaled Summed Score]]</f>
        <v>3.563652358890565E-2</v>
      </c>
      <c r="AD191" s="28">
        <f>Table1[[#This Row],[Freshwater % of Summed Score]]*Table1[[#This Row],[Scaled Summed Score]]</f>
        <v>1.6839170070709467E-2</v>
      </c>
      <c r="AE191" s="28">
        <f>Table1[[#This Row],[Summed Raw Scores]]/MAX(Table1[Summed Raw Scores])</f>
        <v>5.2475693659615123E-2</v>
      </c>
      <c r="AF191" s="6"/>
    </row>
    <row r="192" spans="1:32" hidden="1" x14ac:dyDescent="0.3">
      <c r="A192" s="26" t="s">
        <v>274</v>
      </c>
      <c r="B192" s="26" t="s">
        <v>58</v>
      </c>
      <c r="C192" s="26" t="s">
        <v>59</v>
      </c>
      <c r="D192" s="26"/>
      <c r="E192" s="10">
        <v>53.967208919999997</v>
      </c>
      <c r="F192" s="10">
        <v>-122.599372</v>
      </c>
      <c r="G192" s="10">
        <v>129.20123079999999</v>
      </c>
      <c r="H192" s="26" t="s">
        <v>22</v>
      </c>
      <c r="I192" s="26" t="s">
        <v>22</v>
      </c>
      <c r="J192" s="10">
        <v>204.3688823</v>
      </c>
      <c r="K192" s="10">
        <v>122.9682306</v>
      </c>
      <c r="L192" s="6" t="s">
        <v>22</v>
      </c>
      <c r="M192" s="10">
        <v>0.3</v>
      </c>
      <c r="N192" s="10">
        <v>20.8</v>
      </c>
      <c r="O192" s="6">
        <f>Table1[[#This Row],[R1 Length (km)]]+Table1[[#This Row],[T1 Length (km)]]</f>
        <v>21.1</v>
      </c>
      <c r="P192" s="5">
        <v>130</v>
      </c>
      <c r="Q192" s="6">
        <f>(Table1[[#This Row],[Linear Features (km)]]*1)*100</f>
        <v>2110</v>
      </c>
      <c r="R192" s="10">
        <v>524.88</v>
      </c>
      <c r="S192" s="8">
        <f>Table1[[#This Row],[ATG (ha)]]/Table1[[#This Row],[Linear Area (ha)]]</f>
        <v>0.24875829383886255</v>
      </c>
      <c r="T192" s="9" t="s">
        <v>22</v>
      </c>
      <c r="U192" s="9" t="s">
        <v>22</v>
      </c>
      <c r="V192" s="10">
        <v>524.88</v>
      </c>
      <c r="W192" s="10">
        <v>209.952</v>
      </c>
      <c r="X192" s="31">
        <v>12260.212431043399</v>
      </c>
      <c r="Y192" s="27">
        <f>Table1[[#This Row],[Raw Terrestrial Score]]/Table1[[#This Row],[Summed Raw Scores]]</f>
        <v>0.62704733628826315</v>
      </c>
      <c r="Z192" s="31">
        <v>7292.0792725086203</v>
      </c>
      <c r="AA192" s="27">
        <f>Table1[[#This Row],[Raw Freshwater Score]]/Table1[[#This Row],[Summed Raw Scores]]</f>
        <v>0.37295266371173696</v>
      </c>
      <c r="AB192" s="27">
        <f>Table1[[#This Row],[Raw Terrestrial Score]]+Table1[[#This Row],[Raw Freshwater Score]]</f>
        <v>19552.291703552019</v>
      </c>
      <c r="AC192" s="28">
        <f>Table1[[#This Row],[Terrestrial % of Summed Score]]*Table1[[#This Row],[Scaled Summed Score]]</f>
        <v>7.2696147100548225E-2</v>
      </c>
      <c r="AD192" s="28">
        <f>Table1[[#This Row],[Freshwater % of Summed Score]]*Table1[[#This Row],[Scaled Summed Score]]</f>
        <v>4.3237918628627789E-2</v>
      </c>
      <c r="AE192" s="28">
        <f>Table1[[#This Row],[Summed Raw Scores]]/MAX(Table1[Summed Raw Scores])</f>
        <v>0.115934065729176</v>
      </c>
      <c r="AF192" s="6"/>
    </row>
    <row r="193" spans="1:32" hidden="1" x14ac:dyDescent="0.3">
      <c r="A193" s="26" t="s">
        <v>327</v>
      </c>
      <c r="B193" s="26" t="s">
        <v>58</v>
      </c>
      <c r="C193" s="26" t="s">
        <v>59</v>
      </c>
      <c r="D193" s="26"/>
      <c r="E193" s="10">
        <v>53.980954449999999</v>
      </c>
      <c r="F193" s="10">
        <v>-122.5115613</v>
      </c>
      <c r="G193" s="10">
        <v>41.671384619999998</v>
      </c>
      <c r="H193" s="26" t="s">
        <v>22</v>
      </c>
      <c r="I193" s="26" t="s">
        <v>22</v>
      </c>
      <c r="J193" s="10">
        <v>67.307982060000001</v>
      </c>
      <c r="K193" s="10">
        <v>133.56805600000001</v>
      </c>
      <c r="L193" s="6" t="s">
        <v>22</v>
      </c>
      <c r="M193" s="10">
        <v>0.3</v>
      </c>
      <c r="N193" s="10">
        <v>14.4</v>
      </c>
      <c r="O193" s="6">
        <f>Table1[[#This Row],[R1 Length (km)]]+Table1[[#This Row],[T1 Length (km)]]</f>
        <v>14.700000000000001</v>
      </c>
      <c r="P193" s="5">
        <v>69</v>
      </c>
      <c r="Q193" s="6">
        <f>(Table1[[#This Row],[Linear Features (km)]]*1)*100</f>
        <v>1470</v>
      </c>
      <c r="R193" s="10">
        <v>169.29</v>
      </c>
      <c r="S193" s="8">
        <f>Table1[[#This Row],[ATG (ha)]]/Table1[[#This Row],[Linear Area (ha)]]</f>
        <v>0.11516326530612245</v>
      </c>
      <c r="T193" s="9" t="s">
        <v>22</v>
      </c>
      <c r="U193" s="9" t="s">
        <v>22</v>
      </c>
      <c r="V193" s="10">
        <v>169.29</v>
      </c>
      <c r="W193" s="10">
        <v>67.715999999999994</v>
      </c>
      <c r="X193" s="31">
        <v>5619.8917905390299</v>
      </c>
      <c r="Y193" s="27">
        <f>Table1[[#This Row],[Raw Terrestrial Score]]/Table1[[#This Row],[Summed Raw Scores]]</f>
        <v>0.53172400755732174</v>
      </c>
      <c r="Z193" s="31">
        <v>4949.2976962328003</v>
      </c>
      <c r="AA193" s="27">
        <f>Table1[[#This Row],[Raw Freshwater Score]]/Table1[[#This Row],[Summed Raw Scores]]</f>
        <v>0.46827599244267831</v>
      </c>
      <c r="AB193" s="27">
        <f>Table1[[#This Row],[Raw Terrestrial Score]]+Table1[[#This Row],[Raw Freshwater Score]]</f>
        <v>10569.189486771829</v>
      </c>
      <c r="AC193" s="28">
        <f>Table1[[#This Row],[Terrestrial % of Summed Score]]*Table1[[#This Row],[Scaled Summed Score]]</f>
        <v>3.332278968182769E-2</v>
      </c>
      <c r="AD193" s="28">
        <f>Table1[[#This Row],[Freshwater % of Summed Score]]*Table1[[#This Row],[Scaled Summed Score]]</f>
        <v>2.9346544800376177E-2</v>
      </c>
      <c r="AE193" s="28">
        <f>Table1[[#This Row],[Summed Raw Scores]]/MAX(Table1[Summed Raw Scores])</f>
        <v>6.2669334482203867E-2</v>
      </c>
      <c r="AF193" s="6"/>
    </row>
    <row r="194" spans="1:32" hidden="1" x14ac:dyDescent="0.3">
      <c r="A194" s="26" t="s">
        <v>292</v>
      </c>
      <c r="B194" s="26" t="s">
        <v>58</v>
      </c>
      <c r="C194" s="26" t="s">
        <v>59</v>
      </c>
      <c r="D194" s="26"/>
      <c r="E194" s="10">
        <v>53.919440860000002</v>
      </c>
      <c r="F194" s="10">
        <v>-122.5740959</v>
      </c>
      <c r="G194" s="10">
        <v>122.4221538</v>
      </c>
      <c r="H194" s="26" t="s">
        <v>22</v>
      </c>
      <c r="I194" s="26" t="s">
        <v>22</v>
      </c>
      <c r="J194" s="10">
        <v>191.8030253</v>
      </c>
      <c r="K194" s="10">
        <v>126.719905</v>
      </c>
      <c r="L194" s="6" t="s">
        <v>22</v>
      </c>
      <c r="M194" s="10">
        <v>0.6</v>
      </c>
      <c r="N194" s="10">
        <v>8.8000000000000007</v>
      </c>
      <c r="O194" s="6">
        <f>Table1[[#This Row],[R1 Length (km)]]+Table1[[#This Row],[T1 Length (km)]]</f>
        <v>9.4</v>
      </c>
      <c r="P194" s="5">
        <v>230</v>
      </c>
      <c r="Q194" s="6">
        <f>(Table1[[#This Row],[Linear Features (km)]]*1)*100</f>
        <v>940</v>
      </c>
      <c r="R194" s="10">
        <v>497.34</v>
      </c>
      <c r="S194" s="8">
        <f>Table1[[#This Row],[ATG (ha)]]/Table1[[#This Row],[Linear Area (ha)]]</f>
        <v>0.52908510638297868</v>
      </c>
      <c r="T194" s="9" t="s">
        <v>22</v>
      </c>
      <c r="U194" s="9" t="s">
        <v>22</v>
      </c>
      <c r="V194" s="10">
        <v>497.34</v>
      </c>
      <c r="W194" s="10">
        <v>198.93600000000001</v>
      </c>
      <c r="X194" s="31">
        <v>6580.1729136854401</v>
      </c>
      <c r="Y194" s="27">
        <f>Table1[[#This Row],[Raw Terrestrial Score]]/Table1[[#This Row],[Summed Raw Scores]]</f>
        <v>0.72512157236024177</v>
      </c>
      <c r="Z194" s="31">
        <v>2494.40597695112</v>
      </c>
      <c r="AA194" s="27">
        <f>Table1[[#This Row],[Raw Freshwater Score]]/Table1[[#This Row],[Summed Raw Scores]]</f>
        <v>0.27487842763975834</v>
      </c>
      <c r="AB194" s="27">
        <f>Table1[[#This Row],[Raw Terrestrial Score]]+Table1[[#This Row],[Raw Freshwater Score]]</f>
        <v>9074.5788906365597</v>
      </c>
      <c r="AC194" s="28">
        <f>Table1[[#This Row],[Terrestrial % of Summed Score]]*Table1[[#This Row],[Scaled Summed Score]]</f>
        <v>3.9016715311482555E-2</v>
      </c>
      <c r="AD194" s="28">
        <f>Table1[[#This Row],[Freshwater % of Summed Score]]*Table1[[#This Row],[Scaled Summed Score]]</f>
        <v>1.4790421034612774E-2</v>
      </c>
      <c r="AE194" s="28">
        <f>Table1[[#This Row],[Summed Raw Scores]]/MAX(Table1[Summed Raw Scores])</f>
        <v>5.3807136346095324E-2</v>
      </c>
      <c r="AF194" s="6"/>
    </row>
    <row r="195" spans="1:32" hidden="1" x14ac:dyDescent="0.3">
      <c r="A195" s="26" t="s">
        <v>333</v>
      </c>
      <c r="B195" s="26" t="s">
        <v>58</v>
      </c>
      <c r="C195" s="26" t="s">
        <v>59</v>
      </c>
      <c r="D195" s="26"/>
      <c r="E195" s="10">
        <v>53.933170789999998</v>
      </c>
      <c r="F195" s="10">
        <v>-122.48635969999999</v>
      </c>
      <c r="G195" s="10">
        <v>17.34646154</v>
      </c>
      <c r="H195" s="26" t="s">
        <v>22</v>
      </c>
      <c r="I195" s="26" t="s">
        <v>22</v>
      </c>
      <c r="J195" s="10">
        <v>28.451653329999999</v>
      </c>
      <c r="K195" s="10">
        <v>136.31417099999999</v>
      </c>
      <c r="L195" s="6" t="s">
        <v>22</v>
      </c>
      <c r="M195" s="10">
        <v>0.9</v>
      </c>
      <c r="N195" s="10">
        <v>17.7</v>
      </c>
      <c r="O195" s="6">
        <f>Table1[[#This Row],[R1 Length (km)]]+Table1[[#This Row],[T1 Length (km)]]</f>
        <v>18.599999999999998</v>
      </c>
      <c r="P195" s="5">
        <v>25</v>
      </c>
      <c r="Q195" s="6">
        <f>(Table1[[#This Row],[Linear Features (km)]]*1)*100</f>
        <v>1859.9999999999998</v>
      </c>
      <c r="R195" s="10">
        <v>70.47</v>
      </c>
      <c r="S195" s="8">
        <f>Table1[[#This Row],[ATG (ha)]]/Table1[[#This Row],[Linear Area (ha)]]</f>
        <v>3.7887096774193552E-2</v>
      </c>
      <c r="T195" s="9" t="s">
        <v>22</v>
      </c>
      <c r="U195" s="9" t="s">
        <v>22</v>
      </c>
      <c r="V195" s="10">
        <v>70.47</v>
      </c>
      <c r="W195" s="10">
        <v>28.187999999999999</v>
      </c>
      <c r="X195" s="31">
        <v>9315.3763434588891</v>
      </c>
      <c r="Y195" s="27">
        <f>Table1[[#This Row],[Raw Terrestrial Score]]/Table1[[#This Row],[Summed Raw Scores]]</f>
        <v>0.61201687481502198</v>
      </c>
      <c r="Z195" s="31">
        <v>5905.4071460068199</v>
      </c>
      <c r="AA195" s="27">
        <f>Table1[[#This Row],[Raw Freshwater Score]]/Table1[[#This Row],[Summed Raw Scores]]</f>
        <v>0.38798312518497796</v>
      </c>
      <c r="AB195" s="27">
        <f>Table1[[#This Row],[Raw Terrestrial Score]]+Table1[[#This Row],[Raw Freshwater Score]]</f>
        <v>15220.78348946571</v>
      </c>
      <c r="AC195" s="28">
        <f>Table1[[#This Row],[Terrestrial % of Summed Score]]*Table1[[#This Row],[Scaled Summed Score]]</f>
        <v>5.5234929473683046E-2</v>
      </c>
      <c r="AD195" s="28">
        <f>Table1[[#This Row],[Freshwater % of Summed Score]]*Table1[[#This Row],[Scaled Summed Score]]</f>
        <v>3.5015734759026931E-2</v>
      </c>
      <c r="AE195" s="28">
        <f>Table1[[#This Row],[Summed Raw Scores]]/MAX(Table1[Summed Raw Scores])</f>
        <v>9.0250664232709985E-2</v>
      </c>
      <c r="AF195" s="6"/>
    </row>
    <row r="196" spans="1:32" hidden="1" x14ac:dyDescent="0.3">
      <c r="A196" s="26" t="s">
        <v>373</v>
      </c>
      <c r="B196" s="26" t="s">
        <v>58</v>
      </c>
      <c r="C196" s="26" t="s">
        <v>59</v>
      </c>
      <c r="D196" s="26"/>
      <c r="E196" s="10">
        <v>53.994656519999999</v>
      </c>
      <c r="F196" s="10">
        <v>-122.4237038</v>
      </c>
      <c r="G196" s="10">
        <v>17.944615379999998</v>
      </c>
      <c r="H196" s="26" t="s">
        <v>22</v>
      </c>
      <c r="I196" s="26" t="s">
        <v>22</v>
      </c>
      <c r="J196" s="10">
        <v>28.218782319999999</v>
      </c>
      <c r="K196" s="10">
        <v>151.73646539999999</v>
      </c>
      <c r="L196" s="6" t="s">
        <v>22</v>
      </c>
      <c r="M196" s="10">
        <v>0.3</v>
      </c>
      <c r="N196" s="10">
        <v>20.9</v>
      </c>
      <c r="O196" s="6">
        <f>Table1[[#This Row],[R1 Length (km)]]+Table1[[#This Row],[T1 Length (km)]]</f>
        <v>21.2</v>
      </c>
      <c r="P196" s="5">
        <v>25</v>
      </c>
      <c r="Q196" s="6">
        <f>(Table1[[#This Row],[Linear Features (km)]]*1)*100</f>
        <v>2120</v>
      </c>
      <c r="R196" s="10">
        <v>72.900000000000006</v>
      </c>
      <c r="S196" s="8">
        <f>Table1[[#This Row],[ATG (ha)]]/Table1[[#This Row],[Linear Area (ha)]]</f>
        <v>3.4386792452830189E-2</v>
      </c>
      <c r="T196" s="9" t="s">
        <v>22</v>
      </c>
      <c r="U196" s="9" t="s">
        <v>22</v>
      </c>
      <c r="V196" s="10">
        <v>72.900000000000006</v>
      </c>
      <c r="W196" s="10">
        <v>29.16</v>
      </c>
      <c r="X196" s="31">
        <v>8622.7743937075102</v>
      </c>
      <c r="Y196" s="27">
        <f>Table1[[#This Row],[Raw Terrestrial Score]]/Table1[[#This Row],[Summed Raw Scores]]</f>
        <v>0.59671307699765674</v>
      </c>
      <c r="Z196" s="31">
        <v>5827.67880750727</v>
      </c>
      <c r="AA196" s="27">
        <f>Table1[[#This Row],[Raw Freshwater Score]]/Table1[[#This Row],[Summed Raw Scores]]</f>
        <v>0.40328692300234331</v>
      </c>
      <c r="AB196" s="27">
        <f>Table1[[#This Row],[Raw Terrestrial Score]]+Table1[[#This Row],[Raw Freshwater Score]]</f>
        <v>14450.453201214779</v>
      </c>
      <c r="AC196" s="28">
        <f>Table1[[#This Row],[Terrestrial % of Summed Score]]*Table1[[#This Row],[Scaled Summed Score]]</f>
        <v>5.1128190418023162E-2</v>
      </c>
      <c r="AD196" s="28">
        <f>Table1[[#This Row],[Freshwater % of Summed Score]]*Table1[[#This Row],[Scaled Summed Score]]</f>
        <v>3.4554849536913075E-2</v>
      </c>
      <c r="AE196" s="28">
        <f>Table1[[#This Row],[Summed Raw Scores]]/MAX(Table1[Summed Raw Scores])</f>
        <v>8.568303995493623E-2</v>
      </c>
      <c r="AF196" s="6"/>
    </row>
    <row r="197" spans="1:32" hidden="1" x14ac:dyDescent="0.3">
      <c r="A197" s="26" t="s">
        <v>397</v>
      </c>
      <c r="B197" s="26" t="s">
        <v>58</v>
      </c>
      <c r="C197" s="26" t="s">
        <v>59</v>
      </c>
      <c r="D197" s="26"/>
      <c r="E197" s="10">
        <v>53.788484179999998</v>
      </c>
      <c r="F197" s="10">
        <v>-123.0738542</v>
      </c>
      <c r="G197" s="10">
        <v>25.321846149999999</v>
      </c>
      <c r="H197" s="26" t="s">
        <v>22</v>
      </c>
      <c r="I197" s="26" t="s">
        <v>22</v>
      </c>
      <c r="J197" s="10">
        <v>39.182250029999999</v>
      </c>
      <c r="K197" s="10">
        <v>161.05166819999999</v>
      </c>
      <c r="L197" s="6" t="s">
        <v>22</v>
      </c>
      <c r="M197" s="10">
        <v>0.6</v>
      </c>
      <c r="N197" s="10">
        <v>16.600000000000001</v>
      </c>
      <c r="O197" s="6">
        <f>Table1[[#This Row],[R1 Length (km)]]+Table1[[#This Row],[T1 Length (km)]]</f>
        <v>17.200000000000003</v>
      </c>
      <c r="P197" s="5">
        <v>69</v>
      </c>
      <c r="Q197" s="6">
        <f>(Table1[[#This Row],[Linear Features (km)]]*1)*100</f>
        <v>1720.0000000000002</v>
      </c>
      <c r="R197" s="10">
        <v>102.87</v>
      </c>
      <c r="S197" s="8">
        <f>Table1[[#This Row],[ATG (ha)]]/Table1[[#This Row],[Linear Area (ha)]]</f>
        <v>5.9808139534883717E-2</v>
      </c>
      <c r="T197" s="9" t="s">
        <v>22</v>
      </c>
      <c r="U197" s="9" t="s">
        <v>22</v>
      </c>
      <c r="V197" s="10">
        <v>102.87</v>
      </c>
      <c r="W197" s="10">
        <v>41.148000000000003</v>
      </c>
      <c r="X197" s="31">
        <v>6354.3566274046898</v>
      </c>
      <c r="Y197" s="27">
        <f>Table1[[#This Row],[Raw Terrestrial Score]]/Table1[[#This Row],[Summed Raw Scores]]</f>
        <v>0.55842681545358308</v>
      </c>
      <c r="Z197" s="31">
        <v>5024.6754168272</v>
      </c>
      <c r="AA197" s="27">
        <f>Table1[[#This Row],[Raw Freshwater Score]]/Table1[[#This Row],[Summed Raw Scores]]</f>
        <v>0.44157318454641692</v>
      </c>
      <c r="AB197" s="27">
        <f>Table1[[#This Row],[Raw Terrestrial Score]]+Table1[[#This Row],[Raw Freshwater Score]]</f>
        <v>11379.03204423189</v>
      </c>
      <c r="AC197" s="28">
        <f>Table1[[#This Row],[Terrestrial % of Summed Score]]*Table1[[#This Row],[Scaled Summed Score]]</f>
        <v>3.7677752054728619E-2</v>
      </c>
      <c r="AD197" s="28">
        <f>Table1[[#This Row],[Freshwater % of Summed Score]]*Table1[[#This Row],[Scaled Summed Score]]</f>
        <v>2.9793492183649878E-2</v>
      </c>
      <c r="AE197" s="28">
        <f>Table1[[#This Row],[Summed Raw Scores]]/MAX(Table1[Summed Raw Scores])</f>
        <v>6.7471244238378497E-2</v>
      </c>
      <c r="AF197" s="6"/>
    </row>
    <row r="198" spans="1:32" hidden="1" x14ac:dyDescent="0.3">
      <c r="A198" s="26" t="s">
        <v>366</v>
      </c>
      <c r="B198" s="26" t="s">
        <v>58</v>
      </c>
      <c r="C198" s="26" t="s">
        <v>59</v>
      </c>
      <c r="D198" s="26"/>
      <c r="E198" s="10">
        <v>53.802457949999997</v>
      </c>
      <c r="F198" s="10">
        <v>-122.9864738</v>
      </c>
      <c r="G198" s="10">
        <v>87.529846149999997</v>
      </c>
      <c r="H198" s="26" t="s">
        <v>22</v>
      </c>
      <c r="I198" s="26" t="s">
        <v>22</v>
      </c>
      <c r="J198" s="10">
        <v>135.9920813</v>
      </c>
      <c r="K198" s="10">
        <v>146.15374199999999</v>
      </c>
      <c r="L198" s="6" t="s">
        <v>22</v>
      </c>
      <c r="M198" s="10">
        <v>0</v>
      </c>
      <c r="N198" s="10">
        <v>27.5</v>
      </c>
      <c r="O198" s="6">
        <f>Table1[[#This Row],[R1 Length (km)]]+Table1[[#This Row],[T1 Length (km)]]</f>
        <v>27.5</v>
      </c>
      <c r="P198" s="5">
        <v>230</v>
      </c>
      <c r="Q198" s="6">
        <f>(Table1[[#This Row],[Linear Features (km)]]*1)*100</f>
        <v>2750</v>
      </c>
      <c r="R198" s="10">
        <v>355.59</v>
      </c>
      <c r="S198" s="8">
        <f>Table1[[#This Row],[ATG (ha)]]/Table1[[#This Row],[Linear Area (ha)]]</f>
        <v>0.12930545454545453</v>
      </c>
      <c r="T198" s="9" t="s">
        <v>22</v>
      </c>
      <c r="U198" s="9" t="s">
        <v>22</v>
      </c>
      <c r="V198" s="10">
        <v>355.59</v>
      </c>
      <c r="W198" s="10">
        <v>142.23599999999999</v>
      </c>
      <c r="X198" s="31">
        <v>14736.4201152921</v>
      </c>
      <c r="Y198" s="27">
        <f>Table1[[#This Row],[Raw Terrestrial Score]]/Table1[[#This Row],[Summed Raw Scores]]</f>
        <v>0.59940797555157832</v>
      </c>
      <c r="Z198" s="31">
        <v>9848.5382375419103</v>
      </c>
      <c r="AA198" s="27">
        <f>Table1[[#This Row],[Raw Freshwater Score]]/Table1[[#This Row],[Summed Raw Scores]]</f>
        <v>0.40059202444842168</v>
      </c>
      <c r="AB198" s="27">
        <f>Table1[[#This Row],[Raw Terrestrial Score]]+Table1[[#This Row],[Raw Freshwater Score]]</f>
        <v>24584.958352834008</v>
      </c>
      <c r="AC198" s="28">
        <f>Table1[[#This Row],[Terrestrial % of Summed Score]]*Table1[[#This Row],[Scaled Summed Score]]</f>
        <v>8.7378662520089898E-2</v>
      </c>
      <c r="AD198" s="28">
        <f>Table1[[#This Row],[Freshwater % of Summed Score]]*Table1[[#This Row],[Scaled Summed Score]]</f>
        <v>5.8396278895535413E-2</v>
      </c>
      <c r="AE198" s="29">
        <f>Table1[[#This Row],[Summed Raw Scores]]/MAX(Table1[Summed Raw Scores])</f>
        <v>0.1457749414156253</v>
      </c>
    </row>
    <row r="199" spans="1:32" hidden="1" x14ac:dyDescent="0.3">
      <c r="A199" s="26" t="s">
        <v>402</v>
      </c>
      <c r="B199" s="26" t="s">
        <v>58</v>
      </c>
      <c r="C199" s="26" t="s">
        <v>59</v>
      </c>
      <c r="D199" s="26"/>
      <c r="E199" s="10">
        <v>53.754780400000001</v>
      </c>
      <c r="F199" s="10">
        <v>-122.9609213</v>
      </c>
      <c r="G199" s="10">
        <v>55.827692310000003</v>
      </c>
      <c r="H199" s="26" t="s">
        <v>22</v>
      </c>
      <c r="I199" s="26" t="s">
        <v>22</v>
      </c>
      <c r="J199" s="10">
        <v>87.185765470000007</v>
      </c>
      <c r="K199" s="10">
        <v>167.28013350000001</v>
      </c>
      <c r="L199" s="6" t="s">
        <v>22</v>
      </c>
      <c r="M199" s="10">
        <v>0.7</v>
      </c>
      <c r="N199" s="10">
        <v>28.5</v>
      </c>
      <c r="O199" s="6">
        <f>Table1[[#This Row],[R1 Length (km)]]+Table1[[#This Row],[T1 Length (km)]]</f>
        <v>29.2</v>
      </c>
      <c r="P199" s="5">
        <v>230</v>
      </c>
      <c r="Q199" s="6">
        <f>(Table1[[#This Row],[Linear Features (km)]]*1)*100</f>
        <v>2920</v>
      </c>
      <c r="R199" s="10">
        <v>226.8</v>
      </c>
      <c r="S199" s="8">
        <f>Table1[[#This Row],[ATG (ha)]]/Table1[[#This Row],[Linear Area (ha)]]</f>
        <v>7.7671232876712334E-2</v>
      </c>
      <c r="T199" s="9" t="s">
        <v>22</v>
      </c>
      <c r="U199" s="9" t="s">
        <v>22</v>
      </c>
      <c r="V199" s="10">
        <v>226.8</v>
      </c>
      <c r="W199" s="10">
        <v>90.72</v>
      </c>
      <c r="X199" s="31">
        <v>14669.463519692399</v>
      </c>
      <c r="Y199" s="27">
        <f>Table1[[#This Row],[Raw Terrestrial Score]]/Table1[[#This Row],[Summed Raw Scores]]</f>
        <v>0.62397223516942446</v>
      </c>
      <c r="Z199" s="31">
        <v>8840.3381876051408</v>
      </c>
      <c r="AA199" s="27">
        <f>Table1[[#This Row],[Raw Freshwater Score]]/Table1[[#This Row],[Summed Raw Scores]]</f>
        <v>0.37602776483057543</v>
      </c>
      <c r="AB199" s="27">
        <f>Table1[[#This Row],[Raw Terrestrial Score]]+Table1[[#This Row],[Raw Freshwater Score]]</f>
        <v>23509.801707297542</v>
      </c>
      <c r="AC199" s="28">
        <f>Table1[[#This Row],[Terrestrial % of Summed Score]]*Table1[[#This Row],[Scaled Summed Score]]</f>
        <v>8.6981647659993111E-2</v>
      </c>
      <c r="AD199" s="28">
        <f>Table1[[#This Row],[Freshwater % of Summed Score]]*Table1[[#This Row],[Scaled Summed Score]]</f>
        <v>5.2418221047907575E-2</v>
      </c>
      <c r="AE199" s="29">
        <f>Table1[[#This Row],[Summed Raw Scores]]/MAX(Table1[Summed Raw Scores])</f>
        <v>0.13939986870790069</v>
      </c>
    </row>
    <row r="200" spans="1:32" hidden="1" x14ac:dyDescent="0.3">
      <c r="A200" s="26" t="s">
        <v>268</v>
      </c>
      <c r="B200" s="26" t="s">
        <v>58</v>
      </c>
      <c r="C200" s="26" t="s">
        <v>59</v>
      </c>
      <c r="D200" s="26"/>
      <c r="E200" s="10">
        <v>53.816388590000003</v>
      </c>
      <c r="F200" s="10">
        <v>-122.8990462</v>
      </c>
      <c r="G200" s="10">
        <v>198.9858462</v>
      </c>
      <c r="H200" s="26" t="s">
        <v>22</v>
      </c>
      <c r="I200" s="26" t="s">
        <v>22</v>
      </c>
      <c r="J200" s="10">
        <v>314.82487129999998</v>
      </c>
      <c r="K200" s="10">
        <v>121.6868475</v>
      </c>
      <c r="L200" s="6" t="s">
        <v>22</v>
      </c>
      <c r="M200" s="10">
        <v>0</v>
      </c>
      <c r="N200" s="10">
        <v>21</v>
      </c>
      <c r="O200" s="6">
        <f>Table1[[#This Row],[R1 Length (km)]]+Table1[[#This Row],[T1 Length (km)]]</f>
        <v>21</v>
      </c>
      <c r="P200" s="5">
        <v>230</v>
      </c>
      <c r="Q200" s="6">
        <f>(Table1[[#This Row],[Linear Features (km)]]*1)*100</f>
        <v>2100</v>
      </c>
      <c r="R200" s="10">
        <v>808.38</v>
      </c>
      <c r="S200" s="8">
        <f>Table1[[#This Row],[ATG (ha)]]/Table1[[#This Row],[Linear Area (ha)]]</f>
        <v>0.38494285714285714</v>
      </c>
      <c r="T200" s="9" t="s">
        <v>22</v>
      </c>
      <c r="U200" s="9" t="s">
        <v>22</v>
      </c>
      <c r="V200" s="10">
        <v>808.38</v>
      </c>
      <c r="W200" s="10">
        <v>323.35199999999998</v>
      </c>
      <c r="X200" s="31">
        <v>10638.0694970489</v>
      </c>
      <c r="Y200" s="27">
        <f>Table1[[#This Row],[Raw Terrestrial Score]]/Table1[[#This Row],[Summed Raw Scores]]</f>
        <v>0.59889596688646696</v>
      </c>
      <c r="Z200" s="31">
        <v>7124.7308643460301</v>
      </c>
      <c r="AA200" s="27">
        <f>Table1[[#This Row],[Raw Freshwater Score]]/Table1[[#This Row],[Summed Raw Scores]]</f>
        <v>0.40110403311353315</v>
      </c>
      <c r="AB200" s="27">
        <f>Table1[[#This Row],[Raw Terrestrial Score]]+Table1[[#This Row],[Raw Freshwater Score]]</f>
        <v>17762.800361394929</v>
      </c>
      <c r="AC200" s="28">
        <f>Table1[[#This Row],[Terrestrial % of Summed Score]]*Table1[[#This Row],[Scaled Summed Score]]</f>
        <v>6.3077754106868E-2</v>
      </c>
      <c r="AD200" s="28">
        <f>Table1[[#This Row],[Freshwater % of Summed Score]]*Table1[[#This Row],[Scaled Summed Score]]</f>
        <v>4.2245636923457126E-2</v>
      </c>
      <c r="AE200" s="29">
        <f>Table1[[#This Row],[Summed Raw Scores]]/MAX(Table1[Summed Raw Scores])</f>
        <v>0.10532339103032512</v>
      </c>
    </row>
    <row r="201" spans="1:32" hidden="1" x14ac:dyDescent="0.3">
      <c r="A201" s="26" t="s">
        <v>317</v>
      </c>
      <c r="B201" s="26" t="s">
        <v>58</v>
      </c>
      <c r="C201" s="26" t="s">
        <v>59</v>
      </c>
      <c r="D201" s="26"/>
      <c r="E201" s="10">
        <v>53.830276069999996</v>
      </c>
      <c r="F201" s="10">
        <v>-122.81157159999999</v>
      </c>
      <c r="G201" s="10">
        <v>103.4806154</v>
      </c>
      <c r="H201" s="26" t="s">
        <v>22</v>
      </c>
      <c r="I201" s="26" t="s">
        <v>22</v>
      </c>
      <c r="J201" s="10">
        <v>163.6309201</v>
      </c>
      <c r="K201" s="10">
        <v>131.49038400000001</v>
      </c>
      <c r="L201" s="6" t="s">
        <v>22</v>
      </c>
      <c r="M201" s="10">
        <v>0</v>
      </c>
      <c r="N201" s="10">
        <v>14.3</v>
      </c>
      <c r="O201" s="6">
        <f>Table1[[#This Row],[R1 Length (km)]]+Table1[[#This Row],[T1 Length (km)]]</f>
        <v>14.3</v>
      </c>
      <c r="P201" s="5">
        <v>230</v>
      </c>
      <c r="Q201" s="6">
        <f>(Table1[[#This Row],[Linear Features (km)]]*1)*100</f>
        <v>1430</v>
      </c>
      <c r="R201" s="10">
        <v>420.39</v>
      </c>
      <c r="S201" s="8">
        <f>Table1[[#This Row],[ATG (ha)]]/Table1[[#This Row],[Linear Area (ha)]]</f>
        <v>0.29397902097902096</v>
      </c>
      <c r="T201" s="9" t="s">
        <v>22</v>
      </c>
      <c r="U201" s="9" t="s">
        <v>22</v>
      </c>
      <c r="V201" s="10">
        <v>420.39</v>
      </c>
      <c r="W201" s="10">
        <v>168.15600000000001</v>
      </c>
      <c r="X201" s="31">
        <v>9262.4460785836</v>
      </c>
      <c r="Y201" s="27">
        <f>Table1[[#This Row],[Raw Terrestrial Score]]/Table1[[#This Row],[Summed Raw Scores]]</f>
        <v>0.65560966924457309</v>
      </c>
      <c r="Z201" s="31">
        <v>4865.5427432656297</v>
      </c>
      <c r="AA201" s="27">
        <f>Table1[[#This Row],[Raw Freshwater Score]]/Table1[[#This Row],[Summed Raw Scores]]</f>
        <v>0.34439033075542685</v>
      </c>
      <c r="AB201" s="27">
        <f>Table1[[#This Row],[Raw Terrestrial Score]]+Table1[[#This Row],[Raw Freshwater Score]]</f>
        <v>14127.988821849231</v>
      </c>
      <c r="AC201" s="28">
        <f>Table1[[#This Row],[Terrestrial % of Summed Score]]*Table1[[#This Row],[Scaled Summed Score]]</f>
        <v>5.4921082846384639E-2</v>
      </c>
      <c r="AD201" s="28">
        <f>Table1[[#This Row],[Freshwater % of Summed Score]]*Table1[[#This Row],[Scaled Summed Score]]</f>
        <v>2.8849925152425859E-2</v>
      </c>
      <c r="AE201" s="29">
        <f>Table1[[#This Row],[Summed Raw Scores]]/MAX(Table1[Summed Raw Scores])</f>
        <v>8.3771007998810501E-2</v>
      </c>
    </row>
    <row r="202" spans="1:32" hidden="1" x14ac:dyDescent="0.3">
      <c r="A202" s="26" t="s">
        <v>67</v>
      </c>
      <c r="B202" s="26" t="s">
        <v>58</v>
      </c>
      <c r="C202" s="26" t="s">
        <v>59</v>
      </c>
      <c r="D202" s="26"/>
      <c r="E202" s="6">
        <v>53.768695370000003</v>
      </c>
      <c r="F202" s="6">
        <v>-122.8735674</v>
      </c>
      <c r="G202" s="6">
        <v>305.25784615399999</v>
      </c>
      <c r="H202" s="6" t="s">
        <v>22</v>
      </c>
      <c r="I202" s="6" t="s">
        <v>22</v>
      </c>
      <c r="J202" s="6">
        <v>485.659340765303</v>
      </c>
      <c r="K202" s="6">
        <v>101.00995459166877</v>
      </c>
      <c r="L202" s="6" t="s">
        <v>22</v>
      </c>
      <c r="M202" s="6">
        <v>0.6</v>
      </c>
      <c r="N202" s="6">
        <v>21.1</v>
      </c>
      <c r="O202" s="6">
        <f>Table1[[#This Row],[R1 Length (km)]]+Table1[[#This Row],[T1 Length (km)]]</f>
        <v>21.700000000000003</v>
      </c>
      <c r="P202" s="26">
        <v>230</v>
      </c>
      <c r="Q202" s="6">
        <f>(Table1[[#This Row],[Linear Features (km)]]*1)*100</f>
        <v>2170.0000000000005</v>
      </c>
      <c r="R202" s="6">
        <v>328.05</v>
      </c>
      <c r="S202" s="29">
        <f>Table1[[#This Row],[ATG (ha)]]/Table1[[#This Row],[Linear Area (ha)]]</f>
        <v>0.15117511520737326</v>
      </c>
      <c r="T202" s="9" t="s">
        <v>22</v>
      </c>
      <c r="U202" s="9" t="s">
        <v>22</v>
      </c>
      <c r="V202" s="6">
        <v>328.05</v>
      </c>
      <c r="W202" s="6">
        <v>131.22</v>
      </c>
      <c r="X202" s="31">
        <v>14151.8124078214</v>
      </c>
      <c r="Y202" s="27">
        <f>Table1[[#This Row],[Raw Terrestrial Score]]/Table1[[#This Row],[Summed Raw Scores]]</f>
        <v>0.6497922739430706</v>
      </c>
      <c r="Z202" s="31">
        <v>7627.1667757034302</v>
      </c>
      <c r="AA202" s="27">
        <f>Table1[[#This Row],[Raw Freshwater Score]]/Table1[[#This Row],[Summed Raw Scores]]</f>
        <v>0.35020772605692929</v>
      </c>
      <c r="AB202" s="27">
        <f>Table1[[#This Row],[Raw Terrestrial Score]]+Table1[[#This Row],[Raw Freshwater Score]]</f>
        <v>21778.979183524832</v>
      </c>
      <c r="AC202" s="28">
        <f>Table1[[#This Row],[Terrestrial % of Summed Score]]*Table1[[#This Row],[Scaled Summed Score]]</f>
        <v>8.3912268431289655E-2</v>
      </c>
      <c r="AD202" s="28">
        <f>Table1[[#This Row],[Freshwater % of Summed Score]]*Table1[[#This Row],[Scaled Summed Score]]</f>
        <v>4.5224798591826938E-2</v>
      </c>
      <c r="AE202" s="29">
        <f>Table1[[#This Row],[Summed Raw Scores]]/MAX(Table1[Summed Raw Scores])</f>
        <v>0.12913706702311661</v>
      </c>
    </row>
    <row r="203" spans="1:32" hidden="1" x14ac:dyDescent="0.3">
      <c r="A203" s="26" t="s">
        <v>68</v>
      </c>
      <c r="B203" s="26" t="s">
        <v>58</v>
      </c>
      <c r="C203" s="26" t="s">
        <v>59</v>
      </c>
      <c r="D203" s="26"/>
      <c r="E203" s="6">
        <v>53.844120330000003</v>
      </c>
      <c r="F203" s="6">
        <v>-122.72405000000001</v>
      </c>
      <c r="G203" s="6">
        <v>323.60123076899998</v>
      </c>
      <c r="H203" s="6" t="s">
        <v>22</v>
      </c>
      <c r="I203" s="6" t="s">
        <v>22</v>
      </c>
      <c r="J203" s="6">
        <v>502.62833385978621</v>
      </c>
      <c r="K203" s="6">
        <v>101.2851055941847</v>
      </c>
      <c r="L203" s="6" t="s">
        <v>22</v>
      </c>
      <c r="M203" s="6">
        <v>0</v>
      </c>
      <c r="N203" s="6">
        <v>7.9</v>
      </c>
      <c r="O203" s="6">
        <f>Table1[[#This Row],[R1 Length (km)]]+Table1[[#This Row],[T1 Length (km)]]</f>
        <v>7.9</v>
      </c>
      <c r="P203" s="26">
        <v>230</v>
      </c>
      <c r="Q203" s="6">
        <f>(Table1[[#This Row],[Linear Features (km)]]*1)*100</f>
        <v>790</v>
      </c>
      <c r="R203" s="6">
        <v>430.11</v>
      </c>
      <c r="S203" s="29">
        <f>Table1[[#This Row],[ATG (ha)]]/Table1[[#This Row],[Linear Area (ha)]]</f>
        <v>0.54444303797468352</v>
      </c>
      <c r="T203" s="9" t="s">
        <v>22</v>
      </c>
      <c r="U203" s="9" t="s">
        <v>22</v>
      </c>
      <c r="V203" s="6">
        <v>430.11</v>
      </c>
      <c r="W203" s="6">
        <v>172.04400000000001</v>
      </c>
      <c r="X203" s="31">
        <v>7460.2665852308301</v>
      </c>
      <c r="Y203" s="27">
        <f>Table1[[#This Row],[Raw Terrestrial Score]]/Table1[[#This Row],[Summed Raw Scores]]</f>
        <v>0.68623971345600909</v>
      </c>
      <c r="Z203" s="31">
        <v>3410.9587882757201</v>
      </c>
      <c r="AA203" s="27">
        <f>Table1[[#This Row],[Raw Freshwater Score]]/Table1[[#This Row],[Summed Raw Scores]]</f>
        <v>0.31376028654399096</v>
      </c>
      <c r="AB203" s="27">
        <f>Table1[[#This Row],[Raw Terrestrial Score]]+Table1[[#This Row],[Raw Freshwater Score]]</f>
        <v>10871.22537350655</v>
      </c>
      <c r="AC203" s="28">
        <f>Table1[[#This Row],[Terrestrial % of Summed Score]]*Table1[[#This Row],[Scaled Summed Score]]</f>
        <v>4.423517456484153E-2</v>
      </c>
      <c r="AD203" s="28">
        <f>Table1[[#This Row],[Freshwater % of Summed Score]]*Table1[[#This Row],[Scaled Summed Score]]</f>
        <v>2.0225062430284223E-2</v>
      </c>
      <c r="AE203" s="29">
        <f>Table1[[#This Row],[Summed Raw Scores]]/MAX(Table1[Summed Raw Scores])</f>
        <v>6.446023699512575E-2</v>
      </c>
    </row>
    <row r="204" spans="1:32" hidden="1" x14ac:dyDescent="0.3">
      <c r="A204" s="26" t="s">
        <v>69</v>
      </c>
      <c r="B204" s="26" t="s">
        <v>58</v>
      </c>
      <c r="C204" s="26" t="s">
        <v>59</v>
      </c>
      <c r="D204" s="26"/>
      <c r="E204" s="6">
        <v>53.857921349999998</v>
      </c>
      <c r="F204" s="6">
        <v>-122.6364816</v>
      </c>
      <c r="G204" s="6">
        <v>587.18769230800001</v>
      </c>
      <c r="H204" s="6" t="s">
        <v>22</v>
      </c>
      <c r="I204" s="6" t="s">
        <v>22</v>
      </c>
      <c r="J204" s="6">
        <v>908.36290450179092</v>
      </c>
      <c r="K204" s="6">
        <v>103.28156857498674</v>
      </c>
      <c r="L204" s="6" t="s">
        <v>22</v>
      </c>
      <c r="M204" s="6">
        <v>0.3</v>
      </c>
      <c r="N204" s="6">
        <v>0</v>
      </c>
      <c r="O204" s="6">
        <f>Table1[[#This Row],[R1 Length (km)]]+Table1[[#This Row],[T1 Length (km)]]</f>
        <v>0.3</v>
      </c>
      <c r="P204" s="26">
        <v>500</v>
      </c>
      <c r="Q204" s="6">
        <f>(Table1[[#This Row],[Linear Features (km)]]*1)*100</f>
        <v>30</v>
      </c>
      <c r="R204" s="6">
        <v>447.93</v>
      </c>
      <c r="S204" s="29">
        <f>Table1[[#This Row],[ATG (ha)]]/Table1[[#This Row],[Linear Area (ha)]]</f>
        <v>14.931000000000001</v>
      </c>
      <c r="T204" s="9" t="s">
        <v>22</v>
      </c>
      <c r="U204" s="9" t="s">
        <v>22</v>
      </c>
      <c r="V204" s="6">
        <v>447.93</v>
      </c>
      <c r="W204" s="6">
        <v>179.17200000000003</v>
      </c>
      <c r="X204" s="31">
        <v>4687.1233372688303</v>
      </c>
      <c r="Y204" s="27">
        <f>Table1[[#This Row],[Raw Terrestrial Score]]/Table1[[#This Row],[Summed Raw Scores]]</f>
        <v>0.78007656667742131</v>
      </c>
      <c r="Z204" s="31">
        <v>1321.4193333983401</v>
      </c>
      <c r="AA204" s="27">
        <f>Table1[[#This Row],[Raw Freshwater Score]]/Table1[[#This Row],[Summed Raw Scores]]</f>
        <v>0.21992343332257863</v>
      </c>
      <c r="AB204" s="27">
        <f>Table1[[#This Row],[Raw Terrestrial Score]]+Table1[[#This Row],[Raw Freshwater Score]]</f>
        <v>6008.5426706671706</v>
      </c>
      <c r="AC204" s="28">
        <f>Table1[[#This Row],[Terrestrial % of Summed Score]]*Table1[[#This Row],[Scaled Summed Score]]</f>
        <v>2.7791998672204835E-2</v>
      </c>
      <c r="AD204" s="28">
        <f>Table1[[#This Row],[Freshwater % of Summed Score]]*Table1[[#This Row],[Scaled Summed Score]]</f>
        <v>7.8352715976601379E-3</v>
      </c>
      <c r="AE204" s="29">
        <f>Table1[[#This Row],[Summed Raw Scores]]/MAX(Table1[Summed Raw Scores])</f>
        <v>3.5627270269864973E-2</v>
      </c>
    </row>
    <row r="205" spans="1:32" hidden="1" x14ac:dyDescent="0.3">
      <c r="A205" s="26" t="s">
        <v>70</v>
      </c>
      <c r="B205" s="26" t="s">
        <v>58</v>
      </c>
      <c r="C205" s="26" t="s">
        <v>59</v>
      </c>
      <c r="D205" s="26"/>
      <c r="E205" s="6">
        <v>53.796395869999998</v>
      </c>
      <c r="F205" s="6">
        <v>-122.698719</v>
      </c>
      <c r="G205" s="6">
        <v>208.15753846199999</v>
      </c>
      <c r="H205" s="6" t="s">
        <v>22</v>
      </c>
      <c r="I205" s="6" t="s">
        <v>22</v>
      </c>
      <c r="J205" s="6">
        <v>322.65399598024555</v>
      </c>
      <c r="K205" s="6">
        <v>104.7992600895695</v>
      </c>
      <c r="L205" s="6" t="s">
        <v>22</v>
      </c>
      <c r="M205" s="6">
        <v>0.3</v>
      </c>
      <c r="N205" s="6">
        <v>9.1999999999999993</v>
      </c>
      <c r="O205" s="6">
        <f>Table1[[#This Row],[R1 Length (km)]]+Table1[[#This Row],[T1 Length (km)]]</f>
        <v>9.5</v>
      </c>
      <c r="P205" s="26">
        <v>230</v>
      </c>
      <c r="Q205" s="6">
        <f>(Table1[[#This Row],[Linear Features (km)]]*1)*100</f>
        <v>950</v>
      </c>
      <c r="R205" s="6">
        <v>1990.98</v>
      </c>
      <c r="S205" s="29">
        <f>Table1[[#This Row],[ATG (ha)]]/Table1[[#This Row],[Linear Area (ha)]]</f>
        <v>2.0957684210526315</v>
      </c>
      <c r="T205" s="9" t="s">
        <v>22</v>
      </c>
      <c r="U205" s="9" t="s">
        <v>22</v>
      </c>
      <c r="V205" s="6">
        <v>1990.98</v>
      </c>
      <c r="W205" s="6">
        <v>796.39200000000005</v>
      </c>
      <c r="X205" s="31">
        <v>18745.286323487799</v>
      </c>
      <c r="Y205" s="27">
        <f>Table1[[#This Row],[Raw Terrestrial Score]]/Table1[[#This Row],[Summed Raw Scores]]</f>
        <v>0.69776728170852864</v>
      </c>
      <c r="Z205" s="31">
        <v>8119.3816179335099</v>
      </c>
      <c r="AA205" s="27">
        <f>Table1[[#This Row],[Raw Freshwater Score]]/Table1[[#This Row],[Summed Raw Scores]]</f>
        <v>0.30223271829147147</v>
      </c>
      <c r="AB205" s="27">
        <f>Table1[[#This Row],[Raw Terrestrial Score]]+Table1[[#This Row],[Raw Freshwater Score]]</f>
        <v>26864.667941421307</v>
      </c>
      <c r="AC205" s="28">
        <f>Table1[[#This Row],[Terrestrial % of Summed Score]]*Table1[[#This Row],[Scaled Summed Score]]</f>
        <v>0.11114897883528688</v>
      </c>
      <c r="AD205" s="28">
        <f>Table1[[#This Row],[Freshwater % of Summed Score]]*Table1[[#This Row],[Scaled Summed Score]]</f>
        <v>4.8143355083167104E-2</v>
      </c>
      <c r="AE205" s="29">
        <f>Table1[[#This Row],[Summed Raw Scores]]/MAX(Table1[Summed Raw Scores])</f>
        <v>0.15929233391845396</v>
      </c>
    </row>
    <row r="206" spans="1:32" hidden="1" x14ac:dyDescent="0.3">
      <c r="A206" s="26" t="s">
        <v>71</v>
      </c>
      <c r="B206" s="26" t="s">
        <v>58</v>
      </c>
      <c r="C206" s="26" t="s">
        <v>59</v>
      </c>
      <c r="D206" s="26"/>
      <c r="E206" s="30">
        <v>53.810181309999997</v>
      </c>
      <c r="F206" s="30">
        <v>-122.61122469999999</v>
      </c>
      <c r="G206" s="30">
        <v>490.08738461500002</v>
      </c>
      <c r="H206" s="6" t="s">
        <v>22</v>
      </c>
      <c r="I206" s="6" t="s">
        <v>22</v>
      </c>
      <c r="J206" s="30">
        <v>754.37483183767301</v>
      </c>
      <c r="K206" s="30">
        <v>100.03668615824678</v>
      </c>
      <c r="L206" s="6" t="s">
        <v>22</v>
      </c>
      <c r="M206" s="30">
        <v>0.3</v>
      </c>
      <c r="N206" s="30">
        <v>4.2</v>
      </c>
      <c r="O206" s="6">
        <f>Table1[[#This Row],[R1 Length (km)]]+Table1[[#This Row],[T1 Length (km)]]</f>
        <v>4.5</v>
      </c>
      <c r="P206" s="31">
        <v>230</v>
      </c>
      <c r="Q206" s="6">
        <f>(Table1[[#This Row],[Linear Features (km)]]*1)*100</f>
        <v>450</v>
      </c>
      <c r="R206" s="30">
        <v>1504.98</v>
      </c>
      <c r="S206" s="29">
        <f>Table1[[#This Row],[ATG (ha)]]/Table1[[#This Row],[Linear Area (ha)]]</f>
        <v>3.3444000000000003</v>
      </c>
      <c r="T206" s="9" t="s">
        <v>22</v>
      </c>
      <c r="U206" s="9" t="s">
        <v>22</v>
      </c>
      <c r="V206" s="30">
        <v>1504.98</v>
      </c>
      <c r="W206" s="30">
        <v>601.99200000000008</v>
      </c>
      <c r="X206" s="31">
        <v>13853.426535606401</v>
      </c>
      <c r="Y206" s="27">
        <f>Table1[[#This Row],[Raw Terrestrial Score]]/Table1[[#This Row],[Summed Raw Scores]]</f>
        <v>0.71925882637628979</v>
      </c>
      <c r="Z206" s="31">
        <v>5407.2707649767399</v>
      </c>
      <c r="AA206" s="27">
        <f>Table1[[#This Row],[Raw Freshwater Score]]/Table1[[#This Row],[Summed Raw Scores]]</f>
        <v>0.28074117362371032</v>
      </c>
      <c r="AB206" s="27">
        <f>Table1[[#This Row],[Raw Terrestrial Score]]+Table1[[#This Row],[Raw Freshwater Score]]</f>
        <v>19260.697300583139</v>
      </c>
      <c r="AC206" s="28">
        <f>Table1[[#This Row],[Terrestrial % of Summed Score]]*Table1[[#This Row],[Scaled Summed Score]]</f>
        <v>8.214300844649991E-2</v>
      </c>
      <c r="AD206" s="28">
        <f>Table1[[#This Row],[Freshwater % of Summed Score]]*Table1[[#This Row],[Scaled Summed Score]]</f>
        <v>3.2062066881314993E-2</v>
      </c>
      <c r="AE206" s="29">
        <f>Table1[[#This Row],[Summed Raw Scores]]/MAX(Table1[Summed Raw Scores])</f>
        <v>0.11420507532781489</v>
      </c>
    </row>
    <row r="207" spans="1:32" hidden="1" x14ac:dyDescent="0.3">
      <c r="A207" s="26" t="s">
        <v>295</v>
      </c>
      <c r="B207" s="26" t="s">
        <v>58</v>
      </c>
      <c r="C207" s="26" t="s">
        <v>59</v>
      </c>
      <c r="D207" s="26"/>
      <c r="E207" s="18">
        <v>53.871679069999999</v>
      </c>
      <c r="F207" s="18">
        <v>-122.5488665</v>
      </c>
      <c r="G207" s="18">
        <v>114.64615379999999</v>
      </c>
      <c r="H207" s="26" t="s">
        <v>22</v>
      </c>
      <c r="I207" s="26" t="s">
        <v>22</v>
      </c>
      <c r="J207" s="18">
        <v>178.95521980000001</v>
      </c>
      <c r="K207" s="18">
        <v>126.9051374</v>
      </c>
      <c r="L207" s="6" t="s">
        <v>22</v>
      </c>
      <c r="M207" s="18">
        <v>1.7</v>
      </c>
      <c r="N207" s="18">
        <v>5</v>
      </c>
      <c r="O207" s="6">
        <f>Table1[[#This Row],[R1 Length (km)]]+Table1[[#This Row],[T1 Length (km)]]</f>
        <v>6.7</v>
      </c>
      <c r="P207" s="25">
        <v>230</v>
      </c>
      <c r="Q207" s="6">
        <f>(Table1[[#This Row],[Linear Features (km)]]*1)*100</f>
        <v>670</v>
      </c>
      <c r="R207" s="18">
        <v>465.75</v>
      </c>
      <c r="S207" s="8">
        <f>Table1[[#This Row],[ATG (ha)]]/Table1[[#This Row],[Linear Area (ha)]]</f>
        <v>0.69514925373134329</v>
      </c>
      <c r="T207" s="9" t="s">
        <v>22</v>
      </c>
      <c r="U207" s="9" t="s">
        <v>22</v>
      </c>
      <c r="V207" s="18">
        <v>465.75</v>
      </c>
      <c r="W207" s="18">
        <v>186.3</v>
      </c>
      <c r="X207" s="31">
        <v>4360.8119807243302</v>
      </c>
      <c r="Y207" s="27">
        <f>Table1[[#This Row],[Raw Terrestrial Score]]/Table1[[#This Row],[Summed Raw Scores]]</f>
        <v>0.71917527102290701</v>
      </c>
      <c r="Z207" s="31">
        <v>1702.81695151329</v>
      </c>
      <c r="AA207" s="27">
        <f>Table1[[#This Row],[Raw Freshwater Score]]/Table1[[#This Row],[Summed Raw Scores]]</f>
        <v>0.2808247289770931</v>
      </c>
      <c r="AB207" s="27">
        <f>Table1[[#This Row],[Raw Terrestrial Score]]+Table1[[#This Row],[Raw Freshwater Score]]</f>
        <v>6063.6289322376197</v>
      </c>
      <c r="AC207" s="28">
        <f>Table1[[#This Row],[Terrestrial % of Summed Score]]*Table1[[#This Row],[Scaled Summed Score]]</f>
        <v>2.5857156310430229E-2</v>
      </c>
      <c r="AD207" s="28">
        <f>Table1[[#This Row],[Freshwater % of Summed Score]]*Table1[[#This Row],[Scaled Summed Score]]</f>
        <v>1.0096744431530398E-2</v>
      </c>
      <c r="AE207" s="29">
        <f>Table1[[#This Row],[Summed Raw Scores]]/MAX(Table1[Summed Raw Scores])</f>
        <v>3.5953900741960622E-2</v>
      </c>
    </row>
    <row r="208" spans="1:32" hidden="1" x14ac:dyDescent="0.3">
      <c r="A208" s="26" t="s">
        <v>336</v>
      </c>
      <c r="B208" s="26" t="s">
        <v>58</v>
      </c>
      <c r="C208" s="26" t="s">
        <v>59</v>
      </c>
      <c r="D208" s="26"/>
      <c r="E208" s="18">
        <v>53.823923499999999</v>
      </c>
      <c r="F208" s="18">
        <v>-122.5236838</v>
      </c>
      <c r="G208" s="18">
        <v>18.542769230000001</v>
      </c>
      <c r="H208" s="26" t="s">
        <v>22</v>
      </c>
      <c r="I208" s="26" t="s">
        <v>22</v>
      </c>
      <c r="J208" s="18">
        <v>28.7806788</v>
      </c>
      <c r="K208" s="18">
        <v>137.32988589999999</v>
      </c>
      <c r="L208" s="6" t="s">
        <v>22</v>
      </c>
      <c r="M208" s="18">
        <v>1.9</v>
      </c>
      <c r="N208" s="18">
        <v>12.1</v>
      </c>
      <c r="O208" s="6">
        <f>Table1[[#This Row],[R1 Length (km)]]+Table1[[#This Row],[T1 Length (km)]]</f>
        <v>14</v>
      </c>
      <c r="P208" s="25">
        <v>25</v>
      </c>
      <c r="Q208" s="6">
        <f>(Table1[[#This Row],[Linear Features (km)]]*1)*100</f>
        <v>1400</v>
      </c>
      <c r="R208" s="18">
        <v>75.33</v>
      </c>
      <c r="S208" s="8">
        <f>Table1[[#This Row],[ATG (ha)]]/Table1[[#This Row],[Linear Area (ha)]]</f>
        <v>5.3807142857142859E-2</v>
      </c>
      <c r="T208" s="9" t="s">
        <v>22</v>
      </c>
      <c r="U208" s="9" t="s">
        <v>22</v>
      </c>
      <c r="V208" s="18">
        <v>75.33</v>
      </c>
      <c r="W208" s="18">
        <v>30.132000000000001</v>
      </c>
      <c r="X208" s="31">
        <v>8828.5407453179396</v>
      </c>
      <c r="Y208" s="27">
        <f>Table1[[#This Row],[Raw Terrestrial Score]]/Table1[[#This Row],[Summed Raw Scores]]</f>
        <v>0.71660479953410583</v>
      </c>
      <c r="Z208" s="31">
        <v>3491.4168534278901</v>
      </c>
      <c r="AA208" s="27">
        <f>Table1[[#This Row],[Raw Freshwater Score]]/Table1[[#This Row],[Summed Raw Scores]]</f>
        <v>0.28339520046589411</v>
      </c>
      <c r="AB208" s="27">
        <f>Table1[[#This Row],[Raw Terrestrial Score]]+Table1[[#This Row],[Raw Freshwater Score]]</f>
        <v>12319.95759874583</v>
      </c>
      <c r="AC208" s="28">
        <f>Table1[[#This Row],[Terrestrial % of Summed Score]]*Table1[[#This Row],[Scaled Summed Score]]</f>
        <v>5.2348268866838583E-2</v>
      </c>
      <c r="AD208" s="28">
        <f>Table1[[#This Row],[Freshwater % of Summed Score]]*Table1[[#This Row],[Scaled Summed Score]]</f>
        <v>2.0702133392359705E-2</v>
      </c>
      <c r="AE208" s="29">
        <f>Table1[[#This Row],[Summed Raw Scores]]/MAX(Table1[Summed Raw Scores])</f>
        <v>7.3050402259198288E-2</v>
      </c>
    </row>
    <row r="209" spans="1:31" hidden="1" x14ac:dyDescent="0.3">
      <c r="A209" s="26" t="s">
        <v>263</v>
      </c>
      <c r="B209" s="26" t="s">
        <v>58</v>
      </c>
      <c r="C209" s="26" t="s">
        <v>59</v>
      </c>
      <c r="D209" s="26"/>
      <c r="E209" s="18">
        <v>53.748677469999997</v>
      </c>
      <c r="F209" s="18">
        <v>-122.6734347</v>
      </c>
      <c r="G209" s="18">
        <v>226.8996923</v>
      </c>
      <c r="H209" s="26" t="s">
        <v>22</v>
      </c>
      <c r="I209" s="26" t="s">
        <v>22</v>
      </c>
      <c r="J209" s="18">
        <v>351.57893840000003</v>
      </c>
      <c r="K209" s="18">
        <v>120.639031</v>
      </c>
      <c r="L209" s="6" t="s">
        <v>22</v>
      </c>
      <c r="M209" s="18">
        <v>0.4</v>
      </c>
      <c r="N209" s="18">
        <v>13</v>
      </c>
      <c r="O209" s="6">
        <f>Table1[[#This Row],[R1 Length (km)]]+Table1[[#This Row],[T1 Length (km)]]</f>
        <v>13.4</v>
      </c>
      <c r="P209" s="25">
        <v>230</v>
      </c>
      <c r="Q209" s="6">
        <f>(Table1[[#This Row],[Linear Features (km)]]*1)*100</f>
        <v>1340</v>
      </c>
      <c r="R209" s="18">
        <v>921.78</v>
      </c>
      <c r="S209" s="8">
        <f>Table1[[#This Row],[ATG (ha)]]/Table1[[#This Row],[Linear Area (ha)]]</f>
        <v>0.68789552238805973</v>
      </c>
      <c r="T209" s="9" t="s">
        <v>22</v>
      </c>
      <c r="U209" s="9" t="s">
        <v>22</v>
      </c>
      <c r="V209" s="18">
        <v>921.78</v>
      </c>
      <c r="W209" s="18">
        <v>368.71199999999999</v>
      </c>
      <c r="X209" s="31">
        <v>11426.074024572999</v>
      </c>
      <c r="Y209" s="27">
        <f>Table1[[#This Row],[Raw Terrestrial Score]]/Table1[[#This Row],[Summed Raw Scores]]</f>
        <v>0.77008217478941277</v>
      </c>
      <c r="Z209" s="31">
        <v>3411.3996874988102</v>
      </c>
      <c r="AA209" s="27">
        <f>Table1[[#This Row],[Raw Freshwater Score]]/Table1[[#This Row],[Summed Raw Scores]]</f>
        <v>0.22991782521058729</v>
      </c>
      <c r="AB209" s="27">
        <f>Table1[[#This Row],[Raw Terrestrial Score]]+Table1[[#This Row],[Raw Freshwater Score]]</f>
        <v>14837.473712071809</v>
      </c>
      <c r="AC209" s="28">
        <f>Table1[[#This Row],[Terrestrial % of Summed Score]]*Table1[[#This Row],[Scaled Summed Score]]</f>
        <v>6.7750176658351854E-2</v>
      </c>
      <c r="AD209" s="28">
        <f>Table1[[#This Row],[Freshwater % of Summed Score]]*Table1[[#This Row],[Scaled Summed Score]]</f>
        <v>2.0227676714087095E-2</v>
      </c>
      <c r="AE209" s="29">
        <f>Table1[[#This Row],[Summed Raw Scores]]/MAX(Table1[Summed Raw Scores])</f>
        <v>8.7977853372438949E-2</v>
      </c>
    </row>
    <row r="210" spans="1:31" hidden="1" x14ac:dyDescent="0.3">
      <c r="A210" s="26" t="s">
        <v>72</v>
      </c>
      <c r="B210" s="26" t="s">
        <v>58</v>
      </c>
      <c r="C210" s="26" t="s">
        <v>59</v>
      </c>
      <c r="D210" s="26"/>
      <c r="E210" s="30">
        <v>53.762447399999999</v>
      </c>
      <c r="F210" s="30">
        <v>-122.5860143</v>
      </c>
      <c r="G210" s="30">
        <v>267.77353846199998</v>
      </c>
      <c r="H210" s="6" t="s">
        <v>22</v>
      </c>
      <c r="I210" s="6" t="s">
        <v>22</v>
      </c>
      <c r="J210" s="30">
        <v>417.37455832924564</v>
      </c>
      <c r="K210" s="30">
        <v>102.45902931533188</v>
      </c>
      <c r="L210" s="6" t="s">
        <v>22</v>
      </c>
      <c r="M210" s="30">
        <v>0.3</v>
      </c>
      <c r="N210" s="30">
        <v>10.3</v>
      </c>
      <c r="O210" s="6">
        <f>Table1[[#This Row],[R1 Length (km)]]+Table1[[#This Row],[T1 Length (km)]]</f>
        <v>10.600000000000001</v>
      </c>
      <c r="P210" s="31">
        <v>230</v>
      </c>
      <c r="Q210" s="6">
        <f>(Table1[[#This Row],[Linear Features (km)]]*1)*100</f>
        <v>1060.0000000000002</v>
      </c>
      <c r="R210" s="30">
        <v>378.27000000000004</v>
      </c>
      <c r="S210" s="29">
        <f>Table1[[#This Row],[ATG (ha)]]/Table1[[#This Row],[Linear Area (ha)]]</f>
        <v>0.35685849056603769</v>
      </c>
      <c r="T210" s="9" t="s">
        <v>22</v>
      </c>
      <c r="U210" s="9" t="s">
        <v>22</v>
      </c>
      <c r="V210" s="30">
        <v>378.27000000000004</v>
      </c>
      <c r="W210" s="30">
        <v>151.30800000000002</v>
      </c>
      <c r="X210" s="31">
        <v>10619.9372644424</v>
      </c>
      <c r="Y210" s="27">
        <f>Table1[[#This Row],[Raw Terrestrial Score]]/Table1[[#This Row],[Summed Raw Scores]]</f>
        <v>0.69875149378418144</v>
      </c>
      <c r="Z210" s="31">
        <v>4578.5093348324299</v>
      </c>
      <c r="AA210" s="27">
        <f>Table1[[#This Row],[Raw Freshwater Score]]/Table1[[#This Row],[Summed Raw Scores]]</f>
        <v>0.30124850621581856</v>
      </c>
      <c r="AB210" s="27">
        <f>Table1[[#This Row],[Raw Terrestrial Score]]+Table1[[#This Row],[Raw Freshwater Score]]</f>
        <v>15198.44659927483</v>
      </c>
      <c r="AC210" s="28">
        <f>Table1[[#This Row],[Terrestrial % of Summed Score]]*Table1[[#This Row],[Scaled Summed Score]]</f>
        <v>6.2970240190919374E-2</v>
      </c>
      <c r="AD210" s="28">
        <f>Table1[[#This Row],[Freshwater % of Summed Score]]*Table1[[#This Row],[Scaled Summed Score]]</f>
        <v>2.7147978877058113E-2</v>
      </c>
      <c r="AE210" s="29">
        <f>Table1[[#This Row],[Summed Raw Scores]]/MAX(Table1[Summed Raw Scores])</f>
        <v>9.0118219067977484E-2</v>
      </c>
    </row>
    <row r="211" spans="1:31" hidden="1" x14ac:dyDescent="0.3">
      <c r="A211" s="26" t="s">
        <v>329</v>
      </c>
      <c r="B211" s="26" t="s">
        <v>58</v>
      </c>
      <c r="C211" s="26" t="s">
        <v>59</v>
      </c>
      <c r="D211" s="26"/>
      <c r="E211" s="18">
        <v>53.776174099999999</v>
      </c>
      <c r="F211" s="18">
        <v>-122.4985475</v>
      </c>
      <c r="G211" s="18">
        <v>44.861538459999998</v>
      </c>
      <c r="H211" s="26" t="s">
        <v>22</v>
      </c>
      <c r="I211" s="26" t="s">
        <v>22</v>
      </c>
      <c r="J211" s="18">
        <v>71.358535660000001</v>
      </c>
      <c r="K211" s="18">
        <v>134.24201780000001</v>
      </c>
      <c r="L211" s="6" t="s">
        <v>22</v>
      </c>
      <c r="M211" s="18">
        <v>0</v>
      </c>
      <c r="N211" s="18">
        <v>16.2</v>
      </c>
      <c r="O211" s="6">
        <f>Table1[[#This Row],[R1 Length (km)]]+Table1[[#This Row],[T1 Length (km)]]</f>
        <v>16.2</v>
      </c>
      <c r="P211" s="25">
        <v>69</v>
      </c>
      <c r="Q211" s="6">
        <f>(Table1[[#This Row],[Linear Features (km)]]*1)*100</f>
        <v>1620</v>
      </c>
      <c r="R211" s="18">
        <v>182.25</v>
      </c>
      <c r="S211" s="8">
        <f>Table1[[#This Row],[ATG (ha)]]/Table1[[#This Row],[Linear Area (ha)]]</f>
        <v>0.1125</v>
      </c>
      <c r="T211" s="9" t="s">
        <v>22</v>
      </c>
      <c r="U211" s="9" t="s">
        <v>22</v>
      </c>
      <c r="V211" s="18">
        <v>182.25</v>
      </c>
      <c r="W211" s="18">
        <v>72.900000000000006</v>
      </c>
      <c r="X211" s="31">
        <v>5628.1463683843604</v>
      </c>
      <c r="Y211" s="27">
        <f>Table1[[#This Row],[Raw Terrestrial Score]]/Table1[[#This Row],[Summed Raw Scores]]</f>
        <v>0.66520309460704719</v>
      </c>
      <c r="Z211" s="31">
        <v>2832.64765679836</v>
      </c>
      <c r="AA211" s="27">
        <f>Table1[[#This Row],[Raw Freshwater Score]]/Table1[[#This Row],[Summed Raw Scores]]</f>
        <v>0.33479690539295287</v>
      </c>
      <c r="AB211" s="27">
        <f>Table1[[#This Row],[Raw Terrestrial Score]]+Table1[[#This Row],[Raw Freshwater Score]]</f>
        <v>8460.7940251827204</v>
      </c>
      <c r="AC211" s="28">
        <f>Table1[[#This Row],[Terrestrial % of Summed Score]]*Table1[[#This Row],[Scaled Summed Score]]</f>
        <v>3.3371734674312301E-2</v>
      </c>
      <c r="AD211" s="28">
        <f>Table1[[#This Row],[Freshwater % of Summed Score]]*Table1[[#This Row],[Scaled Summed Score]]</f>
        <v>1.6796003486956864E-2</v>
      </c>
      <c r="AE211" s="29">
        <f>Table1[[#This Row],[Summed Raw Scores]]/MAX(Table1[Summed Raw Scores])</f>
        <v>5.0167738161269161E-2</v>
      </c>
    </row>
    <row r="212" spans="1:31" hidden="1" x14ac:dyDescent="0.3">
      <c r="A212" s="26" t="s">
        <v>261</v>
      </c>
      <c r="B212" s="26" t="s">
        <v>58</v>
      </c>
      <c r="C212" s="26" t="s">
        <v>59</v>
      </c>
      <c r="D212" s="26"/>
      <c r="E212" s="18">
        <v>52.123478200000001</v>
      </c>
      <c r="F212" s="18">
        <v>-122.2041897</v>
      </c>
      <c r="G212" s="18">
        <v>15.75138462</v>
      </c>
      <c r="H212" s="26" t="s">
        <v>22</v>
      </c>
      <c r="I212" s="26" t="s">
        <v>22</v>
      </c>
      <c r="J212" s="18">
        <v>26.907668229999999</v>
      </c>
      <c r="K212" s="18">
        <v>120.19274249999999</v>
      </c>
      <c r="L212" s="6" t="s">
        <v>22</v>
      </c>
      <c r="M212" s="18">
        <v>1.024264069</v>
      </c>
      <c r="N212" s="18">
        <v>4.6970562749999996</v>
      </c>
      <c r="O212" s="6">
        <f>Table1[[#This Row],[R1 Length (km)]]+Table1[[#This Row],[T1 Length (km)]]</f>
        <v>5.7213203439999996</v>
      </c>
      <c r="P212" s="25">
        <v>25</v>
      </c>
      <c r="Q212" s="6">
        <f>(Table1[[#This Row],[Linear Features (km)]]*1)*100</f>
        <v>572.13203439999995</v>
      </c>
      <c r="R212" s="18">
        <v>63.99</v>
      </c>
      <c r="S212" s="8">
        <f>Table1[[#This Row],[ATG (ha)]]/Table1[[#This Row],[Linear Area (ha)]]</f>
        <v>0.11184481230299732</v>
      </c>
      <c r="T212" s="9" t="s">
        <v>22</v>
      </c>
      <c r="U212" s="9" t="s">
        <v>22</v>
      </c>
      <c r="V212" s="18">
        <v>63.99</v>
      </c>
      <c r="W212" s="18">
        <v>25.596</v>
      </c>
      <c r="X212" s="31">
        <v>2130.61150377989</v>
      </c>
      <c r="Y212" s="27">
        <f>Table1[[#This Row],[Raw Terrestrial Score]]/Table1[[#This Row],[Summed Raw Scores]]</f>
        <v>0.53428175295252933</v>
      </c>
      <c r="Z212" s="31">
        <v>1857.1936046779199</v>
      </c>
      <c r="AA212" s="27">
        <f>Table1[[#This Row],[Raw Freshwater Score]]/Table1[[#This Row],[Summed Raw Scores]]</f>
        <v>0.46571824704747067</v>
      </c>
      <c r="AB212" s="27">
        <f>Table1[[#This Row],[Raw Terrestrial Score]]+Table1[[#This Row],[Raw Freshwater Score]]</f>
        <v>3987.8051084578101</v>
      </c>
      <c r="AC212" s="28">
        <f>Table1[[#This Row],[Terrestrial % of Summed Score]]*Table1[[#This Row],[Scaled Summed Score]]</f>
        <v>1.2633324925163759E-2</v>
      </c>
      <c r="AD212" s="28">
        <f>Table1[[#This Row],[Freshwater % of Summed Score]]*Table1[[#This Row],[Scaled Summed Score]]</f>
        <v>1.1012110943364253E-2</v>
      </c>
      <c r="AE212" s="29">
        <f>Table1[[#This Row],[Summed Raw Scores]]/MAX(Table1[Summed Raw Scores])</f>
        <v>2.3645435868528013E-2</v>
      </c>
    </row>
    <row r="213" spans="1:31" hidden="1" x14ac:dyDescent="0.3">
      <c r="A213" s="26" t="s">
        <v>370</v>
      </c>
      <c r="B213" s="26" t="s">
        <v>58</v>
      </c>
      <c r="C213" s="26" t="s">
        <v>25</v>
      </c>
      <c r="D213" s="26"/>
      <c r="E213" s="18">
        <v>51.32422571</v>
      </c>
      <c r="F213" s="18">
        <v>-122.0755568</v>
      </c>
      <c r="G213" s="18">
        <v>35.291076920000002</v>
      </c>
      <c r="H213" s="26" t="s">
        <v>22</v>
      </c>
      <c r="I213" s="26" t="s">
        <v>22</v>
      </c>
      <c r="J213" s="10">
        <v>61.747177309999998</v>
      </c>
      <c r="K213" s="10">
        <v>148.3183689</v>
      </c>
      <c r="L213" s="6" t="s">
        <v>22</v>
      </c>
      <c r="M213" s="18">
        <v>1.9</v>
      </c>
      <c r="N213" s="18">
        <v>48.5</v>
      </c>
      <c r="O213" s="6">
        <f>Table1[[#This Row],[R1 Length (km)]]+Table1[[#This Row],[T1 Length (km)]]</f>
        <v>50.4</v>
      </c>
      <c r="P213" s="25">
        <v>69</v>
      </c>
      <c r="Q213" s="6">
        <f>(Table1[[#This Row],[Linear Features (km)]]*1)*100</f>
        <v>5040</v>
      </c>
      <c r="R213" s="18">
        <v>143.37</v>
      </c>
      <c r="S213" s="8">
        <f>Table1[[#This Row],[ATG (ha)]]/Table1[[#This Row],[Linear Area (ha)]]</f>
        <v>2.8446428571428574E-2</v>
      </c>
      <c r="T213" s="9" t="s">
        <v>22</v>
      </c>
      <c r="U213" s="9" t="s">
        <v>22</v>
      </c>
      <c r="V213" s="18">
        <v>143.37</v>
      </c>
      <c r="W213" s="18">
        <v>57.347999999999999</v>
      </c>
      <c r="X213" s="31">
        <v>23606.757483273701</v>
      </c>
      <c r="Y213" s="27">
        <f>Table1[[#This Row],[Raw Terrestrial Score]]/Table1[[#This Row],[Summed Raw Scores]]</f>
        <v>0.59382762894996322</v>
      </c>
      <c r="Z213" s="31">
        <v>16146.7944439352</v>
      </c>
      <c r="AA213" s="27">
        <f>Table1[[#This Row],[Raw Freshwater Score]]/Table1[[#This Row],[Summed Raw Scores]]</f>
        <v>0.40617237105003678</v>
      </c>
      <c r="AB213" s="27">
        <f>Table1[[#This Row],[Raw Terrestrial Score]]+Table1[[#This Row],[Raw Freshwater Score]]</f>
        <v>39753.5519272089</v>
      </c>
      <c r="AC213" s="28">
        <f>Table1[[#This Row],[Terrestrial % of Summed Score]]*Table1[[#This Row],[Scaled Summed Score]]</f>
        <v>0.13997476179333893</v>
      </c>
      <c r="AD213" s="28">
        <f>Table1[[#This Row],[Freshwater % of Summed Score]]*Table1[[#This Row],[Scaled Summed Score]]</f>
        <v>9.5741387084492091E-2</v>
      </c>
      <c r="AE213" s="29">
        <f>Table1[[#This Row],[Summed Raw Scores]]/MAX(Table1[Summed Raw Scores])</f>
        <v>0.23571614887783102</v>
      </c>
    </row>
    <row r="214" spans="1:31" hidden="1" x14ac:dyDescent="0.3">
      <c r="A214" s="26" t="s">
        <v>404</v>
      </c>
      <c r="B214" s="26" t="s">
        <v>58</v>
      </c>
      <c r="C214" s="26" t="s">
        <v>25</v>
      </c>
      <c r="D214" s="26"/>
      <c r="E214" s="18">
        <v>51.276840249999999</v>
      </c>
      <c r="F214" s="18">
        <v>-122.0519788</v>
      </c>
      <c r="G214" s="18">
        <v>22.530461540000001</v>
      </c>
      <c r="H214" s="26" t="s">
        <v>22</v>
      </c>
      <c r="I214" s="26" t="s">
        <v>22</v>
      </c>
      <c r="J214" s="18">
        <v>39.048009829999998</v>
      </c>
      <c r="K214" s="18">
        <v>181.35141490000001</v>
      </c>
      <c r="L214" s="6" t="s">
        <v>22</v>
      </c>
      <c r="M214" s="18">
        <v>3.8</v>
      </c>
      <c r="N214" s="18">
        <v>45.9</v>
      </c>
      <c r="O214" s="6">
        <f>Table1[[#This Row],[R1 Length (km)]]+Table1[[#This Row],[T1 Length (km)]]</f>
        <v>49.699999999999996</v>
      </c>
      <c r="P214" s="25">
        <v>69</v>
      </c>
      <c r="Q214" s="6">
        <f>(Table1[[#This Row],[Linear Features (km)]]*1)*100</f>
        <v>4970</v>
      </c>
      <c r="R214" s="18">
        <v>91.53</v>
      </c>
      <c r="S214" s="8">
        <f>Table1[[#This Row],[ATG (ha)]]/Table1[[#This Row],[Linear Area (ha)]]</f>
        <v>1.8416498993963783E-2</v>
      </c>
      <c r="T214" s="9" t="s">
        <v>22</v>
      </c>
      <c r="U214" s="9" t="s">
        <v>22</v>
      </c>
      <c r="V214" s="18">
        <v>91.53</v>
      </c>
      <c r="W214" s="18">
        <v>36.612000000000002</v>
      </c>
      <c r="X214" s="31">
        <v>23532.805578589399</v>
      </c>
      <c r="Y214" s="27">
        <f>Table1[[#This Row],[Raw Terrestrial Score]]/Table1[[#This Row],[Summed Raw Scores]]</f>
        <v>0.58164144175607257</v>
      </c>
      <c r="Z214" s="31">
        <v>16926.4944113493</v>
      </c>
      <c r="AA214" s="27">
        <f>Table1[[#This Row],[Raw Freshwater Score]]/Table1[[#This Row],[Summed Raw Scores]]</f>
        <v>0.41835855824392737</v>
      </c>
      <c r="AB214" s="27">
        <f>Table1[[#This Row],[Raw Terrestrial Score]]+Table1[[#This Row],[Raw Freshwater Score]]</f>
        <v>40459.2999899387</v>
      </c>
      <c r="AC214" s="28">
        <f>Table1[[#This Row],[Terrestrial % of Summed Score]]*Table1[[#This Row],[Scaled Summed Score]]</f>
        <v>0.13953626869450128</v>
      </c>
      <c r="AD214" s="28">
        <f>Table1[[#This Row],[Freshwater % of Summed Score]]*Table1[[#This Row],[Scaled Summed Score]]</f>
        <v>0.10036456827684312</v>
      </c>
      <c r="AE214" s="29">
        <f>Table1[[#This Row],[Summed Raw Scores]]/MAX(Table1[Summed Raw Scores])</f>
        <v>0.23990083697134443</v>
      </c>
    </row>
    <row r="215" spans="1:31" hidden="1" x14ac:dyDescent="0.3">
      <c r="A215" s="26" t="s">
        <v>361</v>
      </c>
      <c r="B215" s="26" t="s">
        <v>58</v>
      </c>
      <c r="C215" s="26" t="s">
        <v>25</v>
      </c>
      <c r="D215" s="26"/>
      <c r="E215" s="18">
        <v>51.216091339999998</v>
      </c>
      <c r="F215" s="18">
        <v>-122.1119056</v>
      </c>
      <c r="G215" s="18">
        <v>39.876923079999997</v>
      </c>
      <c r="H215" s="26" t="s">
        <v>22</v>
      </c>
      <c r="I215" s="26" t="s">
        <v>22</v>
      </c>
      <c r="J215" s="18">
        <v>69.346494949999993</v>
      </c>
      <c r="K215" s="18">
        <v>143.15071119999999</v>
      </c>
      <c r="L215" s="6" t="s">
        <v>22</v>
      </c>
      <c r="M215" s="18">
        <v>1.2</v>
      </c>
      <c r="N215" s="18">
        <v>46</v>
      </c>
      <c r="O215" s="6">
        <f>Table1[[#This Row],[R1 Length (km)]]+Table1[[#This Row],[T1 Length (km)]]</f>
        <v>47.2</v>
      </c>
      <c r="P215" s="25">
        <v>69</v>
      </c>
      <c r="Q215" s="6">
        <f>(Table1[[#This Row],[Linear Features (km)]]*1)*100</f>
        <v>4720</v>
      </c>
      <c r="R215" s="18">
        <v>162</v>
      </c>
      <c r="S215" s="8">
        <f>Table1[[#This Row],[ATG (ha)]]/Table1[[#This Row],[Linear Area (ha)]]</f>
        <v>3.4322033898305085E-2</v>
      </c>
      <c r="T215" s="9" t="s">
        <v>22</v>
      </c>
      <c r="U215" s="9" t="s">
        <v>22</v>
      </c>
      <c r="V215" s="18">
        <v>162</v>
      </c>
      <c r="W215" s="18">
        <v>64.8</v>
      </c>
      <c r="X215" s="31">
        <v>23335.191515475501</v>
      </c>
      <c r="Y215" s="27">
        <f>Table1[[#This Row],[Raw Terrestrial Score]]/Table1[[#This Row],[Summed Raw Scores]]</f>
        <v>0.54405442368498391</v>
      </c>
      <c r="Z215" s="31">
        <v>19556.0901276767</v>
      </c>
      <c r="AA215" s="27">
        <f>Table1[[#This Row],[Raw Freshwater Score]]/Table1[[#This Row],[Summed Raw Scores]]</f>
        <v>0.45594557631501609</v>
      </c>
      <c r="AB215" s="27">
        <f>Table1[[#This Row],[Raw Terrestrial Score]]+Table1[[#This Row],[Raw Freshwater Score]]</f>
        <v>42891.281643152201</v>
      </c>
      <c r="AC215" s="28">
        <f>Table1[[#This Row],[Terrestrial % of Summed Score]]*Table1[[#This Row],[Scaled Summed Score]]</f>
        <v>0.1383645287200054</v>
      </c>
      <c r="AD215" s="28">
        <f>Table1[[#This Row],[Freshwater % of Summed Score]]*Table1[[#This Row],[Scaled Summed Score]]</f>
        <v>0.11595658824258849</v>
      </c>
      <c r="AE215" s="29">
        <f>Table1[[#This Row],[Summed Raw Scores]]/MAX(Table1[Summed Raw Scores])</f>
        <v>0.25432111696259391</v>
      </c>
    </row>
    <row r="216" spans="1:31" hidden="1" x14ac:dyDescent="0.3">
      <c r="A216" s="26" t="s">
        <v>358</v>
      </c>
      <c r="B216" s="26" t="s">
        <v>58</v>
      </c>
      <c r="C216" s="26" t="s">
        <v>25</v>
      </c>
      <c r="D216" s="26"/>
      <c r="E216" s="18">
        <v>51.187649880000002</v>
      </c>
      <c r="F216" s="18">
        <v>-121.64776999999999</v>
      </c>
      <c r="G216" s="18">
        <v>26.91692308</v>
      </c>
      <c r="H216" s="26" t="s">
        <v>22</v>
      </c>
      <c r="I216" s="26" t="s">
        <v>22</v>
      </c>
      <c r="J216" s="18">
        <v>45.858064759999998</v>
      </c>
      <c r="K216" s="18">
        <v>142.23050549999999</v>
      </c>
      <c r="L216" s="6" t="s">
        <v>22</v>
      </c>
      <c r="M216" s="18">
        <v>1.6</v>
      </c>
      <c r="N216" s="18">
        <v>13.4</v>
      </c>
      <c r="O216" s="6">
        <f>Table1[[#This Row],[R1 Length (km)]]+Table1[[#This Row],[T1 Length (km)]]</f>
        <v>15</v>
      </c>
      <c r="P216" s="25">
        <v>69</v>
      </c>
      <c r="Q216" s="6">
        <f>(Table1[[#This Row],[Linear Features (km)]]*1)*100</f>
        <v>1500</v>
      </c>
      <c r="R216" s="18">
        <v>109.35</v>
      </c>
      <c r="S216" s="8">
        <f>Table1[[#This Row],[ATG (ha)]]/Table1[[#This Row],[Linear Area (ha)]]</f>
        <v>7.2899999999999993E-2</v>
      </c>
      <c r="T216" s="9" t="s">
        <v>22</v>
      </c>
      <c r="U216" s="9" t="s">
        <v>22</v>
      </c>
      <c r="V216" s="18">
        <v>109.35</v>
      </c>
      <c r="W216" s="18">
        <v>43.74</v>
      </c>
      <c r="X216" s="31">
        <v>8972.1731127500498</v>
      </c>
      <c r="Y216" s="27">
        <f>Table1[[#This Row],[Raw Terrestrial Score]]/Table1[[#This Row],[Summed Raw Scores]]</f>
        <v>0.63070051595792265</v>
      </c>
      <c r="Z216" s="31">
        <v>5253.5534971654397</v>
      </c>
      <c r="AA216" s="27">
        <f>Table1[[#This Row],[Raw Freshwater Score]]/Table1[[#This Row],[Summed Raw Scores]]</f>
        <v>0.3692994840420773</v>
      </c>
      <c r="AB216" s="27">
        <f>Table1[[#This Row],[Raw Terrestrial Score]]+Table1[[#This Row],[Raw Freshwater Score]]</f>
        <v>14225.726609915489</v>
      </c>
      <c r="AC216" s="28">
        <f>Table1[[#This Row],[Terrestrial % of Summed Score]]*Table1[[#This Row],[Scaled Summed Score]]</f>
        <v>5.3199927822176606E-2</v>
      </c>
      <c r="AD216" s="28">
        <f>Table1[[#This Row],[Freshwater % of Summed Score]]*Table1[[#This Row],[Scaled Summed Score]]</f>
        <v>3.1150610152848372E-2</v>
      </c>
      <c r="AE216" s="29">
        <f>Table1[[#This Row],[Summed Raw Scores]]/MAX(Table1[Summed Raw Scores])</f>
        <v>8.4350537975024981E-2</v>
      </c>
    </row>
    <row r="217" spans="1:31" hidden="1" x14ac:dyDescent="0.3">
      <c r="A217" s="26" t="s">
        <v>348</v>
      </c>
      <c r="B217" s="26" t="s">
        <v>58</v>
      </c>
      <c r="C217" s="26" t="s">
        <v>25</v>
      </c>
      <c r="D217" s="26"/>
      <c r="E217" s="18">
        <v>50.979295639999997</v>
      </c>
      <c r="F217" s="18">
        <v>-121.9945057</v>
      </c>
      <c r="G217" s="18">
        <v>57.622153849999997</v>
      </c>
      <c r="H217" s="26" t="s">
        <v>22</v>
      </c>
      <c r="I217" s="26" t="s">
        <v>22</v>
      </c>
      <c r="J217" s="18">
        <v>104.2061259</v>
      </c>
      <c r="K217" s="18">
        <v>140.81501650000001</v>
      </c>
      <c r="L217" s="6" t="s">
        <v>22</v>
      </c>
      <c r="M217" s="18">
        <v>0</v>
      </c>
      <c r="N217" s="18">
        <v>22.1</v>
      </c>
      <c r="O217" s="6">
        <f>Table1[[#This Row],[R1 Length (km)]]+Table1[[#This Row],[T1 Length (km)]]</f>
        <v>22.1</v>
      </c>
      <c r="P217" s="25">
        <v>230</v>
      </c>
      <c r="Q217" s="6">
        <f>(Table1[[#This Row],[Linear Features (km)]]*1)*100</f>
        <v>2210</v>
      </c>
      <c r="R217" s="18">
        <v>234.09</v>
      </c>
      <c r="S217" s="8">
        <f>Table1[[#This Row],[ATG (ha)]]/Table1[[#This Row],[Linear Area (ha)]]</f>
        <v>0.10592307692307693</v>
      </c>
      <c r="T217" s="9" t="s">
        <v>22</v>
      </c>
      <c r="U217" s="9" t="s">
        <v>22</v>
      </c>
      <c r="V217" s="18">
        <v>234.09</v>
      </c>
      <c r="W217" s="18">
        <v>93.635999999999996</v>
      </c>
      <c r="X217" s="31">
        <v>10714.6522769928</v>
      </c>
      <c r="Y217" s="27">
        <f>Table1[[#This Row],[Raw Terrestrial Score]]/Table1[[#This Row],[Summed Raw Scores]]</f>
        <v>0.45136033196647862</v>
      </c>
      <c r="Z217" s="31">
        <v>13023.925347477199</v>
      </c>
      <c r="AA217" s="27">
        <f>Table1[[#This Row],[Raw Freshwater Score]]/Table1[[#This Row],[Summed Raw Scores]]</f>
        <v>0.54863966803352138</v>
      </c>
      <c r="AB217" s="27">
        <f>Table1[[#This Row],[Raw Terrestrial Score]]+Table1[[#This Row],[Raw Freshwater Score]]</f>
        <v>23738.577624469999</v>
      </c>
      <c r="AC217" s="28">
        <f>Table1[[#This Row],[Terrestrial % of Summed Score]]*Table1[[#This Row],[Scaled Summed Score]]</f>
        <v>6.3531846812641513E-2</v>
      </c>
      <c r="AD217" s="28">
        <f>Table1[[#This Row],[Freshwater % of Summed Score]]*Table1[[#This Row],[Scaled Summed Score]]</f>
        <v>7.7224534094486735E-2</v>
      </c>
      <c r="AE217" s="29">
        <f>Table1[[#This Row],[Summed Raw Scores]]/MAX(Table1[Summed Raw Scores])</f>
        <v>0.14075638090712825</v>
      </c>
    </row>
    <row r="218" spans="1:31" hidden="1" x14ac:dyDescent="0.3">
      <c r="A218" s="26" t="s">
        <v>316</v>
      </c>
      <c r="B218" s="26" t="s">
        <v>58</v>
      </c>
      <c r="C218" s="26" t="s">
        <v>25</v>
      </c>
      <c r="D218" s="26"/>
      <c r="E218" s="18">
        <v>50.93194561</v>
      </c>
      <c r="F218" s="18">
        <v>-121.97114910000001</v>
      </c>
      <c r="G218" s="18">
        <v>12.162461540000001</v>
      </c>
      <c r="H218" s="26" t="s">
        <v>22</v>
      </c>
      <c r="I218" s="26" t="s">
        <v>22</v>
      </c>
      <c r="J218" s="18">
        <v>21.843487979999999</v>
      </c>
      <c r="K218" s="18">
        <v>131.2458772</v>
      </c>
      <c r="L218" s="6" t="s">
        <v>22</v>
      </c>
      <c r="M218" s="18">
        <v>0</v>
      </c>
      <c r="N218" s="18">
        <v>12.6</v>
      </c>
      <c r="O218" s="6">
        <f>Table1[[#This Row],[R1 Length (km)]]+Table1[[#This Row],[T1 Length (km)]]</f>
        <v>12.6</v>
      </c>
      <c r="P218" s="25">
        <v>25</v>
      </c>
      <c r="Q218" s="6">
        <f>(Table1[[#This Row],[Linear Features (km)]]*1)*100</f>
        <v>1260</v>
      </c>
      <c r="R218" s="18">
        <v>49.41</v>
      </c>
      <c r="S218" s="8">
        <f>Table1[[#This Row],[ATG (ha)]]/Table1[[#This Row],[Linear Area (ha)]]</f>
        <v>3.9214285714285708E-2</v>
      </c>
      <c r="T218" s="9" t="s">
        <v>22</v>
      </c>
      <c r="U218" s="9" t="s">
        <v>22</v>
      </c>
      <c r="V218" s="18">
        <v>49.41</v>
      </c>
      <c r="W218" s="18">
        <v>19.763999999999999</v>
      </c>
      <c r="X218" s="31">
        <v>9623.7068827152307</v>
      </c>
      <c r="Y218" s="27">
        <f>Table1[[#This Row],[Raw Terrestrial Score]]/Table1[[#This Row],[Summed Raw Scores]]</f>
        <v>0.46506791598044228</v>
      </c>
      <c r="Z218" s="31">
        <v>11069.4145991802</v>
      </c>
      <c r="AA218" s="27">
        <f>Table1[[#This Row],[Raw Freshwater Score]]/Table1[[#This Row],[Summed Raw Scores]]</f>
        <v>0.53493208401955761</v>
      </c>
      <c r="AB218" s="27">
        <f>Table1[[#This Row],[Raw Terrestrial Score]]+Table1[[#This Row],[Raw Freshwater Score]]</f>
        <v>20693.121481895432</v>
      </c>
      <c r="AC218" s="28">
        <f>Table1[[#This Row],[Terrestrial % of Summed Score]]*Table1[[#This Row],[Scaled Summed Score]]</f>
        <v>5.706315572697504E-2</v>
      </c>
      <c r="AD218" s="28">
        <f>Table1[[#This Row],[Freshwater % of Summed Score]]*Table1[[#This Row],[Scaled Summed Score]]</f>
        <v>6.5635387359309877E-2</v>
      </c>
      <c r="AE218" s="29">
        <f>Table1[[#This Row],[Summed Raw Scores]]/MAX(Table1[Summed Raw Scores])</f>
        <v>0.12269854308628493</v>
      </c>
    </row>
    <row r="219" spans="1:31" hidden="1" x14ac:dyDescent="0.3">
      <c r="A219" s="26" t="s">
        <v>73</v>
      </c>
      <c r="B219" s="26" t="s">
        <v>58</v>
      </c>
      <c r="C219" s="26" t="s">
        <v>25</v>
      </c>
      <c r="D219" s="26"/>
      <c r="E219" s="30">
        <v>51.032245750000001</v>
      </c>
      <c r="F219" s="30">
        <v>-121.66175560000001</v>
      </c>
      <c r="G219" s="30">
        <v>41.671384615400001</v>
      </c>
      <c r="H219" s="6" t="s">
        <v>22</v>
      </c>
      <c r="I219" s="6" t="s">
        <v>22</v>
      </c>
      <c r="J219" s="30">
        <v>74.167136563120138</v>
      </c>
      <c r="K219" s="30">
        <v>103.70208520210363</v>
      </c>
      <c r="L219" s="6" t="s">
        <v>22</v>
      </c>
      <c r="M219" s="30">
        <v>0.7</v>
      </c>
      <c r="N219" s="30">
        <v>8.9</v>
      </c>
      <c r="O219" s="6">
        <f>Table1[[#This Row],[R1 Length (km)]]+Table1[[#This Row],[T1 Length (km)]]</f>
        <v>9.6</v>
      </c>
      <c r="P219" s="31">
        <v>69</v>
      </c>
      <c r="Q219" s="6">
        <f>(Table1[[#This Row],[Linear Features (km)]]*1)*100</f>
        <v>960</v>
      </c>
      <c r="R219" s="30">
        <v>1554.39</v>
      </c>
      <c r="S219" s="29">
        <f>Table1[[#This Row],[ATG (ha)]]/Table1[[#This Row],[Linear Area (ha)]]</f>
        <v>1.6191562500000001</v>
      </c>
      <c r="T219" s="9" t="s">
        <v>22</v>
      </c>
      <c r="U219" s="9" t="s">
        <v>22</v>
      </c>
      <c r="V219" s="30">
        <v>1554.39</v>
      </c>
      <c r="W219" s="30">
        <v>621.75600000000009</v>
      </c>
      <c r="X219" s="31">
        <v>8922.2507048249208</v>
      </c>
      <c r="Y219" s="27">
        <f>Table1[[#This Row],[Raw Terrestrial Score]]/Table1[[#This Row],[Summed Raw Scores]]</f>
        <v>0.56390826495989677</v>
      </c>
      <c r="Z219" s="31">
        <v>6899.9162312447997</v>
      </c>
      <c r="AA219" s="27">
        <f>Table1[[#This Row],[Raw Freshwater Score]]/Table1[[#This Row],[Summed Raw Scores]]</f>
        <v>0.43609173504010335</v>
      </c>
      <c r="AB219" s="27">
        <f>Table1[[#This Row],[Raw Terrestrial Score]]+Table1[[#This Row],[Raw Freshwater Score]]</f>
        <v>15822.16693606972</v>
      </c>
      <c r="AC219" s="28">
        <f>Table1[[#This Row],[Terrestrial % of Summed Score]]*Table1[[#This Row],[Scaled Summed Score]]</f>
        <v>5.2903916090687397E-2</v>
      </c>
      <c r="AD219" s="28">
        <f>Table1[[#This Row],[Freshwater % of Summed Score]]*Table1[[#This Row],[Scaled Summed Score]]</f>
        <v>4.0912612905300537E-2</v>
      </c>
      <c r="AE219" s="29">
        <f>Table1[[#This Row],[Summed Raw Scores]]/MAX(Table1[Summed Raw Scores])</f>
        <v>9.3816528995987927E-2</v>
      </c>
    </row>
    <row r="220" spans="1:31" hidden="1" x14ac:dyDescent="0.3">
      <c r="A220" s="26" t="s">
        <v>324</v>
      </c>
      <c r="B220" s="26" t="s">
        <v>58</v>
      </c>
      <c r="C220" s="26" t="s">
        <v>25</v>
      </c>
      <c r="D220" s="26"/>
      <c r="E220" s="18">
        <v>51.037081059999998</v>
      </c>
      <c r="F220" s="18">
        <v>-121.3055391</v>
      </c>
      <c r="G220" s="18">
        <v>18.343384619999998</v>
      </c>
      <c r="H220" s="26" t="s">
        <v>22</v>
      </c>
      <c r="I220" s="26" t="s">
        <v>22</v>
      </c>
      <c r="J220" s="18">
        <v>32.900329939999999</v>
      </c>
      <c r="K220" s="18">
        <v>132.88605899999999</v>
      </c>
      <c r="L220" s="6" t="s">
        <v>22</v>
      </c>
      <c r="M220" s="18">
        <v>0.6</v>
      </c>
      <c r="N220" s="18">
        <v>19.600000000000001</v>
      </c>
      <c r="O220" s="6">
        <f>Table1[[#This Row],[R1 Length (km)]]+Table1[[#This Row],[T1 Length (km)]]</f>
        <v>20.200000000000003</v>
      </c>
      <c r="P220" s="25">
        <v>25</v>
      </c>
      <c r="Q220" s="6">
        <f>(Table1[[#This Row],[Linear Features (km)]]*1)*100</f>
        <v>2020.0000000000002</v>
      </c>
      <c r="R220" s="18">
        <v>74.52</v>
      </c>
      <c r="S220" s="8">
        <f>Table1[[#This Row],[ATG (ha)]]/Table1[[#This Row],[Linear Area (ha)]]</f>
        <v>3.6891089108910882E-2</v>
      </c>
      <c r="T220" s="9" t="s">
        <v>22</v>
      </c>
      <c r="U220" s="9" t="s">
        <v>22</v>
      </c>
      <c r="V220" s="18">
        <v>74.52</v>
      </c>
      <c r="W220" s="18">
        <v>29.808</v>
      </c>
      <c r="X220" s="31">
        <v>10528.406143784499</v>
      </c>
      <c r="Y220" s="27">
        <f>Table1[[#This Row],[Raw Terrestrial Score]]/Table1[[#This Row],[Summed Raw Scores]]</f>
        <v>0.56235470028749535</v>
      </c>
      <c r="Z220" s="31">
        <v>8193.5964257717096</v>
      </c>
      <c r="AA220" s="27">
        <f>Table1[[#This Row],[Raw Freshwater Score]]/Table1[[#This Row],[Summed Raw Scores]]</f>
        <v>0.43764529971250471</v>
      </c>
      <c r="AB220" s="27">
        <f>Table1[[#This Row],[Raw Terrestrial Score]]+Table1[[#This Row],[Raw Freshwater Score]]</f>
        <v>18722.002569556207</v>
      </c>
      <c r="AC220" s="28">
        <f>Table1[[#This Row],[Terrestrial % of Summed Score]]*Table1[[#This Row],[Scaled Summed Score]]</f>
        <v>6.2427512252961566E-2</v>
      </c>
      <c r="AD220" s="28">
        <f>Table1[[#This Row],[Freshwater % of Summed Score]]*Table1[[#This Row],[Scaled Summed Score]]</f>
        <v>4.8583407049475932E-2</v>
      </c>
      <c r="AE220" s="29">
        <f>Table1[[#This Row],[Summed Raw Scores]]/MAX(Table1[Summed Raw Scores])</f>
        <v>0.11101091930243749</v>
      </c>
    </row>
    <row r="221" spans="1:31" hidden="1" x14ac:dyDescent="0.3">
      <c r="A221" s="26" t="s">
        <v>321</v>
      </c>
      <c r="B221" s="26" t="s">
        <v>58</v>
      </c>
      <c r="C221" s="26" t="s">
        <v>25</v>
      </c>
      <c r="D221" s="26"/>
      <c r="E221" s="18">
        <v>50.950550130000003</v>
      </c>
      <c r="F221" s="18">
        <v>-121.53246660000001</v>
      </c>
      <c r="G221" s="18">
        <v>31.702153849999998</v>
      </c>
      <c r="H221" s="26" t="s">
        <v>22</v>
      </c>
      <c r="I221" s="26" t="s">
        <v>22</v>
      </c>
      <c r="J221" s="18">
        <v>54.989579589999998</v>
      </c>
      <c r="K221" s="18">
        <v>131.969009</v>
      </c>
      <c r="L221" s="6" t="s">
        <v>22</v>
      </c>
      <c r="M221" s="18">
        <v>0</v>
      </c>
      <c r="N221" s="18">
        <v>12.6</v>
      </c>
      <c r="O221" s="6">
        <f>Table1[[#This Row],[R1 Length (km)]]+Table1[[#This Row],[T1 Length (km)]]</f>
        <v>12.6</v>
      </c>
      <c r="P221" s="25">
        <v>69</v>
      </c>
      <c r="Q221" s="6">
        <f>(Table1[[#This Row],[Linear Features (km)]]*1)*100</f>
        <v>1260</v>
      </c>
      <c r="R221" s="18">
        <v>128.79</v>
      </c>
      <c r="S221" s="8">
        <f>Table1[[#This Row],[ATG (ha)]]/Table1[[#This Row],[Linear Area (ha)]]</f>
        <v>0.1022142857142857</v>
      </c>
      <c r="T221" s="9" t="s">
        <v>22</v>
      </c>
      <c r="U221" s="9" t="s">
        <v>22</v>
      </c>
      <c r="V221" s="18">
        <v>128.79</v>
      </c>
      <c r="W221" s="18">
        <v>51.515999999999998</v>
      </c>
      <c r="X221" s="31">
        <v>7244.1097075939197</v>
      </c>
      <c r="Y221" s="27">
        <f>Table1[[#This Row],[Raw Terrestrial Score]]/Table1[[#This Row],[Summed Raw Scores]]</f>
        <v>0.57848196967393417</v>
      </c>
      <c r="Z221" s="31">
        <v>5278.50998905301</v>
      </c>
      <c r="AA221" s="27">
        <f>Table1[[#This Row],[Raw Freshwater Score]]/Table1[[#This Row],[Summed Raw Scores]]</f>
        <v>0.42151803032606588</v>
      </c>
      <c r="AB221" s="27">
        <f>Table1[[#This Row],[Raw Terrestrial Score]]+Table1[[#This Row],[Raw Freshwater Score]]</f>
        <v>12522.619696646929</v>
      </c>
      <c r="AC221" s="28">
        <f>Table1[[#This Row],[Terrestrial % of Summed Score]]*Table1[[#This Row],[Scaled Summed Score]]</f>
        <v>4.2953486155128492E-2</v>
      </c>
      <c r="AD221" s="28">
        <f>Table1[[#This Row],[Freshwater % of Summed Score]]*Table1[[#This Row],[Scaled Summed Score]]</f>
        <v>3.1298588078645051E-2</v>
      </c>
      <c r="AE221" s="29">
        <f>Table1[[#This Row],[Summed Raw Scores]]/MAX(Table1[Summed Raw Scores])</f>
        <v>7.4252074233773543E-2</v>
      </c>
    </row>
    <row r="222" spans="1:31" hidden="1" x14ac:dyDescent="0.3">
      <c r="A222" s="26" t="s">
        <v>343</v>
      </c>
      <c r="B222" s="26" t="s">
        <v>58</v>
      </c>
      <c r="C222" s="26" t="s">
        <v>25</v>
      </c>
      <c r="D222" s="26"/>
      <c r="E222" s="18">
        <v>50.695238660000001</v>
      </c>
      <c r="F222" s="18">
        <v>-121.85497719999999</v>
      </c>
      <c r="G222" s="18">
        <v>17.944615379999998</v>
      </c>
      <c r="H222" s="26" t="s">
        <v>22</v>
      </c>
      <c r="I222" s="26" t="s">
        <v>22</v>
      </c>
      <c r="J222" s="18">
        <v>30.266783100000001</v>
      </c>
      <c r="K222" s="18">
        <v>139.08714620000001</v>
      </c>
      <c r="L222" s="6" t="s">
        <v>22</v>
      </c>
      <c r="M222" s="18">
        <v>1.7</v>
      </c>
      <c r="N222" s="18">
        <v>21.6</v>
      </c>
      <c r="O222" s="6">
        <f>Table1[[#This Row],[R1 Length (km)]]+Table1[[#This Row],[T1 Length (km)]]</f>
        <v>23.3</v>
      </c>
      <c r="P222" s="25">
        <v>25</v>
      </c>
      <c r="Q222" s="6">
        <f>(Table1[[#This Row],[Linear Features (km)]]*1)*100</f>
        <v>2330</v>
      </c>
      <c r="R222" s="18">
        <v>72.900000000000006</v>
      </c>
      <c r="S222" s="8">
        <f>Table1[[#This Row],[ATG (ha)]]/Table1[[#This Row],[Linear Area (ha)]]</f>
        <v>3.1287553648068671E-2</v>
      </c>
      <c r="T222" s="9" t="s">
        <v>22</v>
      </c>
      <c r="U222" s="9" t="s">
        <v>22</v>
      </c>
      <c r="V222" s="18">
        <v>72.900000000000006</v>
      </c>
      <c r="W222" s="18">
        <v>29.16</v>
      </c>
      <c r="X222" s="31">
        <v>18736.0326274447</v>
      </c>
      <c r="Y222" s="27">
        <f>Table1[[#This Row],[Raw Terrestrial Score]]/Table1[[#This Row],[Summed Raw Scores]]</f>
        <v>0.54214342921409775</v>
      </c>
      <c r="Z222" s="31">
        <v>15823.147873193</v>
      </c>
      <c r="AA222" s="27">
        <f>Table1[[#This Row],[Raw Freshwater Score]]/Table1[[#This Row],[Summed Raw Scores]]</f>
        <v>0.45785657078590236</v>
      </c>
      <c r="AB222" s="27">
        <f>Table1[[#This Row],[Raw Terrestrial Score]]+Table1[[#This Row],[Raw Freshwater Score]]</f>
        <v>34559.180500637696</v>
      </c>
      <c r="AC222" s="28">
        <f>Table1[[#This Row],[Terrestrial % of Summed Score]]*Table1[[#This Row],[Scaled Summed Score]]</f>
        <v>0.11109410963521742</v>
      </c>
      <c r="AD222" s="28">
        <f>Table1[[#This Row],[Freshwater % of Summed Score]]*Table1[[#This Row],[Scaled Summed Score]]</f>
        <v>9.3822345400052007E-2</v>
      </c>
      <c r="AE222" s="29">
        <f>Table1[[#This Row],[Summed Raw Scores]]/MAX(Table1[Summed Raw Scores])</f>
        <v>0.2049164550352694</v>
      </c>
    </row>
    <row r="223" spans="1:31" hidden="1" x14ac:dyDescent="0.3">
      <c r="A223" s="26" t="s">
        <v>323</v>
      </c>
      <c r="B223" s="26" t="s">
        <v>58</v>
      </c>
      <c r="C223" s="26" t="s">
        <v>25</v>
      </c>
      <c r="D223" s="26"/>
      <c r="E223" s="18">
        <v>50.734773830000002</v>
      </c>
      <c r="F223" s="18">
        <v>-121.60668099999999</v>
      </c>
      <c r="G223" s="18">
        <v>34.69292308</v>
      </c>
      <c r="H223" s="26" t="s">
        <v>22</v>
      </c>
      <c r="I223" s="26" t="s">
        <v>22</v>
      </c>
      <c r="J223" s="18">
        <v>61.499762820000001</v>
      </c>
      <c r="K223" s="18">
        <v>132.71167399999999</v>
      </c>
      <c r="L223" s="6" t="s">
        <v>22</v>
      </c>
      <c r="M223" s="18">
        <v>0.9</v>
      </c>
      <c r="N223" s="18">
        <v>23.3</v>
      </c>
      <c r="O223" s="6">
        <f>Table1[[#This Row],[R1 Length (km)]]+Table1[[#This Row],[T1 Length (km)]]</f>
        <v>24.2</v>
      </c>
      <c r="P223" s="25">
        <v>69</v>
      </c>
      <c r="Q223" s="6">
        <f>(Table1[[#This Row],[Linear Features (km)]]*1)*100</f>
        <v>2420</v>
      </c>
      <c r="R223" s="18">
        <v>140.94</v>
      </c>
      <c r="S223" s="8">
        <f>Table1[[#This Row],[ATG (ha)]]/Table1[[#This Row],[Linear Area (ha)]]</f>
        <v>5.8239669421487603E-2</v>
      </c>
      <c r="T223" s="9" t="s">
        <v>22</v>
      </c>
      <c r="U223" s="9" t="s">
        <v>22</v>
      </c>
      <c r="V223" s="18">
        <v>140.94</v>
      </c>
      <c r="W223" s="18">
        <v>56.375999999999998</v>
      </c>
      <c r="X223" s="31">
        <v>11872.4164400101</v>
      </c>
      <c r="Y223" s="27">
        <f>Table1[[#This Row],[Raw Terrestrial Score]]/Table1[[#This Row],[Summed Raw Scores]]</f>
        <v>0.5123120898122594</v>
      </c>
      <c r="Z223" s="31">
        <v>11301.771083772201</v>
      </c>
      <c r="AA223" s="27">
        <f>Table1[[#This Row],[Raw Freshwater Score]]/Table1[[#This Row],[Summed Raw Scores]]</f>
        <v>0.48768791018774055</v>
      </c>
      <c r="AB223" s="27">
        <f>Table1[[#This Row],[Raw Terrestrial Score]]+Table1[[#This Row],[Raw Freshwater Score]]</f>
        <v>23174.187523782301</v>
      </c>
      <c r="AC223" s="28">
        <f>Table1[[#This Row],[Terrestrial % of Summed Score]]*Table1[[#This Row],[Scaled Summed Score]]</f>
        <v>7.0396735522835402E-2</v>
      </c>
      <c r="AD223" s="28">
        <f>Table1[[#This Row],[Freshwater % of Summed Score]]*Table1[[#This Row],[Scaled Summed Score]]</f>
        <v>6.7013130304521537E-2</v>
      </c>
      <c r="AE223" s="29">
        <f>Table1[[#This Row],[Summed Raw Scores]]/MAX(Table1[Summed Raw Scores])</f>
        <v>0.13740986582735695</v>
      </c>
    </row>
    <row r="224" spans="1:31" hidden="1" x14ac:dyDescent="0.3">
      <c r="A224" s="26" t="s">
        <v>356</v>
      </c>
      <c r="B224" s="26" t="s">
        <v>58</v>
      </c>
      <c r="C224" s="26" t="s">
        <v>25</v>
      </c>
      <c r="D224" s="26"/>
      <c r="E224" s="18">
        <v>50.640031630000003</v>
      </c>
      <c r="F224" s="18">
        <v>-121.56089489999999</v>
      </c>
      <c r="G224" s="18">
        <v>29.508923079999999</v>
      </c>
      <c r="H224" s="26" t="s">
        <v>22</v>
      </c>
      <c r="I224" s="26" t="s">
        <v>22</v>
      </c>
      <c r="J224" s="18">
        <v>52.443283809999997</v>
      </c>
      <c r="K224" s="18">
        <v>142.02107760000001</v>
      </c>
      <c r="L224" s="6" t="s">
        <v>22</v>
      </c>
      <c r="M224" s="18">
        <v>2</v>
      </c>
      <c r="N224" s="18">
        <v>24.2</v>
      </c>
      <c r="O224" s="6">
        <f>Table1[[#This Row],[R1 Length (km)]]+Table1[[#This Row],[T1 Length (km)]]</f>
        <v>26.2</v>
      </c>
      <c r="P224" s="25">
        <v>69</v>
      </c>
      <c r="Q224" s="6">
        <f>(Table1[[#This Row],[Linear Features (km)]]*1)*100</f>
        <v>2620</v>
      </c>
      <c r="R224" s="18">
        <v>119.88</v>
      </c>
      <c r="S224" s="8">
        <f>Table1[[#This Row],[ATG (ha)]]/Table1[[#This Row],[Linear Area (ha)]]</f>
        <v>4.5755725190839695E-2</v>
      </c>
      <c r="T224" s="9" t="s">
        <v>22</v>
      </c>
      <c r="U224" s="9" t="s">
        <v>22</v>
      </c>
      <c r="V224" s="18">
        <v>119.88</v>
      </c>
      <c r="W224" s="18">
        <v>47.951999999999998</v>
      </c>
      <c r="X224" s="31">
        <v>18451.277190774701</v>
      </c>
      <c r="Y224" s="27">
        <f>Table1[[#This Row],[Raw Terrestrial Score]]/Table1[[#This Row],[Summed Raw Scores]]</f>
        <v>0.62359637364390197</v>
      </c>
      <c r="Z224" s="31">
        <v>11137.216217160199</v>
      </c>
      <c r="AA224" s="27">
        <f>Table1[[#This Row],[Raw Freshwater Score]]/Table1[[#This Row],[Summed Raw Scores]]</f>
        <v>0.37640362635609809</v>
      </c>
      <c r="AB224" s="27">
        <f>Table1[[#This Row],[Raw Terrestrial Score]]+Table1[[#This Row],[Raw Freshwater Score]]</f>
        <v>29588.4934079349</v>
      </c>
      <c r="AC224" s="28">
        <f>Table1[[#This Row],[Terrestrial % of Summed Score]]*Table1[[#This Row],[Scaled Summed Score]]</f>
        <v>0.10940567044802781</v>
      </c>
      <c r="AD224" s="28">
        <f>Table1[[#This Row],[Freshwater % of Summed Score]]*Table1[[#This Row],[Scaled Summed Score]]</f>
        <v>6.6037412725677036E-2</v>
      </c>
      <c r="AE224" s="29">
        <f>Table1[[#This Row],[Summed Raw Scores]]/MAX(Table1[Summed Raw Scores])</f>
        <v>0.17544308317370483</v>
      </c>
    </row>
    <row r="225" spans="1:31" hidden="1" x14ac:dyDescent="0.3">
      <c r="A225" s="26" t="s">
        <v>318</v>
      </c>
      <c r="B225" s="26" t="s">
        <v>58</v>
      </c>
      <c r="C225" s="26" t="s">
        <v>32</v>
      </c>
      <c r="D225" s="26"/>
      <c r="E225" s="18">
        <v>50.283912119999997</v>
      </c>
      <c r="F225" s="18">
        <v>-122.8072698</v>
      </c>
      <c r="G225" s="18">
        <v>14.35569231</v>
      </c>
      <c r="H225" s="26" t="s">
        <v>22</v>
      </c>
      <c r="I225" s="26" t="s">
        <v>22</v>
      </c>
      <c r="J225" s="18">
        <v>23.476167419999999</v>
      </c>
      <c r="K225" s="18">
        <v>131.50983859999999</v>
      </c>
      <c r="L225" s="6" t="s">
        <v>22</v>
      </c>
      <c r="M225" s="18">
        <v>1.6</v>
      </c>
      <c r="N225" s="18">
        <v>4.7</v>
      </c>
      <c r="O225" s="6">
        <f>Table1[[#This Row],[R1 Length (km)]]+Table1[[#This Row],[T1 Length (km)]]</f>
        <v>6.3000000000000007</v>
      </c>
      <c r="P225" s="25">
        <v>25</v>
      </c>
      <c r="Q225" s="6">
        <f>(Table1[[#This Row],[Linear Features (km)]]*1)*100</f>
        <v>630.00000000000011</v>
      </c>
      <c r="R225" s="18">
        <v>58.32</v>
      </c>
      <c r="S225" s="8">
        <f>Table1[[#This Row],[ATG (ha)]]/Table1[[#This Row],[Linear Area (ha)]]</f>
        <v>9.2571428571428555E-2</v>
      </c>
      <c r="T225" s="9" t="s">
        <v>22</v>
      </c>
      <c r="U225" s="9" t="s">
        <v>22</v>
      </c>
      <c r="V225" s="18">
        <v>58.32</v>
      </c>
      <c r="W225" s="18">
        <v>23.327999999999999</v>
      </c>
      <c r="X225" s="31">
        <v>4245.32451745868</v>
      </c>
      <c r="Y225" s="27">
        <f>Table1[[#This Row],[Raw Terrestrial Score]]/Table1[[#This Row],[Summed Raw Scores]]</f>
        <v>0.49676457652000156</v>
      </c>
      <c r="Z225" s="31">
        <v>4300.6240427195999</v>
      </c>
      <c r="AA225" s="27">
        <f>Table1[[#This Row],[Raw Freshwater Score]]/Table1[[#This Row],[Summed Raw Scores]]</f>
        <v>0.5032354234799985</v>
      </c>
      <c r="AB225" s="27">
        <f>Table1[[#This Row],[Raw Terrestrial Score]]+Table1[[#This Row],[Raw Freshwater Score]]</f>
        <v>8545.9485601782799</v>
      </c>
      <c r="AC225" s="28">
        <f>Table1[[#This Row],[Terrestrial % of Summed Score]]*Table1[[#This Row],[Scaled Summed Score]]</f>
        <v>2.5172380767995814E-2</v>
      </c>
      <c r="AD225" s="28">
        <f>Table1[[#This Row],[Freshwater % of Summed Score]]*Table1[[#This Row],[Scaled Summed Score]]</f>
        <v>2.5500275773532532E-2</v>
      </c>
      <c r="AE225" s="29">
        <f>Table1[[#This Row],[Summed Raw Scores]]/MAX(Table1[Summed Raw Scores])</f>
        <v>5.0672656541528346E-2</v>
      </c>
    </row>
    <row r="226" spans="1:31" hidden="1" x14ac:dyDescent="0.3">
      <c r="A226" s="26" t="s">
        <v>285</v>
      </c>
      <c r="B226" s="26" t="s">
        <v>58</v>
      </c>
      <c r="C226" s="26" t="s">
        <v>25</v>
      </c>
      <c r="D226" s="26"/>
      <c r="E226" s="18">
        <v>50.597232990000002</v>
      </c>
      <c r="F226" s="18">
        <v>-121.18471529999999</v>
      </c>
      <c r="G226" s="18">
        <v>36.287999999999997</v>
      </c>
      <c r="H226" s="26" t="s">
        <v>22</v>
      </c>
      <c r="I226" s="26" t="s">
        <v>22</v>
      </c>
      <c r="J226" s="18">
        <v>65.867304599999997</v>
      </c>
      <c r="K226" s="18">
        <v>125.0593253</v>
      </c>
      <c r="L226" s="6" t="s">
        <v>22</v>
      </c>
      <c r="M226" s="18">
        <v>0.6</v>
      </c>
      <c r="N226" s="18">
        <v>18.2</v>
      </c>
      <c r="O226" s="6">
        <f>Table1[[#This Row],[R1 Length (km)]]+Table1[[#This Row],[T1 Length (km)]]</f>
        <v>18.8</v>
      </c>
      <c r="P226" s="25">
        <v>69</v>
      </c>
      <c r="Q226" s="6">
        <f>(Table1[[#This Row],[Linear Features (km)]]*1)*100</f>
        <v>1880</v>
      </c>
      <c r="R226" s="18">
        <v>147.41999999999999</v>
      </c>
      <c r="S226" s="8">
        <f>Table1[[#This Row],[ATG (ha)]]/Table1[[#This Row],[Linear Area (ha)]]</f>
        <v>7.8414893617021267E-2</v>
      </c>
      <c r="T226" s="9" t="s">
        <v>22</v>
      </c>
      <c r="U226" s="9" t="s">
        <v>22</v>
      </c>
      <c r="V226" s="18">
        <v>147.41999999999999</v>
      </c>
      <c r="W226" s="18">
        <v>58.968000000000004</v>
      </c>
      <c r="X226" s="31">
        <v>17414.938807517301</v>
      </c>
      <c r="Y226" s="27">
        <f>Table1[[#This Row],[Raw Terrestrial Score]]/Table1[[#This Row],[Summed Raw Scores]]</f>
        <v>0.61979899920167281</v>
      </c>
      <c r="Z226" s="31">
        <v>10682.7813081145</v>
      </c>
      <c r="AA226" s="27">
        <f>Table1[[#This Row],[Raw Freshwater Score]]/Table1[[#This Row],[Summed Raw Scores]]</f>
        <v>0.38020100079832719</v>
      </c>
      <c r="AB226" s="27">
        <f>Table1[[#This Row],[Raw Terrestrial Score]]+Table1[[#This Row],[Raw Freshwater Score]]</f>
        <v>28097.720115631801</v>
      </c>
      <c r="AC226" s="28">
        <f>Table1[[#This Row],[Terrestrial % of Summed Score]]*Table1[[#This Row],[Scaled Summed Score]]</f>
        <v>0.10326076814890729</v>
      </c>
      <c r="AD226" s="28">
        <f>Table1[[#This Row],[Freshwater % of Summed Score]]*Table1[[#This Row],[Scaled Summed Score]]</f>
        <v>6.3342869936845528E-2</v>
      </c>
      <c r="AE226" s="29">
        <f>Table1[[#This Row],[Summed Raw Scores]]/MAX(Table1[Summed Raw Scores])</f>
        <v>0.16660363808575282</v>
      </c>
    </row>
    <row r="227" spans="1:31" hidden="1" x14ac:dyDescent="0.3">
      <c r="A227" s="26" t="s">
        <v>74</v>
      </c>
      <c r="B227" s="26" t="s">
        <v>58</v>
      </c>
      <c r="C227" s="26" t="s">
        <v>25</v>
      </c>
      <c r="D227" s="26"/>
      <c r="E227" s="30">
        <v>50.562687879999999</v>
      </c>
      <c r="F227" s="30">
        <v>-121.07955800000001</v>
      </c>
      <c r="G227" s="30">
        <v>52.238769230800003</v>
      </c>
      <c r="H227" s="6" t="s">
        <v>22</v>
      </c>
      <c r="I227" s="6" t="s">
        <v>22</v>
      </c>
      <c r="J227" s="30">
        <v>95.228300170561525</v>
      </c>
      <c r="K227" s="30">
        <v>101.3336327046222</v>
      </c>
      <c r="L227" s="6" t="s">
        <v>22</v>
      </c>
      <c r="M227" s="30">
        <v>0.3</v>
      </c>
      <c r="N227" s="30">
        <v>23.3</v>
      </c>
      <c r="O227" s="6">
        <f>Table1[[#This Row],[R1 Length (km)]]+Table1[[#This Row],[T1 Length (km)]]</f>
        <v>23.6</v>
      </c>
      <c r="P227" s="31">
        <v>69</v>
      </c>
      <c r="Q227" s="6">
        <f>(Table1[[#This Row],[Linear Features (km)]]*1)*100</f>
        <v>2360</v>
      </c>
      <c r="R227" s="30">
        <v>1240.1099999999999</v>
      </c>
      <c r="S227" s="29">
        <f>Table1[[#This Row],[ATG (ha)]]/Table1[[#This Row],[Linear Area (ha)]]</f>
        <v>0.52547033898305084</v>
      </c>
      <c r="T227" s="9" t="s">
        <v>22</v>
      </c>
      <c r="U227" s="9" t="s">
        <v>22</v>
      </c>
      <c r="V227" s="30">
        <v>1240.1099999999999</v>
      </c>
      <c r="W227" s="30">
        <v>496.04399999999998</v>
      </c>
      <c r="X227" s="31">
        <v>16861.030698650498</v>
      </c>
      <c r="Y227" s="27">
        <f>Table1[[#This Row],[Raw Terrestrial Score]]/Table1[[#This Row],[Summed Raw Scores]]</f>
        <v>0.56205147694767188</v>
      </c>
      <c r="Z227" s="31">
        <v>13138.055488646</v>
      </c>
      <c r="AA227" s="27">
        <f>Table1[[#This Row],[Raw Freshwater Score]]/Table1[[#This Row],[Summed Raw Scores]]</f>
        <v>0.43794852305232818</v>
      </c>
      <c r="AB227" s="27">
        <f>Table1[[#This Row],[Raw Terrestrial Score]]+Table1[[#This Row],[Raw Freshwater Score]]</f>
        <v>29999.086187296496</v>
      </c>
      <c r="AC227" s="28">
        <f>Table1[[#This Row],[Terrestrial % of Summed Score]]*Table1[[#This Row],[Scaled Summed Score]]</f>
        <v>9.9976405370623786E-2</v>
      </c>
      <c r="AD227" s="28">
        <f>Table1[[#This Row],[Freshwater % of Summed Score]]*Table1[[#This Row],[Scaled Summed Score]]</f>
        <v>7.7901261482179088E-2</v>
      </c>
      <c r="AE227" s="29">
        <f>Table1[[#This Row],[Summed Raw Scores]]/MAX(Table1[Summed Raw Scores])</f>
        <v>0.17787766685280287</v>
      </c>
    </row>
    <row r="228" spans="1:31" hidden="1" x14ac:dyDescent="0.3">
      <c r="A228" s="26" t="s">
        <v>351</v>
      </c>
      <c r="B228" s="26" t="s">
        <v>58</v>
      </c>
      <c r="C228" s="26" t="s">
        <v>32</v>
      </c>
      <c r="D228" s="26"/>
      <c r="E228" s="18">
        <v>50.148417080000002</v>
      </c>
      <c r="F228" s="18">
        <v>-123.0047582</v>
      </c>
      <c r="G228" s="18">
        <v>13.35876923</v>
      </c>
      <c r="H228" s="26" t="s">
        <v>22</v>
      </c>
      <c r="I228" s="26" t="s">
        <v>22</v>
      </c>
      <c r="J228" s="18">
        <v>20.810925000000001</v>
      </c>
      <c r="K228" s="18">
        <v>141.21929420000001</v>
      </c>
      <c r="L228" s="6" t="s">
        <v>22</v>
      </c>
      <c r="M228" s="18">
        <v>2.2000000000000002</v>
      </c>
      <c r="N228" s="18">
        <v>4.5999999999999996</v>
      </c>
      <c r="O228" s="6">
        <f>Table1[[#This Row],[R1 Length (km)]]+Table1[[#This Row],[T1 Length (km)]]</f>
        <v>6.8</v>
      </c>
      <c r="P228" s="25">
        <v>25</v>
      </c>
      <c r="Q228" s="6">
        <f>(Table1[[#This Row],[Linear Features (km)]]*1)*100</f>
        <v>680</v>
      </c>
      <c r="R228" s="18">
        <v>54.27</v>
      </c>
      <c r="S228" s="8">
        <f>Table1[[#This Row],[ATG (ha)]]/Table1[[#This Row],[Linear Area (ha)]]</f>
        <v>7.9808823529411765E-2</v>
      </c>
      <c r="T228" s="9" t="s">
        <v>22</v>
      </c>
      <c r="U228" s="9" t="s">
        <v>22</v>
      </c>
      <c r="V228" s="18">
        <v>54.27</v>
      </c>
      <c r="W228" s="18">
        <v>21.707999999999998</v>
      </c>
      <c r="X228" s="31">
        <v>5222.9140780717098</v>
      </c>
      <c r="Y228" s="27">
        <f>Table1[[#This Row],[Raw Terrestrial Score]]/Table1[[#This Row],[Summed Raw Scores]]</f>
        <v>0.62735698110561933</v>
      </c>
      <c r="Z228" s="31">
        <v>3102.35245338082</v>
      </c>
      <c r="AA228" s="27">
        <f>Table1[[#This Row],[Raw Freshwater Score]]/Table1[[#This Row],[Summed Raw Scores]]</f>
        <v>0.37264301889438067</v>
      </c>
      <c r="AB228" s="27">
        <f>Table1[[#This Row],[Raw Terrestrial Score]]+Table1[[#This Row],[Raw Freshwater Score]]</f>
        <v>8325.2665314525293</v>
      </c>
      <c r="AC228" s="28">
        <f>Table1[[#This Row],[Terrestrial % of Summed Score]]*Table1[[#This Row],[Scaled Summed Score]]</f>
        <v>3.0968935672896183E-2</v>
      </c>
      <c r="AD228" s="28">
        <f>Table1[[#This Row],[Freshwater % of Summed Score]]*Table1[[#This Row],[Scaled Summed Score]]</f>
        <v>1.8395200864356084E-2</v>
      </c>
      <c r="AE228" s="29">
        <f>Table1[[#This Row],[Summed Raw Scores]]/MAX(Table1[Summed Raw Scores])</f>
        <v>4.9364136537252266E-2</v>
      </c>
    </row>
    <row r="229" spans="1:31" hidden="1" x14ac:dyDescent="0.3">
      <c r="A229" s="26" t="s">
        <v>296</v>
      </c>
      <c r="B229" s="26" t="s">
        <v>58</v>
      </c>
      <c r="C229" s="26" t="s">
        <v>32</v>
      </c>
      <c r="D229" s="26"/>
      <c r="E229" s="18">
        <v>50.162190719999998</v>
      </c>
      <c r="F229" s="18">
        <v>-122.9231422</v>
      </c>
      <c r="G229" s="18">
        <v>18.542769230000001</v>
      </c>
      <c r="H229" s="26" t="s">
        <v>22</v>
      </c>
      <c r="I229" s="26" t="s">
        <v>22</v>
      </c>
      <c r="J229" s="18">
        <v>29.19247579</v>
      </c>
      <c r="K229" s="18">
        <v>126.9069901</v>
      </c>
      <c r="L229" s="6" t="s">
        <v>22</v>
      </c>
      <c r="M229" s="18">
        <v>0.3</v>
      </c>
      <c r="N229" s="18">
        <v>4.7</v>
      </c>
      <c r="O229" s="6">
        <f>Table1[[#This Row],[R1 Length (km)]]+Table1[[#This Row],[T1 Length (km)]]</f>
        <v>5</v>
      </c>
      <c r="P229" s="25">
        <v>25</v>
      </c>
      <c r="Q229" s="6">
        <f>(Table1[[#This Row],[Linear Features (km)]]*1)*100</f>
        <v>500</v>
      </c>
      <c r="R229" s="18">
        <v>75.33</v>
      </c>
      <c r="S229" s="8">
        <f>Table1[[#This Row],[ATG (ha)]]/Table1[[#This Row],[Linear Area (ha)]]</f>
        <v>0.15065999999999999</v>
      </c>
      <c r="T229" s="9" t="s">
        <v>22</v>
      </c>
      <c r="U229" s="9" t="s">
        <v>22</v>
      </c>
      <c r="V229" s="18">
        <v>75.33</v>
      </c>
      <c r="W229" s="18">
        <v>30.132000000000001</v>
      </c>
      <c r="X229" s="31">
        <v>3355.8643300533299</v>
      </c>
      <c r="Y229" s="27">
        <f>Table1[[#This Row],[Raw Terrestrial Score]]/Table1[[#This Row],[Summed Raw Scores]]</f>
        <v>0.4925437752283206</v>
      </c>
      <c r="Z229" s="31">
        <v>3457.4678016900998</v>
      </c>
      <c r="AA229" s="27">
        <f>Table1[[#This Row],[Raw Freshwater Score]]/Table1[[#This Row],[Summed Raw Scores]]</f>
        <v>0.50745622477167951</v>
      </c>
      <c r="AB229" s="27">
        <f>Table1[[#This Row],[Raw Terrestrial Score]]+Table1[[#This Row],[Raw Freshwater Score]]</f>
        <v>6813.3321317434293</v>
      </c>
      <c r="AC229" s="28">
        <f>Table1[[#This Row],[Terrestrial % of Summed Score]]*Table1[[#This Row],[Scaled Summed Score]]</f>
        <v>1.9898383356664044E-2</v>
      </c>
      <c r="AD229" s="28">
        <f>Table1[[#This Row],[Freshwater % of Summed Score]]*Table1[[#This Row],[Scaled Summed Score]]</f>
        <v>2.0500834656882207E-2</v>
      </c>
      <c r="AE229" s="29">
        <f>Table1[[#This Row],[Summed Raw Scores]]/MAX(Table1[Summed Raw Scores])</f>
        <v>4.0399218013546248E-2</v>
      </c>
    </row>
    <row r="230" spans="1:31" hidden="1" x14ac:dyDescent="0.3">
      <c r="A230" s="26" t="s">
        <v>262</v>
      </c>
      <c r="B230" s="26" t="s">
        <v>58</v>
      </c>
      <c r="C230" s="26" t="s">
        <v>25</v>
      </c>
      <c r="D230" s="26"/>
      <c r="E230" s="18">
        <v>50.489513270000003</v>
      </c>
      <c r="F230" s="18">
        <v>-121.2223437</v>
      </c>
      <c r="G230" s="18">
        <v>14.555076919999999</v>
      </c>
      <c r="H230" s="26" t="s">
        <v>22</v>
      </c>
      <c r="I230" s="26" t="s">
        <v>22</v>
      </c>
      <c r="J230" s="18">
        <v>27.31813395</v>
      </c>
      <c r="K230" s="18">
        <v>120.35928749999999</v>
      </c>
      <c r="L230" s="6" t="s">
        <v>22</v>
      </c>
      <c r="M230" s="18">
        <v>1.6</v>
      </c>
      <c r="N230" s="18">
        <v>10.6</v>
      </c>
      <c r="O230" s="6">
        <f>Table1[[#This Row],[R1 Length (km)]]+Table1[[#This Row],[T1 Length (km)]]</f>
        <v>12.2</v>
      </c>
      <c r="P230" s="25">
        <v>25</v>
      </c>
      <c r="Q230" s="6">
        <f>(Table1[[#This Row],[Linear Features (km)]]*1)*100</f>
        <v>1220</v>
      </c>
      <c r="R230" s="18">
        <v>59.13</v>
      </c>
      <c r="S230" s="8">
        <f>Table1[[#This Row],[ATG (ha)]]/Table1[[#This Row],[Linear Area (ha)]]</f>
        <v>4.8467213114754097E-2</v>
      </c>
      <c r="T230" s="9" t="s">
        <v>22</v>
      </c>
      <c r="U230" s="9" t="s">
        <v>22</v>
      </c>
      <c r="V230" s="18">
        <v>59.13</v>
      </c>
      <c r="W230" s="18">
        <v>23.652000000000001</v>
      </c>
      <c r="X230" s="31">
        <v>11537.1206044555</v>
      </c>
      <c r="Y230" s="27">
        <f>Table1[[#This Row],[Raw Terrestrial Score]]/Table1[[#This Row],[Summed Raw Scores]]</f>
        <v>0.62196462677301101</v>
      </c>
      <c r="Z230" s="31">
        <v>7012.3597161769903</v>
      </c>
      <c r="AA230" s="27">
        <f>Table1[[#This Row],[Raw Freshwater Score]]/Table1[[#This Row],[Summed Raw Scores]]</f>
        <v>0.37803537322698894</v>
      </c>
      <c r="AB230" s="27">
        <f>Table1[[#This Row],[Raw Terrestrial Score]]+Table1[[#This Row],[Raw Freshwater Score]]</f>
        <v>18549.48032063249</v>
      </c>
      <c r="AC230" s="28">
        <f>Table1[[#This Row],[Terrestrial % of Summed Score]]*Table1[[#This Row],[Scaled Summed Score]]</f>
        <v>6.8408620266205714E-2</v>
      </c>
      <c r="AD230" s="28">
        <f>Table1[[#This Row],[Freshwater % of Summed Score]]*Table1[[#This Row],[Scaled Summed Score]]</f>
        <v>4.1579339372488928E-2</v>
      </c>
      <c r="AE230" s="29">
        <f>Table1[[#This Row],[Summed Raw Scores]]/MAX(Table1[Summed Raw Scores])</f>
        <v>0.10998795963869465</v>
      </c>
    </row>
    <row r="231" spans="1:31" hidden="1" x14ac:dyDescent="0.3">
      <c r="A231" s="26" t="s">
        <v>260</v>
      </c>
      <c r="B231" s="26" t="s">
        <v>58</v>
      </c>
      <c r="C231" s="26" t="s">
        <v>25</v>
      </c>
      <c r="D231" s="26"/>
      <c r="E231" s="18">
        <v>50.502409409999999</v>
      </c>
      <c r="F231" s="18">
        <v>-121.1397796</v>
      </c>
      <c r="G231" s="18">
        <v>16.947692310000001</v>
      </c>
      <c r="H231" s="26" t="s">
        <v>22</v>
      </c>
      <c r="I231" s="26" t="s">
        <v>22</v>
      </c>
      <c r="J231" s="18">
        <v>31.72636803</v>
      </c>
      <c r="K231" s="18">
        <v>118.9972654</v>
      </c>
      <c r="L231" s="6" t="s">
        <v>22</v>
      </c>
      <c r="M231" s="18">
        <v>0</v>
      </c>
      <c r="N231" s="18">
        <v>16.3</v>
      </c>
      <c r="O231" s="6">
        <f>Table1[[#This Row],[R1 Length (km)]]+Table1[[#This Row],[T1 Length (km)]]</f>
        <v>16.3</v>
      </c>
      <c r="P231" s="25">
        <v>25</v>
      </c>
      <c r="Q231" s="6">
        <f>(Table1[[#This Row],[Linear Features (km)]]*1)*100</f>
        <v>1630</v>
      </c>
      <c r="R231" s="18">
        <v>68.849999999999994</v>
      </c>
      <c r="S231" s="8">
        <f>Table1[[#This Row],[ATG (ha)]]/Table1[[#This Row],[Linear Area (ha)]]</f>
        <v>4.2239263803680975E-2</v>
      </c>
      <c r="T231" s="9" t="s">
        <v>22</v>
      </c>
      <c r="U231" s="9" t="s">
        <v>22</v>
      </c>
      <c r="V231" s="18">
        <v>68.849999999999994</v>
      </c>
      <c r="W231" s="18">
        <v>27.54</v>
      </c>
      <c r="X231" s="31">
        <v>11538.468910396099</v>
      </c>
      <c r="Y231" s="27">
        <f>Table1[[#This Row],[Raw Terrestrial Score]]/Table1[[#This Row],[Summed Raw Scores]]</f>
        <v>0.58182761025533225</v>
      </c>
      <c r="Z231" s="31">
        <v>8292.9531586468202</v>
      </c>
      <c r="AA231" s="27">
        <f>Table1[[#This Row],[Raw Freshwater Score]]/Table1[[#This Row],[Summed Raw Scores]]</f>
        <v>0.41817238974466769</v>
      </c>
      <c r="AB231" s="27">
        <f>Table1[[#This Row],[Raw Terrestrial Score]]+Table1[[#This Row],[Raw Freshwater Score]]</f>
        <v>19831.422069042921</v>
      </c>
      <c r="AC231" s="28">
        <f>Table1[[#This Row],[Terrestrial % of Summed Score]]*Table1[[#This Row],[Scaled Summed Score]]</f>
        <v>6.8416614960224734E-2</v>
      </c>
      <c r="AD231" s="28">
        <f>Table1[[#This Row],[Freshwater % of Summed Score]]*Table1[[#This Row],[Scaled Summed Score]]</f>
        <v>4.9172536455605168E-2</v>
      </c>
      <c r="AE231" s="29">
        <f>Table1[[#This Row],[Summed Raw Scores]]/MAX(Table1[Summed Raw Scores])</f>
        <v>0.11758915141582992</v>
      </c>
    </row>
    <row r="232" spans="1:31" hidden="1" x14ac:dyDescent="0.3">
      <c r="A232" s="26" t="s">
        <v>308</v>
      </c>
      <c r="B232" s="26" t="s">
        <v>58</v>
      </c>
      <c r="C232" s="26" t="s">
        <v>25</v>
      </c>
      <c r="D232" s="26"/>
      <c r="E232" s="18">
        <v>50.528079050000002</v>
      </c>
      <c r="F232" s="18">
        <v>-120.9745344</v>
      </c>
      <c r="G232" s="18">
        <v>32.89846154</v>
      </c>
      <c r="H232" s="26" t="s">
        <v>22</v>
      </c>
      <c r="I232" s="26" t="s">
        <v>22</v>
      </c>
      <c r="J232" s="18">
        <v>58.781529769999999</v>
      </c>
      <c r="K232" s="18">
        <v>130.1876705</v>
      </c>
      <c r="L232" s="6" t="s">
        <v>22</v>
      </c>
      <c r="M232" s="18">
        <v>0</v>
      </c>
      <c r="N232" s="18">
        <v>18</v>
      </c>
      <c r="O232" s="6">
        <f>Table1[[#This Row],[R1 Length (km)]]+Table1[[#This Row],[T1 Length (km)]]</f>
        <v>18</v>
      </c>
      <c r="P232" s="25">
        <v>69</v>
      </c>
      <c r="Q232" s="6">
        <f>(Table1[[#This Row],[Linear Features (km)]]*1)*100</f>
        <v>1800</v>
      </c>
      <c r="R232" s="18">
        <v>133.65</v>
      </c>
      <c r="S232" s="8">
        <f>Table1[[#This Row],[ATG (ha)]]/Table1[[#This Row],[Linear Area (ha)]]</f>
        <v>7.4249999999999997E-2</v>
      </c>
      <c r="T232" s="9" t="s">
        <v>22</v>
      </c>
      <c r="U232" s="9" t="s">
        <v>22</v>
      </c>
      <c r="V232" s="18">
        <v>133.65</v>
      </c>
      <c r="W232" s="18">
        <v>53.46</v>
      </c>
      <c r="X232" s="31">
        <v>15095.0483368635</v>
      </c>
      <c r="Y232" s="27">
        <f>Table1[[#This Row],[Raw Terrestrial Score]]/Table1[[#This Row],[Summed Raw Scores]]</f>
        <v>0.56309997086058128</v>
      </c>
      <c r="Z232" s="31">
        <v>11712.0003543198</v>
      </c>
      <c r="AA232" s="27">
        <f>Table1[[#This Row],[Raw Freshwater Score]]/Table1[[#This Row],[Summed Raw Scores]]</f>
        <v>0.43690002913941872</v>
      </c>
      <c r="AB232" s="27">
        <f>Table1[[#This Row],[Raw Terrestrial Score]]+Table1[[#This Row],[Raw Freshwater Score]]</f>
        <v>26807.0486911833</v>
      </c>
      <c r="AC232" s="28">
        <f>Table1[[#This Row],[Terrestrial % of Summed Score]]*Table1[[#This Row],[Scaled Summed Score]]</f>
        <v>8.9505125670414271E-2</v>
      </c>
      <c r="AD232" s="28">
        <f>Table1[[#This Row],[Freshwater % of Summed Score]]*Table1[[#This Row],[Scaled Summed Score]]</f>
        <v>6.944555858130802E-2</v>
      </c>
      <c r="AE232" s="29">
        <f>Table1[[#This Row],[Summed Raw Scores]]/MAX(Table1[Summed Raw Scores])</f>
        <v>0.15895068425172229</v>
      </c>
    </row>
    <row r="233" spans="1:31" hidden="1" x14ac:dyDescent="0.3">
      <c r="A233" s="26" t="s">
        <v>322</v>
      </c>
      <c r="B233" s="26" t="s">
        <v>58</v>
      </c>
      <c r="C233" s="26" t="s">
        <v>21</v>
      </c>
      <c r="D233" s="26"/>
      <c r="E233" s="18">
        <v>49.729584860000003</v>
      </c>
      <c r="F233" s="18">
        <v>-125.086574</v>
      </c>
      <c r="G233" s="18">
        <v>17.34646154</v>
      </c>
      <c r="H233" s="26" t="s">
        <v>22</v>
      </c>
      <c r="I233" s="26" t="s">
        <v>22</v>
      </c>
      <c r="J233" s="18">
        <v>27.262485869999999</v>
      </c>
      <c r="K233" s="18">
        <v>132.28778019999999</v>
      </c>
      <c r="L233" s="6" t="s">
        <v>22</v>
      </c>
      <c r="M233" s="18">
        <v>0.6</v>
      </c>
      <c r="N233" s="18">
        <v>9.1</v>
      </c>
      <c r="O233" s="6">
        <f>Table1[[#This Row],[R1 Length (km)]]+Table1[[#This Row],[T1 Length (km)]]</f>
        <v>9.6999999999999993</v>
      </c>
      <c r="P233" s="25">
        <v>25</v>
      </c>
      <c r="Q233" s="6">
        <f>(Table1[[#This Row],[Linear Features (km)]]*1)*100</f>
        <v>969.99999999999989</v>
      </c>
      <c r="R233" s="18">
        <v>70.47</v>
      </c>
      <c r="S233" s="8">
        <f>Table1[[#This Row],[ATG (ha)]]/Table1[[#This Row],[Linear Area (ha)]]</f>
        <v>7.2649484536082484E-2</v>
      </c>
      <c r="T233" s="9" t="s">
        <v>22</v>
      </c>
      <c r="U233" s="9" t="s">
        <v>22</v>
      </c>
      <c r="V233" s="18">
        <v>70.47</v>
      </c>
      <c r="W233" s="18">
        <v>28.187999999999999</v>
      </c>
      <c r="X233" s="31">
        <v>3854.9839559197399</v>
      </c>
      <c r="Y233" s="27">
        <f>Table1[[#This Row],[Raw Terrestrial Score]]/Table1[[#This Row],[Summed Raw Scores]]</f>
        <v>0.48508658963628665</v>
      </c>
      <c r="Z233" s="31">
        <v>4092.0177511572801</v>
      </c>
      <c r="AA233" s="27">
        <f>Table1[[#This Row],[Raw Freshwater Score]]/Table1[[#This Row],[Summed Raw Scores]]</f>
        <v>0.51491341036371341</v>
      </c>
      <c r="AB233" s="27">
        <f>Table1[[#This Row],[Raw Terrestrial Score]]+Table1[[#This Row],[Raw Freshwater Score]]</f>
        <v>7947.00170707702</v>
      </c>
      <c r="AC233" s="28">
        <f>Table1[[#This Row],[Terrestrial % of Summed Score]]*Table1[[#This Row],[Scaled Summed Score]]</f>
        <v>2.2857881321877292E-2</v>
      </c>
      <c r="AD233" s="28">
        <f>Table1[[#This Row],[Freshwater % of Summed Score]]*Table1[[#This Row],[Scaled Summed Score]]</f>
        <v>2.4263358082031849E-2</v>
      </c>
      <c r="AE233" s="29">
        <f>Table1[[#This Row],[Summed Raw Scores]]/MAX(Table1[Summed Raw Scores])</f>
        <v>4.7121239403909138E-2</v>
      </c>
    </row>
    <row r="234" spans="1:31" hidden="1" x14ac:dyDescent="0.3">
      <c r="A234" s="26" t="s">
        <v>75</v>
      </c>
      <c r="B234" s="26" t="s">
        <v>58</v>
      </c>
      <c r="C234" s="26" t="s">
        <v>25</v>
      </c>
      <c r="D234" s="26"/>
      <c r="E234" s="30">
        <v>50.423871550000001</v>
      </c>
      <c r="F234" s="30">
        <v>-120.6602656</v>
      </c>
      <c r="G234" s="30">
        <v>81.149534614999993</v>
      </c>
      <c r="H234" s="6" t="s">
        <v>22</v>
      </c>
      <c r="I234" s="6" t="s">
        <v>22</v>
      </c>
      <c r="J234" s="30">
        <v>146.89395982694825</v>
      </c>
      <c r="K234" s="30">
        <v>96.656117097630755</v>
      </c>
      <c r="L234" s="6" t="s">
        <v>22</v>
      </c>
      <c r="M234" s="30">
        <v>0.7</v>
      </c>
      <c r="N234" s="30">
        <v>11.2</v>
      </c>
      <c r="O234" s="6">
        <f>Table1[[#This Row],[R1 Length (km)]]+Table1[[#This Row],[T1 Length (km)]]</f>
        <v>11.899999999999999</v>
      </c>
      <c r="P234" s="31">
        <v>130</v>
      </c>
      <c r="Q234" s="6">
        <f>(Table1[[#This Row],[Linear Features (km)]]*1)*100</f>
        <v>1189.9999999999998</v>
      </c>
      <c r="R234" s="30">
        <v>1314.63</v>
      </c>
      <c r="S234" s="29">
        <f>Table1[[#This Row],[ATG (ha)]]/Table1[[#This Row],[Linear Area (ha)]]</f>
        <v>1.1047310924369751</v>
      </c>
      <c r="T234" s="9" t="s">
        <v>22</v>
      </c>
      <c r="U234" s="9" t="s">
        <v>22</v>
      </c>
      <c r="V234" s="30">
        <v>1314.63</v>
      </c>
      <c r="W234" s="30">
        <v>525.85200000000009</v>
      </c>
      <c r="X234" s="31">
        <v>8208.6861807704008</v>
      </c>
      <c r="Y234" s="27">
        <f>Table1[[#This Row],[Raw Terrestrial Score]]/Table1[[#This Row],[Summed Raw Scores]]</f>
        <v>0.56923685952254122</v>
      </c>
      <c r="Z234" s="31">
        <v>6211.8244440257504</v>
      </c>
      <c r="AA234" s="27">
        <f>Table1[[#This Row],[Raw Freshwater Score]]/Table1[[#This Row],[Summed Raw Scores]]</f>
        <v>0.43076314047745867</v>
      </c>
      <c r="AB234" s="27">
        <f>Table1[[#This Row],[Raw Terrestrial Score]]+Table1[[#This Row],[Raw Freshwater Score]]</f>
        <v>14420.510624796152</v>
      </c>
      <c r="AC234" s="28">
        <f>Table1[[#This Row],[Terrestrial % of Summed Score]]*Table1[[#This Row],[Scaled Summed Score]]</f>
        <v>4.8672880788635499E-2</v>
      </c>
      <c r="AD234" s="28">
        <f>Table1[[#This Row],[Freshwater % of Summed Score]]*Table1[[#This Row],[Scaled Summed Score]]</f>
        <v>3.6832616570514509E-2</v>
      </c>
      <c r="AE234" s="29">
        <f>Table1[[#This Row],[Summed Raw Scores]]/MAX(Table1[Summed Raw Scores])</f>
        <v>8.5505497359150015E-2</v>
      </c>
    </row>
    <row r="235" spans="1:31" hidden="1" x14ac:dyDescent="0.3">
      <c r="A235" s="26" t="s">
        <v>270</v>
      </c>
      <c r="B235" s="26" t="s">
        <v>58</v>
      </c>
      <c r="C235" s="26" t="s">
        <v>25</v>
      </c>
      <c r="D235" s="26"/>
      <c r="E235" s="18">
        <v>50.325599130000001</v>
      </c>
      <c r="F235" s="18">
        <v>-120.9680393</v>
      </c>
      <c r="G235" s="18">
        <v>38.481230770000003</v>
      </c>
      <c r="H235" s="26" t="s">
        <v>22</v>
      </c>
      <c r="I235" s="26" t="s">
        <v>22</v>
      </c>
      <c r="J235" s="18">
        <v>69.679875870000004</v>
      </c>
      <c r="K235" s="18">
        <v>121.99408529999999</v>
      </c>
      <c r="L235" s="6" t="s">
        <v>22</v>
      </c>
      <c r="M235" s="18">
        <v>0.3</v>
      </c>
      <c r="N235" s="18">
        <v>14.9</v>
      </c>
      <c r="O235" s="6">
        <f>Table1[[#This Row],[R1 Length (km)]]+Table1[[#This Row],[T1 Length (km)]]</f>
        <v>15.200000000000001</v>
      </c>
      <c r="P235" s="25">
        <v>69</v>
      </c>
      <c r="Q235" s="6">
        <f>(Table1[[#This Row],[Linear Features (km)]]*1)*100</f>
        <v>1520</v>
      </c>
      <c r="R235" s="18">
        <v>156.33000000000001</v>
      </c>
      <c r="S235" s="8">
        <f>Table1[[#This Row],[ATG (ha)]]/Table1[[#This Row],[Linear Area (ha)]]</f>
        <v>0.10284868421052633</v>
      </c>
      <c r="T235" s="9" t="s">
        <v>22</v>
      </c>
      <c r="U235" s="9" t="s">
        <v>22</v>
      </c>
      <c r="V235" s="18">
        <v>156.33000000000001</v>
      </c>
      <c r="W235" s="18">
        <v>62.531999999999996</v>
      </c>
      <c r="X235" s="31">
        <v>6325.0380175709697</v>
      </c>
      <c r="Y235" s="27">
        <f>Table1[[#This Row],[Raw Terrestrial Score]]/Table1[[#This Row],[Summed Raw Scores]]</f>
        <v>0.55187683463472981</v>
      </c>
      <c r="Z235" s="31">
        <v>5135.9214223325298</v>
      </c>
      <c r="AA235" s="27">
        <f>Table1[[#This Row],[Raw Freshwater Score]]/Table1[[#This Row],[Summed Raw Scores]]</f>
        <v>0.44812316536527014</v>
      </c>
      <c r="AB235" s="27">
        <f>Table1[[#This Row],[Raw Terrestrial Score]]+Table1[[#This Row],[Raw Freshwater Score]]</f>
        <v>11460.9594399035</v>
      </c>
      <c r="AC235" s="28">
        <f>Table1[[#This Row],[Terrestrial % of Summed Score]]*Table1[[#This Row],[Scaled Summed Score]]</f>
        <v>3.7503909228982876E-2</v>
      </c>
      <c r="AD235" s="28">
        <f>Table1[[#This Row],[Freshwater % of Summed Score]]*Table1[[#This Row],[Scaled Summed Score]]</f>
        <v>3.0453118273005949E-2</v>
      </c>
      <c r="AE235" s="29">
        <f>Table1[[#This Row],[Summed Raw Scores]]/MAX(Table1[Summed Raw Scores])</f>
        <v>6.7957027501988829E-2</v>
      </c>
    </row>
    <row r="236" spans="1:31" hidden="1" x14ac:dyDescent="0.3">
      <c r="A236" s="26" t="s">
        <v>290</v>
      </c>
      <c r="B236" s="26" t="s">
        <v>58</v>
      </c>
      <c r="C236" s="26" t="s">
        <v>25</v>
      </c>
      <c r="D236" s="26"/>
      <c r="E236" s="18">
        <v>50.389009139999999</v>
      </c>
      <c r="F236" s="18">
        <v>-120.5557767</v>
      </c>
      <c r="G236" s="18">
        <v>34.094769229999997</v>
      </c>
      <c r="H236" s="26" t="s">
        <v>22</v>
      </c>
      <c r="I236" s="26" t="s">
        <v>22</v>
      </c>
      <c r="J236" s="18">
        <v>62.07381333</v>
      </c>
      <c r="K236" s="18">
        <v>126.33030100000001</v>
      </c>
      <c r="L236" s="6" t="s">
        <v>22</v>
      </c>
      <c r="M236" s="18">
        <v>0</v>
      </c>
      <c r="N236" s="18">
        <v>18.399999999999999</v>
      </c>
      <c r="O236" s="6">
        <f>Table1[[#This Row],[R1 Length (km)]]+Table1[[#This Row],[T1 Length (km)]]</f>
        <v>18.399999999999999</v>
      </c>
      <c r="P236" s="25">
        <v>69</v>
      </c>
      <c r="Q236" s="6">
        <f>(Table1[[#This Row],[Linear Features (km)]]*1)*100</f>
        <v>1839.9999999999998</v>
      </c>
      <c r="R236" s="18">
        <v>138.51</v>
      </c>
      <c r="S236" s="8">
        <f>Table1[[#This Row],[ATG (ha)]]/Table1[[#This Row],[Linear Area (ha)]]</f>
        <v>7.5277173913043477E-2</v>
      </c>
      <c r="T236" s="9" t="s">
        <v>22</v>
      </c>
      <c r="U236" s="9" t="s">
        <v>22</v>
      </c>
      <c r="V236" s="18">
        <v>138.51</v>
      </c>
      <c r="W236" s="18">
        <v>55.404000000000003</v>
      </c>
      <c r="X236" s="31">
        <v>7437.4836383760003</v>
      </c>
      <c r="Y236" s="27">
        <f>Table1[[#This Row],[Raw Terrestrial Score]]/Table1[[#This Row],[Summed Raw Scores]]</f>
        <v>0.55645767107905686</v>
      </c>
      <c r="Z236" s="31">
        <v>5928.2834719121502</v>
      </c>
      <c r="AA236" s="27">
        <f>Table1[[#This Row],[Raw Freshwater Score]]/Table1[[#This Row],[Summed Raw Scores]]</f>
        <v>0.44354232892094309</v>
      </c>
      <c r="AB236" s="27">
        <f>Table1[[#This Row],[Raw Terrestrial Score]]+Table1[[#This Row],[Raw Freshwater Score]]</f>
        <v>13365.76711028815</v>
      </c>
      <c r="AC236" s="28">
        <f>Table1[[#This Row],[Terrestrial % of Summed Score]]*Table1[[#This Row],[Scaled Summed Score]]</f>
        <v>4.4100084535589758E-2</v>
      </c>
      <c r="AD236" s="28">
        <f>Table1[[#This Row],[Freshwater % of Summed Score]]*Table1[[#This Row],[Scaled Summed Score]]</f>
        <v>3.5151378473398727E-2</v>
      </c>
      <c r="AE236" s="29">
        <f>Table1[[#This Row],[Summed Raw Scores]]/MAX(Table1[Summed Raw Scores])</f>
        <v>7.9251463008988485E-2</v>
      </c>
    </row>
    <row r="237" spans="1:31" hidden="1" x14ac:dyDescent="0.3">
      <c r="A237" s="26" t="s">
        <v>279</v>
      </c>
      <c r="B237" s="26" t="s">
        <v>58</v>
      </c>
      <c r="C237" s="26" t="s">
        <v>25</v>
      </c>
      <c r="D237" s="26"/>
      <c r="E237" s="18">
        <v>50.391478509999999</v>
      </c>
      <c r="F237" s="18">
        <v>-120.20369340000001</v>
      </c>
      <c r="G237" s="18">
        <v>72.376615380000004</v>
      </c>
      <c r="H237" s="26" t="s">
        <v>22</v>
      </c>
      <c r="I237" s="26" t="s">
        <v>22</v>
      </c>
      <c r="J237" s="18">
        <v>128.86836529999999</v>
      </c>
      <c r="K237" s="18">
        <v>123.8964933</v>
      </c>
      <c r="L237" s="6" t="s">
        <v>22</v>
      </c>
      <c r="M237" s="18">
        <v>0</v>
      </c>
      <c r="N237" s="18">
        <v>29.3</v>
      </c>
      <c r="O237" s="6">
        <f>Table1[[#This Row],[R1 Length (km)]]+Table1[[#This Row],[T1 Length (km)]]</f>
        <v>29.3</v>
      </c>
      <c r="P237" s="25">
        <v>130</v>
      </c>
      <c r="Q237" s="6">
        <f>(Table1[[#This Row],[Linear Features (km)]]*1)*100</f>
        <v>2930</v>
      </c>
      <c r="R237" s="18">
        <v>294.02999999999997</v>
      </c>
      <c r="S237" s="8">
        <f>Table1[[#This Row],[ATG (ha)]]/Table1[[#This Row],[Linear Area (ha)]]</f>
        <v>0.10035153583617747</v>
      </c>
      <c r="T237" s="9" t="s">
        <v>22</v>
      </c>
      <c r="U237" s="9" t="s">
        <v>22</v>
      </c>
      <c r="V237" s="18">
        <v>294.02999999999997</v>
      </c>
      <c r="W237" s="18">
        <v>117.61199999999999</v>
      </c>
      <c r="X237" s="31">
        <v>16303.280189395</v>
      </c>
      <c r="Y237" s="27">
        <f>Table1[[#This Row],[Raw Terrestrial Score]]/Table1[[#This Row],[Summed Raw Scores]]</f>
        <v>0.68794336707898895</v>
      </c>
      <c r="Z237" s="31">
        <v>7395.2987483143797</v>
      </c>
      <c r="AA237" s="27">
        <f>Table1[[#This Row],[Raw Freshwater Score]]/Table1[[#This Row],[Summed Raw Scores]]</f>
        <v>0.31205663292101105</v>
      </c>
      <c r="AB237" s="27">
        <f>Table1[[#This Row],[Raw Terrestrial Score]]+Table1[[#This Row],[Raw Freshwater Score]]</f>
        <v>23698.578937709379</v>
      </c>
      <c r="AC237" s="28">
        <f>Table1[[#This Row],[Terrestrial % of Summed Score]]*Table1[[#This Row],[Scaled Summed Score]]</f>
        <v>9.6669259324477133E-2</v>
      </c>
      <c r="AD237" s="28">
        <f>Table1[[#This Row],[Freshwater % of Summed Score]]*Table1[[#This Row],[Scaled Summed Score]]</f>
        <v>4.3849951922424343E-2</v>
      </c>
      <c r="AE237" s="29">
        <f>Table1[[#This Row],[Summed Raw Scores]]/MAX(Table1[Summed Raw Scores])</f>
        <v>0.14051921124690148</v>
      </c>
    </row>
    <row r="238" spans="1:31" hidden="1" x14ac:dyDescent="0.3">
      <c r="A238" s="26" t="s">
        <v>315</v>
      </c>
      <c r="B238" s="26" t="s">
        <v>58</v>
      </c>
      <c r="C238" s="26" t="s">
        <v>56</v>
      </c>
      <c r="D238" s="26"/>
      <c r="E238" s="18">
        <v>50.45139563</v>
      </c>
      <c r="F238" s="18">
        <v>-120.1425618</v>
      </c>
      <c r="G238" s="18">
        <v>36.287999999999997</v>
      </c>
      <c r="H238" s="26" t="s">
        <v>22</v>
      </c>
      <c r="I238" s="26" t="s">
        <v>22</v>
      </c>
      <c r="J238" s="10">
        <v>64.451252929999995</v>
      </c>
      <c r="K238" s="10">
        <v>131.1148455</v>
      </c>
      <c r="L238" s="6" t="s">
        <v>22</v>
      </c>
      <c r="M238" s="18">
        <v>0</v>
      </c>
      <c r="N238" s="18">
        <v>25.3</v>
      </c>
      <c r="O238" s="6">
        <f>Table1[[#This Row],[R1 Length (km)]]+Table1[[#This Row],[T1 Length (km)]]</f>
        <v>25.3</v>
      </c>
      <c r="P238" s="25">
        <v>69</v>
      </c>
      <c r="Q238" s="6">
        <f>(Table1[[#This Row],[Linear Features (km)]]*1)*100</f>
        <v>2530</v>
      </c>
      <c r="R238" s="18">
        <v>147.41999999999999</v>
      </c>
      <c r="S238" s="8">
        <f>Table1[[#This Row],[ATG (ha)]]/Table1[[#This Row],[Linear Area (ha)]]</f>
        <v>5.8268774703557305E-2</v>
      </c>
      <c r="T238" s="9" t="s">
        <v>22</v>
      </c>
      <c r="U238" s="9" t="s">
        <v>22</v>
      </c>
      <c r="V238" s="18">
        <v>147.41999999999999</v>
      </c>
      <c r="W238" s="18">
        <v>58.968000000000004</v>
      </c>
      <c r="X238" s="31">
        <v>6945.5577773638097</v>
      </c>
      <c r="Y238" s="27">
        <f>Table1[[#This Row],[Raw Terrestrial Score]]/Table1[[#This Row],[Summed Raw Scores]]</f>
        <v>0.41844645084404336</v>
      </c>
      <c r="Z238" s="31">
        <v>9652.8809556067008</v>
      </c>
      <c r="AA238" s="27">
        <f>Table1[[#This Row],[Raw Freshwater Score]]/Table1[[#This Row],[Summed Raw Scores]]</f>
        <v>0.58155354915595669</v>
      </c>
      <c r="AB238" s="27">
        <f>Table1[[#This Row],[Raw Terrestrial Score]]+Table1[[#This Row],[Raw Freshwater Score]]</f>
        <v>16598.43873297051</v>
      </c>
      <c r="AC238" s="28">
        <f>Table1[[#This Row],[Terrestrial % of Summed Score]]*Table1[[#This Row],[Scaled Summed Score]]</f>
        <v>4.118324153993682E-2</v>
      </c>
      <c r="AD238" s="28">
        <f>Table1[[#This Row],[Freshwater % of Summed Score]]*Table1[[#This Row],[Scaled Summed Score]]</f>
        <v>5.7236141530146806E-2</v>
      </c>
      <c r="AE238" s="29">
        <f>Table1[[#This Row],[Summed Raw Scores]]/MAX(Table1[Summed Raw Scores])</f>
        <v>9.8419383070083619E-2</v>
      </c>
    </row>
    <row r="239" spans="1:31" hidden="1" x14ac:dyDescent="0.3">
      <c r="A239" s="26" t="s">
        <v>288</v>
      </c>
      <c r="B239" s="26" t="s">
        <v>58</v>
      </c>
      <c r="C239" s="26" t="s">
        <v>56</v>
      </c>
      <c r="D239" s="26"/>
      <c r="E239" s="18">
        <v>50.463749759999999</v>
      </c>
      <c r="F239" s="18">
        <v>-120.0598056</v>
      </c>
      <c r="G239" s="18">
        <v>38.880000000000003</v>
      </c>
      <c r="H239" s="26" t="s">
        <v>22</v>
      </c>
      <c r="I239" s="26" t="s">
        <v>22</v>
      </c>
      <c r="J239" s="18">
        <v>68.928608819999994</v>
      </c>
      <c r="K239" s="18">
        <v>125.7170799</v>
      </c>
      <c r="L239" s="6" t="s">
        <v>22</v>
      </c>
      <c r="M239" s="18">
        <v>0.3</v>
      </c>
      <c r="N239" s="18">
        <v>18.399999999999999</v>
      </c>
      <c r="O239" s="6">
        <f>Table1[[#This Row],[R1 Length (km)]]+Table1[[#This Row],[T1 Length (km)]]</f>
        <v>18.7</v>
      </c>
      <c r="P239" s="25">
        <v>69</v>
      </c>
      <c r="Q239" s="6">
        <f>(Table1[[#This Row],[Linear Features (km)]]*1)*100</f>
        <v>1870</v>
      </c>
      <c r="R239" s="18">
        <v>157.94999999999999</v>
      </c>
      <c r="S239" s="8">
        <f>Table1[[#This Row],[ATG (ha)]]/Table1[[#This Row],[Linear Area (ha)]]</f>
        <v>8.4465240641711223E-2</v>
      </c>
      <c r="T239" s="9" t="s">
        <v>22</v>
      </c>
      <c r="U239" s="9" t="s">
        <v>22</v>
      </c>
      <c r="V239" s="18">
        <v>157.94999999999999</v>
      </c>
      <c r="W239" s="18">
        <v>63.18</v>
      </c>
      <c r="X239" s="31">
        <v>4986.9688643757299</v>
      </c>
      <c r="Y239" s="27">
        <f>Table1[[#This Row],[Raw Terrestrial Score]]/Table1[[#This Row],[Summed Raw Scores]]</f>
        <v>0.41217429249428916</v>
      </c>
      <c r="Z239" s="31">
        <v>7112.2060603797399</v>
      </c>
      <c r="AA239" s="27">
        <f>Table1[[#This Row],[Raw Freshwater Score]]/Table1[[#This Row],[Summed Raw Scores]]</f>
        <v>0.58782570750571095</v>
      </c>
      <c r="AB239" s="27">
        <f>Table1[[#This Row],[Raw Terrestrial Score]]+Table1[[#This Row],[Raw Freshwater Score]]</f>
        <v>12099.174924755469</v>
      </c>
      <c r="AC239" s="28">
        <f>Table1[[#This Row],[Terrestrial % of Summed Score]]*Table1[[#This Row],[Scaled Summed Score]]</f>
        <v>2.9569913587513486E-2</v>
      </c>
      <c r="AD239" s="28">
        <f>Table1[[#This Row],[Freshwater % of Summed Score]]*Table1[[#This Row],[Scaled Summed Score]]</f>
        <v>4.2171371897735919E-2</v>
      </c>
      <c r="AE239" s="29">
        <f>Table1[[#This Row],[Summed Raw Scores]]/MAX(Table1[Summed Raw Scores])</f>
        <v>7.1741285485249398E-2</v>
      </c>
    </row>
    <row r="240" spans="1:31" hidden="1" x14ac:dyDescent="0.3">
      <c r="A240" s="26" t="s">
        <v>398</v>
      </c>
      <c r="B240" s="26" t="s">
        <v>58</v>
      </c>
      <c r="C240" s="26" t="s">
        <v>87</v>
      </c>
      <c r="D240" s="26"/>
      <c r="E240" s="18">
        <v>50.525427020000002</v>
      </c>
      <c r="F240" s="18">
        <v>-119.2924826</v>
      </c>
      <c r="G240" s="18">
        <v>22.530461540000001</v>
      </c>
      <c r="H240" s="26" t="s">
        <v>22</v>
      </c>
      <c r="I240" s="26" t="s">
        <v>22</v>
      </c>
      <c r="J240" s="18">
        <v>36.923587259999998</v>
      </c>
      <c r="K240" s="18">
        <v>161.30847990000001</v>
      </c>
      <c r="L240" s="6" t="s">
        <v>22</v>
      </c>
      <c r="M240" s="18">
        <v>0.6</v>
      </c>
      <c r="N240" s="18">
        <v>19.399999999999999</v>
      </c>
      <c r="O240" s="6">
        <f>Table1[[#This Row],[R1 Length (km)]]+Table1[[#This Row],[T1 Length (km)]]</f>
        <v>20</v>
      </c>
      <c r="P240" s="25">
        <v>69</v>
      </c>
      <c r="Q240" s="6">
        <f>(Table1[[#This Row],[Linear Features (km)]]*1)*100</f>
        <v>2000</v>
      </c>
      <c r="R240" s="18">
        <v>91.53</v>
      </c>
      <c r="S240" s="8">
        <f>Table1[[#This Row],[ATG (ha)]]/Table1[[#This Row],[Linear Area (ha)]]</f>
        <v>4.5765E-2</v>
      </c>
      <c r="T240" s="9" t="s">
        <v>22</v>
      </c>
      <c r="U240" s="9" t="s">
        <v>22</v>
      </c>
      <c r="V240" s="18">
        <v>91.53</v>
      </c>
      <c r="W240" s="18">
        <v>36.612000000000002</v>
      </c>
      <c r="X240" s="31">
        <v>3830.0851199030899</v>
      </c>
      <c r="Y240" s="27">
        <f>Table1[[#This Row],[Raw Terrestrial Score]]/Table1[[#This Row],[Summed Raw Scores]]</f>
        <v>0.36672005766324689</v>
      </c>
      <c r="Z240" s="31">
        <v>6614.0807768534896</v>
      </c>
      <c r="AA240" s="27">
        <f>Table1[[#This Row],[Raw Freshwater Score]]/Table1[[#This Row],[Summed Raw Scores]]</f>
        <v>0.633279942336753</v>
      </c>
      <c r="AB240" s="27">
        <f>Table1[[#This Row],[Raw Terrestrial Score]]+Table1[[#This Row],[Raw Freshwater Score]]</f>
        <v>10444.16589675658</v>
      </c>
      <c r="AC240" s="28">
        <f>Table1[[#This Row],[Terrestrial % of Summed Score]]*Table1[[#This Row],[Scaled Summed Score]]</f>
        <v>2.2710245262887341E-2</v>
      </c>
      <c r="AD240" s="28">
        <f>Table1[[#This Row],[Freshwater % of Summed Score]]*Table1[[#This Row],[Scaled Summed Score]]</f>
        <v>3.9217769821964635E-2</v>
      </c>
      <c r="AE240" s="29">
        <f>Table1[[#This Row],[Summed Raw Scores]]/MAX(Table1[Summed Raw Scores])</f>
        <v>6.1928015084851983E-2</v>
      </c>
    </row>
    <row r="241" spans="1:31" hidden="1" x14ac:dyDescent="0.3">
      <c r="A241" s="26" t="s">
        <v>310</v>
      </c>
      <c r="B241" s="26" t="s">
        <v>58</v>
      </c>
      <c r="C241" s="26" t="s">
        <v>87</v>
      </c>
      <c r="D241" s="26"/>
      <c r="E241" s="18">
        <v>50.56109129</v>
      </c>
      <c r="F241" s="18">
        <v>-119.0431987</v>
      </c>
      <c r="G241" s="18">
        <v>57.42276923</v>
      </c>
      <c r="H241" s="26" t="s">
        <v>22</v>
      </c>
      <c r="I241" s="26" t="s">
        <v>22</v>
      </c>
      <c r="J241" s="18">
        <v>93.220541979999993</v>
      </c>
      <c r="K241" s="18">
        <v>130.41452709999999</v>
      </c>
      <c r="L241" s="6" t="s">
        <v>22</v>
      </c>
      <c r="M241" s="18">
        <v>0.3</v>
      </c>
      <c r="N241" s="18">
        <v>7.6</v>
      </c>
      <c r="O241" s="6">
        <f>Table1[[#This Row],[R1 Length (km)]]+Table1[[#This Row],[T1 Length (km)]]</f>
        <v>7.8999999999999995</v>
      </c>
      <c r="P241" s="25">
        <v>130</v>
      </c>
      <c r="Q241" s="6">
        <f>(Table1[[#This Row],[Linear Features (km)]]*1)*100</f>
        <v>790</v>
      </c>
      <c r="R241" s="18">
        <v>233.28</v>
      </c>
      <c r="S241" s="8">
        <f>Table1[[#This Row],[ATG (ha)]]/Table1[[#This Row],[Linear Area (ha)]]</f>
        <v>0.29529113924050632</v>
      </c>
      <c r="T241" s="9" t="s">
        <v>22</v>
      </c>
      <c r="U241" s="9" t="s">
        <v>22</v>
      </c>
      <c r="V241" s="18">
        <v>233.28</v>
      </c>
      <c r="W241" s="18">
        <v>93.311999999999998</v>
      </c>
      <c r="X241" s="31">
        <v>3934.5111958682501</v>
      </c>
      <c r="Y241" s="27">
        <f>Table1[[#This Row],[Raw Terrestrial Score]]/Table1[[#This Row],[Summed Raw Scores]]</f>
        <v>0.41557010437911113</v>
      </c>
      <c r="Z241" s="31">
        <v>5533.23240360618</v>
      </c>
      <c r="AA241" s="27">
        <f>Table1[[#This Row],[Raw Freshwater Score]]/Table1[[#This Row],[Summed Raw Scores]]</f>
        <v>0.58442989562088887</v>
      </c>
      <c r="AB241" s="27">
        <f>Table1[[#This Row],[Raw Terrestrial Score]]+Table1[[#This Row],[Raw Freshwater Score]]</f>
        <v>9467.7435994744301</v>
      </c>
      <c r="AC241" s="28">
        <f>Table1[[#This Row],[Terrestrial % of Summed Score]]*Table1[[#This Row],[Scaled Summed Score]]</f>
        <v>2.3329433015317688E-2</v>
      </c>
      <c r="AD241" s="28">
        <f>Table1[[#This Row],[Freshwater % of Summed Score]]*Table1[[#This Row],[Scaled Summed Score]]</f>
        <v>3.2808948378053676E-2</v>
      </c>
      <c r="AE241" s="29">
        <f>Table1[[#This Row],[Summed Raw Scores]]/MAX(Table1[Summed Raw Scores])</f>
        <v>5.6138381393371364E-2</v>
      </c>
    </row>
    <row r="242" spans="1:31" hidden="1" x14ac:dyDescent="0.3">
      <c r="A242" s="26" t="s">
        <v>76</v>
      </c>
      <c r="B242" s="26" t="s">
        <v>58</v>
      </c>
      <c r="C242" s="26" t="s">
        <v>25</v>
      </c>
      <c r="D242" s="26" t="s">
        <v>250</v>
      </c>
      <c r="E242" s="30">
        <v>50.259122259999998</v>
      </c>
      <c r="F242" s="30">
        <v>-120.4079589</v>
      </c>
      <c r="G242" s="30">
        <v>120.82707692300001</v>
      </c>
      <c r="H242" s="6" t="s">
        <v>22</v>
      </c>
      <c r="I242" s="6" t="s">
        <v>22</v>
      </c>
      <c r="J242" s="30">
        <v>214.05467944246581</v>
      </c>
      <c r="K242" s="30">
        <v>94.085193713019265</v>
      </c>
      <c r="L242" s="6" t="s">
        <v>22</v>
      </c>
      <c r="M242" s="30">
        <v>1.4</v>
      </c>
      <c r="N242" s="30">
        <v>9.4</v>
      </c>
      <c r="O242" s="6">
        <f>Table1[[#This Row],[R1 Length (km)]]+Table1[[#This Row],[T1 Length (km)]]</f>
        <v>10.8</v>
      </c>
      <c r="P242" s="31">
        <v>130</v>
      </c>
      <c r="Q242" s="6">
        <f>(Table1[[#This Row],[Linear Features (km)]]*1)*100</f>
        <v>1080</v>
      </c>
      <c r="R242" s="30">
        <v>212.22</v>
      </c>
      <c r="S242" s="29">
        <f>Table1[[#This Row],[ATG (ha)]]/Table1[[#This Row],[Linear Area (ha)]]</f>
        <v>0.19650000000000001</v>
      </c>
      <c r="T242" s="9" t="s">
        <v>22</v>
      </c>
      <c r="U242" s="9" t="s">
        <v>22</v>
      </c>
      <c r="V242" s="30">
        <v>212.22</v>
      </c>
      <c r="W242" s="30">
        <v>84.888000000000005</v>
      </c>
      <c r="X242" s="31">
        <v>11892.3846554756</v>
      </c>
      <c r="Y242" s="27">
        <f>Table1[[#This Row],[Raw Terrestrial Score]]/Table1[[#This Row],[Summed Raw Scores]]</f>
        <v>0.74247291613850708</v>
      </c>
      <c r="Z242" s="31">
        <v>4124.8792702257597</v>
      </c>
      <c r="AA242" s="27">
        <f>Table1[[#This Row],[Raw Freshwater Score]]/Table1[[#This Row],[Summed Raw Scores]]</f>
        <v>0.25752708386149292</v>
      </c>
      <c r="AB242" s="27">
        <f>Table1[[#This Row],[Raw Terrestrial Score]]+Table1[[#This Row],[Raw Freshwater Score]]</f>
        <v>16017.26392570136</v>
      </c>
      <c r="AC242" s="28">
        <f>Table1[[#This Row],[Terrestrial % of Summed Score]]*Table1[[#This Row],[Scaled Summed Score]]</f>
        <v>7.0515135781964694E-2</v>
      </c>
      <c r="AD242" s="28">
        <f>Table1[[#This Row],[Freshwater % of Summed Score]]*Table1[[#This Row],[Scaled Summed Score]]</f>
        <v>2.4458208361958549E-2</v>
      </c>
      <c r="AE242" s="29">
        <f>Table1[[#This Row],[Summed Raw Scores]]/MAX(Table1[Summed Raw Scores])</f>
        <v>9.4973344143923236E-2</v>
      </c>
    </row>
    <row r="243" spans="1:31" hidden="1" x14ac:dyDescent="0.3">
      <c r="A243" s="26" t="s">
        <v>77</v>
      </c>
      <c r="B243" s="26" t="s">
        <v>58</v>
      </c>
      <c r="C243" s="26" t="s">
        <v>25</v>
      </c>
      <c r="D243" s="26" t="s">
        <v>250</v>
      </c>
      <c r="E243" s="30">
        <v>50.271603509999998</v>
      </c>
      <c r="F243" s="30">
        <v>-120.3255542</v>
      </c>
      <c r="G243" s="30">
        <v>109.063384615</v>
      </c>
      <c r="H243" s="6" t="s">
        <v>22</v>
      </c>
      <c r="I243" s="6" t="s">
        <v>22</v>
      </c>
      <c r="J243" s="30">
        <v>193.898406513547</v>
      </c>
      <c r="K243" s="30">
        <v>94.756406942562222</v>
      </c>
      <c r="L243" s="6" t="s">
        <v>22</v>
      </c>
      <c r="M243" s="30">
        <v>0.6</v>
      </c>
      <c r="N243" s="30">
        <v>12.1</v>
      </c>
      <c r="O243" s="6">
        <f>Table1[[#This Row],[R1 Length (km)]]+Table1[[#This Row],[T1 Length (km)]]</f>
        <v>12.7</v>
      </c>
      <c r="P243" s="31">
        <v>130</v>
      </c>
      <c r="Q243" s="6">
        <f>(Table1[[#This Row],[Linear Features (km)]]*1)*100</f>
        <v>1270</v>
      </c>
      <c r="R243" s="30">
        <v>220.32</v>
      </c>
      <c r="S243" s="29">
        <f>Table1[[#This Row],[ATG (ha)]]/Table1[[#This Row],[Linear Area (ha)]]</f>
        <v>0.17348031496062991</v>
      </c>
      <c r="T243" s="9" t="s">
        <v>22</v>
      </c>
      <c r="U243" s="9" t="s">
        <v>22</v>
      </c>
      <c r="V243" s="30">
        <v>220.32</v>
      </c>
      <c r="W243" s="30">
        <v>88.128</v>
      </c>
      <c r="X243" s="31">
        <v>12192.5260981023</v>
      </c>
      <c r="Y243" s="27">
        <f>Table1[[#This Row],[Raw Terrestrial Score]]/Table1[[#This Row],[Summed Raw Scores]]</f>
        <v>0.77989656344166358</v>
      </c>
      <c r="Z243" s="31">
        <v>3440.99079328775</v>
      </c>
      <c r="AA243" s="27">
        <f>Table1[[#This Row],[Raw Freshwater Score]]/Table1[[#This Row],[Summed Raw Scores]]</f>
        <v>0.22010343655833636</v>
      </c>
      <c r="AB243" s="27">
        <f>Table1[[#This Row],[Raw Terrestrial Score]]+Table1[[#This Row],[Raw Freshwater Score]]</f>
        <v>15633.516891390051</v>
      </c>
      <c r="AC243" s="28">
        <f>Table1[[#This Row],[Terrestrial % of Summed Score]]*Table1[[#This Row],[Scaled Summed Score]]</f>
        <v>7.2294805309461155E-2</v>
      </c>
      <c r="AD243" s="28">
        <f>Table1[[#This Row],[Freshwater % of Summed Score]]*Table1[[#This Row],[Scaled Summed Score]]</f>
        <v>2.0403135287207236E-2</v>
      </c>
      <c r="AE243" s="29">
        <f>Table1[[#This Row],[Summed Raw Scores]]/MAX(Table1[Summed Raw Scores])</f>
        <v>9.2697940596668402E-2</v>
      </c>
    </row>
    <row r="244" spans="1:31" hidden="1" x14ac:dyDescent="0.3">
      <c r="A244" s="26" t="s">
        <v>380</v>
      </c>
      <c r="B244" s="26" t="s">
        <v>58</v>
      </c>
      <c r="C244" s="26" t="s">
        <v>56</v>
      </c>
      <c r="D244" s="26"/>
      <c r="E244" s="18">
        <v>50.343959480000002</v>
      </c>
      <c r="F244" s="18">
        <v>-120.18214399999999</v>
      </c>
      <c r="G244" s="18">
        <v>24.524307690000001</v>
      </c>
      <c r="H244" s="26" t="s">
        <v>22</v>
      </c>
      <c r="I244" s="26" t="s">
        <v>22</v>
      </c>
      <c r="J244" s="18">
        <v>43.596539389999997</v>
      </c>
      <c r="K244" s="18">
        <v>153.91789869999999</v>
      </c>
      <c r="L244" s="6" t="s">
        <v>22</v>
      </c>
      <c r="M244" s="18">
        <v>0.3</v>
      </c>
      <c r="N244" s="18">
        <v>31.7</v>
      </c>
      <c r="O244" s="6">
        <f>Table1[[#This Row],[R1 Length (km)]]+Table1[[#This Row],[T1 Length (km)]]</f>
        <v>32</v>
      </c>
      <c r="P244" s="25">
        <v>69</v>
      </c>
      <c r="Q244" s="6">
        <f>(Table1[[#This Row],[Linear Features (km)]]*1)*100</f>
        <v>3200</v>
      </c>
      <c r="R244" s="18">
        <v>99.63</v>
      </c>
      <c r="S244" s="8">
        <f>Table1[[#This Row],[ATG (ha)]]/Table1[[#This Row],[Linear Area (ha)]]</f>
        <v>3.1134374999999999E-2</v>
      </c>
      <c r="T244" s="9" t="s">
        <v>22</v>
      </c>
      <c r="U244" s="9" t="s">
        <v>22</v>
      </c>
      <c r="V244" s="18">
        <v>99.63</v>
      </c>
      <c r="W244" s="18">
        <v>39.851999999999997</v>
      </c>
      <c r="X244" s="31">
        <v>10641.7017874094</v>
      </c>
      <c r="Y244" s="27">
        <f>Table1[[#This Row],[Raw Terrestrial Score]]/Table1[[#This Row],[Summed Raw Scores]]</f>
        <v>0.46979719490517652</v>
      </c>
      <c r="Z244" s="31">
        <v>12009.9911192656</v>
      </c>
      <c r="AA244" s="27">
        <f>Table1[[#This Row],[Raw Freshwater Score]]/Table1[[#This Row],[Summed Raw Scores]]</f>
        <v>0.53020280509482343</v>
      </c>
      <c r="AB244" s="27">
        <f>Table1[[#This Row],[Raw Terrestrial Score]]+Table1[[#This Row],[Raw Freshwater Score]]</f>
        <v>22651.692906675002</v>
      </c>
      <c r="AC244" s="28">
        <f>Table1[[#This Row],[Terrestrial % of Summed Score]]*Table1[[#This Row],[Scaled Summed Score]]</f>
        <v>6.3099291540729283E-2</v>
      </c>
      <c r="AD244" s="28">
        <f>Table1[[#This Row],[Freshwater % of Summed Score]]*Table1[[#This Row],[Scaled Summed Score]]</f>
        <v>7.1212475802762812E-2</v>
      </c>
      <c r="AE244" s="29">
        <f>Table1[[#This Row],[Summed Raw Scores]]/MAX(Table1[Summed Raw Scores])</f>
        <v>0.13431176734349209</v>
      </c>
    </row>
    <row r="245" spans="1:31" hidden="1" x14ac:dyDescent="0.3">
      <c r="A245" s="26" t="s">
        <v>78</v>
      </c>
      <c r="B245" s="26" t="s">
        <v>58</v>
      </c>
      <c r="C245" s="26" t="s">
        <v>25</v>
      </c>
      <c r="D245" s="26" t="s">
        <v>250</v>
      </c>
      <c r="E245" s="30">
        <v>50.19913579</v>
      </c>
      <c r="F245" s="30">
        <v>-120.46858469999999</v>
      </c>
      <c r="G245" s="30">
        <v>94.7076923077</v>
      </c>
      <c r="H245" s="6" t="s">
        <v>22</v>
      </c>
      <c r="I245" s="6" t="s">
        <v>22</v>
      </c>
      <c r="J245" s="30">
        <v>167.4049309600608</v>
      </c>
      <c r="K245" s="30">
        <v>95.403752700978643</v>
      </c>
      <c r="L245" s="6" t="s">
        <v>22</v>
      </c>
      <c r="M245" s="30">
        <v>0.3</v>
      </c>
      <c r="N245" s="30">
        <v>6.4</v>
      </c>
      <c r="O245" s="6">
        <f>Table1[[#This Row],[R1 Length (km)]]+Table1[[#This Row],[T1 Length (km)]]</f>
        <v>6.7</v>
      </c>
      <c r="P245" s="31">
        <v>130</v>
      </c>
      <c r="Q245" s="6">
        <f>(Table1[[#This Row],[Linear Features (km)]]*1)*100</f>
        <v>670</v>
      </c>
      <c r="R245" s="30">
        <v>332.1</v>
      </c>
      <c r="S245" s="29">
        <f>Table1[[#This Row],[ATG (ha)]]/Table1[[#This Row],[Linear Area (ha)]]</f>
        <v>0.49567164179104484</v>
      </c>
      <c r="T245" s="9" t="s">
        <v>22</v>
      </c>
      <c r="U245" s="9" t="s">
        <v>22</v>
      </c>
      <c r="V245" s="30">
        <v>332.1</v>
      </c>
      <c r="W245" s="30">
        <v>132.84</v>
      </c>
      <c r="X245" s="31">
        <v>8940.9686203002893</v>
      </c>
      <c r="Y245" s="27">
        <f>Table1[[#This Row],[Raw Terrestrial Score]]/Table1[[#This Row],[Summed Raw Scores]]</f>
        <v>0.75529714591004349</v>
      </c>
      <c r="Z245" s="31">
        <v>2896.71495723724</v>
      </c>
      <c r="AA245" s="27">
        <f>Table1[[#This Row],[Raw Freshwater Score]]/Table1[[#This Row],[Summed Raw Scores]]</f>
        <v>0.24470285408995648</v>
      </c>
      <c r="AB245" s="27">
        <f>Table1[[#This Row],[Raw Terrestrial Score]]+Table1[[#This Row],[Raw Freshwater Score]]</f>
        <v>11837.683577537529</v>
      </c>
      <c r="AC245" s="28">
        <f>Table1[[#This Row],[Terrestrial % of Summed Score]]*Table1[[#This Row],[Scaled Summed Score]]</f>
        <v>5.3014902775825698E-2</v>
      </c>
      <c r="AD245" s="28">
        <f>Table1[[#This Row],[Freshwater % of Summed Score]]*Table1[[#This Row],[Scaled Summed Score]]</f>
        <v>1.717588645580714E-2</v>
      </c>
      <c r="AE245" s="29">
        <f>Table1[[#This Row],[Summed Raw Scores]]/MAX(Table1[Summed Raw Scores])</f>
        <v>7.0190789231632841E-2</v>
      </c>
    </row>
    <row r="246" spans="1:31" hidden="1" x14ac:dyDescent="0.3">
      <c r="A246" s="26" t="s">
        <v>79</v>
      </c>
      <c r="B246" s="26" t="s">
        <v>58</v>
      </c>
      <c r="C246" s="26" t="s">
        <v>25</v>
      </c>
      <c r="D246" s="26"/>
      <c r="E246" s="30">
        <v>50.139135750000001</v>
      </c>
      <c r="F246" s="30">
        <v>-120.52907759999999</v>
      </c>
      <c r="G246" s="30">
        <v>80.750769230800003</v>
      </c>
      <c r="H246" s="6" t="s">
        <v>22</v>
      </c>
      <c r="I246" s="6" t="s">
        <v>22</v>
      </c>
      <c r="J246" s="30">
        <v>143.20395404186112</v>
      </c>
      <c r="K246" s="30">
        <v>99.189509910556936</v>
      </c>
      <c r="L246" s="6" t="s">
        <v>22</v>
      </c>
      <c r="M246" s="30">
        <v>1.4</v>
      </c>
      <c r="N246" s="30">
        <v>11.8</v>
      </c>
      <c r="O246" s="6">
        <f>Table1[[#This Row],[R1 Length (km)]]+Table1[[#This Row],[T1 Length (km)]]</f>
        <v>13.200000000000001</v>
      </c>
      <c r="P246" s="31">
        <v>130</v>
      </c>
      <c r="Q246" s="6">
        <f>(Table1[[#This Row],[Linear Features (km)]]*1)*100</f>
        <v>1320</v>
      </c>
      <c r="R246" s="30">
        <v>1087.83</v>
      </c>
      <c r="S246" s="29">
        <f>Table1[[#This Row],[ATG (ha)]]/Table1[[#This Row],[Linear Area (ha)]]</f>
        <v>0.82411363636363633</v>
      </c>
      <c r="T246" s="9" t="s">
        <v>22</v>
      </c>
      <c r="U246" s="9" t="s">
        <v>22</v>
      </c>
      <c r="V246" s="30">
        <v>1087.83</v>
      </c>
      <c r="W246" s="30">
        <v>435.13200000000001</v>
      </c>
      <c r="X246" s="31">
        <v>18668.9758455753</v>
      </c>
      <c r="Y246" s="27">
        <f>Table1[[#This Row],[Raw Terrestrial Score]]/Table1[[#This Row],[Summed Raw Scores]]</f>
        <v>0.71300457592265443</v>
      </c>
      <c r="Z246" s="31">
        <v>7514.5529507398596</v>
      </c>
      <c r="AA246" s="27">
        <f>Table1[[#This Row],[Raw Freshwater Score]]/Table1[[#This Row],[Summed Raw Scores]]</f>
        <v>0.28699542407734557</v>
      </c>
      <c r="AB246" s="27">
        <f>Table1[[#This Row],[Raw Terrestrial Score]]+Table1[[#This Row],[Raw Freshwater Score]]</f>
        <v>26183.52879631516</v>
      </c>
      <c r="AC246" s="28">
        <f>Table1[[#This Row],[Terrestrial % of Summed Score]]*Table1[[#This Row],[Scaled Summed Score]]</f>
        <v>0.11069650072702883</v>
      </c>
      <c r="AD246" s="28">
        <f>Table1[[#This Row],[Freshwater % of Summed Score]]*Table1[[#This Row],[Scaled Summed Score]]</f>
        <v>4.4557062104294436E-2</v>
      </c>
      <c r="AE246" s="29">
        <f>Table1[[#This Row],[Summed Raw Scores]]/MAX(Table1[Summed Raw Scores])</f>
        <v>0.15525356283132327</v>
      </c>
    </row>
    <row r="247" spans="1:31" hidden="1" x14ac:dyDescent="0.3">
      <c r="A247" s="26" t="s">
        <v>273</v>
      </c>
      <c r="B247" s="26" t="s">
        <v>58</v>
      </c>
      <c r="C247" s="26" t="s">
        <v>25</v>
      </c>
      <c r="D247" s="26"/>
      <c r="E247" s="18">
        <v>50.211645599999997</v>
      </c>
      <c r="F247" s="18">
        <v>-120.3862843</v>
      </c>
      <c r="G247" s="18">
        <v>18.742153850000001</v>
      </c>
      <c r="H247" s="26" t="s">
        <v>22</v>
      </c>
      <c r="I247" s="26" t="s">
        <v>22</v>
      </c>
      <c r="J247" s="18">
        <v>32.841897879999998</v>
      </c>
      <c r="K247" s="18">
        <v>122.6430184</v>
      </c>
      <c r="L247" s="6" t="s">
        <v>22</v>
      </c>
      <c r="M247" s="18">
        <v>2.8</v>
      </c>
      <c r="N247" s="18">
        <v>3.6</v>
      </c>
      <c r="O247" s="6">
        <f>Table1[[#This Row],[R1 Length (km)]]+Table1[[#This Row],[T1 Length (km)]]</f>
        <v>6.4</v>
      </c>
      <c r="P247" s="25">
        <v>25</v>
      </c>
      <c r="Q247" s="6">
        <f>(Table1[[#This Row],[Linear Features (km)]]*1)*100</f>
        <v>640</v>
      </c>
      <c r="R247" s="18">
        <v>76.14</v>
      </c>
      <c r="S247" s="8">
        <f>Table1[[#This Row],[ATG (ha)]]/Table1[[#This Row],[Linear Area (ha)]]</f>
        <v>0.11896875</v>
      </c>
      <c r="T247" s="9" t="s">
        <v>22</v>
      </c>
      <c r="U247" s="9" t="s">
        <v>22</v>
      </c>
      <c r="V247" s="18">
        <v>76.14</v>
      </c>
      <c r="W247" s="18">
        <v>30.456</v>
      </c>
      <c r="X247" s="31">
        <v>6835.1795878410303</v>
      </c>
      <c r="Y247" s="27">
        <f>Table1[[#This Row],[Raw Terrestrial Score]]/Table1[[#This Row],[Summed Raw Scores]]</f>
        <v>0.76172891629643591</v>
      </c>
      <c r="Z247" s="31">
        <v>2138.0646222829801</v>
      </c>
      <c r="AA247" s="27">
        <f>Table1[[#This Row],[Raw Freshwater Score]]/Table1[[#This Row],[Summed Raw Scores]]</f>
        <v>0.23827108370356412</v>
      </c>
      <c r="AB247" s="27">
        <f>Table1[[#This Row],[Raw Terrestrial Score]]+Table1[[#This Row],[Raw Freshwater Score]]</f>
        <v>8973.2442101240104</v>
      </c>
      <c r="AC247" s="28">
        <f>Table1[[#This Row],[Terrestrial % of Summed Score]]*Table1[[#This Row],[Scaled Summed Score]]</f>
        <v>4.0528761110060832E-2</v>
      </c>
      <c r="AD247" s="28">
        <f>Table1[[#This Row],[Freshwater % of Summed Score]]*Table1[[#This Row],[Scaled Summed Score]]</f>
        <v>1.2677517715631774E-2</v>
      </c>
      <c r="AE247" s="29">
        <f>Table1[[#This Row],[Summed Raw Scores]]/MAX(Table1[Summed Raw Scores])</f>
        <v>5.3206278825692607E-2</v>
      </c>
    </row>
    <row r="248" spans="1:31" hidden="1" x14ac:dyDescent="0.3">
      <c r="A248" s="26" t="s">
        <v>80</v>
      </c>
      <c r="B248" s="26" t="s">
        <v>58</v>
      </c>
      <c r="C248" s="26" t="s">
        <v>25</v>
      </c>
      <c r="D248" s="26"/>
      <c r="E248" s="30">
        <v>50.224114569999998</v>
      </c>
      <c r="F248" s="30">
        <v>-120.3039462</v>
      </c>
      <c r="G248" s="30">
        <v>54.631384615400002</v>
      </c>
      <c r="H248" s="6" t="s">
        <v>22</v>
      </c>
      <c r="I248" s="6" t="s">
        <v>22</v>
      </c>
      <c r="J248" s="30">
        <v>96.373479993960956</v>
      </c>
      <c r="K248" s="30">
        <v>104.50362561373343</v>
      </c>
      <c r="L248" s="6" t="s">
        <v>22</v>
      </c>
      <c r="M248" s="30">
        <v>0.3</v>
      </c>
      <c r="N248" s="30">
        <v>7.9</v>
      </c>
      <c r="O248" s="6">
        <f>Table1[[#This Row],[R1 Length (km)]]+Table1[[#This Row],[T1 Length (km)]]</f>
        <v>8.2000000000000011</v>
      </c>
      <c r="P248" s="31">
        <v>130</v>
      </c>
      <c r="Q248" s="6">
        <f>(Table1[[#This Row],[Linear Features (km)]]*1)*100</f>
        <v>820.00000000000011</v>
      </c>
      <c r="R248" s="30">
        <v>1395.63</v>
      </c>
      <c r="S248" s="29">
        <f>Table1[[#This Row],[ATG (ha)]]/Table1[[#This Row],[Linear Area (ha)]]</f>
        <v>1.7019878048780486</v>
      </c>
      <c r="T248" s="9" t="s">
        <v>22</v>
      </c>
      <c r="U248" s="9" t="s">
        <v>22</v>
      </c>
      <c r="V248" s="30">
        <v>1395.63</v>
      </c>
      <c r="W248" s="30">
        <v>558.25200000000007</v>
      </c>
      <c r="X248" s="31">
        <v>15693.135037898999</v>
      </c>
      <c r="Y248" s="27">
        <f>Table1[[#This Row],[Raw Terrestrial Score]]/Table1[[#This Row],[Summed Raw Scores]]</f>
        <v>0.74616928929502202</v>
      </c>
      <c r="Z248" s="31">
        <v>5338.4663199186298</v>
      </c>
      <c r="AA248" s="27">
        <f>Table1[[#This Row],[Raw Freshwater Score]]/Table1[[#This Row],[Summed Raw Scores]]</f>
        <v>0.25383071070497804</v>
      </c>
      <c r="AB248" s="27">
        <f>Table1[[#This Row],[Raw Terrestrial Score]]+Table1[[#This Row],[Raw Freshwater Score]]</f>
        <v>21031.601357817628</v>
      </c>
      <c r="AC248" s="28">
        <f>Table1[[#This Row],[Terrestrial % of Summed Score]]*Table1[[#This Row],[Scaled Summed Score]]</f>
        <v>9.3051442591258859E-2</v>
      </c>
      <c r="AD248" s="28">
        <f>Table1[[#This Row],[Freshwater % of Summed Score]]*Table1[[#This Row],[Scaled Summed Score]]</f>
        <v>3.1654095315793739E-2</v>
      </c>
      <c r="AE248" s="29">
        <f>Table1[[#This Row],[Summed Raw Scores]]/MAX(Table1[Summed Raw Scores])</f>
        <v>0.12470553790705259</v>
      </c>
    </row>
    <row r="249" spans="1:31" hidden="1" x14ac:dyDescent="0.3">
      <c r="A249" s="26" t="s">
        <v>377</v>
      </c>
      <c r="B249" s="26" t="s">
        <v>58</v>
      </c>
      <c r="C249" s="26" t="s">
        <v>87</v>
      </c>
      <c r="D249" s="26"/>
      <c r="E249" s="18">
        <v>50.310949569999998</v>
      </c>
      <c r="F249" s="18">
        <v>-119.3749413</v>
      </c>
      <c r="G249" s="18">
        <v>24.324923080000001</v>
      </c>
      <c r="H249" s="26" t="s">
        <v>22</v>
      </c>
      <c r="I249" s="26" t="s">
        <v>22</v>
      </c>
      <c r="J249" s="18">
        <v>40.523809929999999</v>
      </c>
      <c r="K249" s="18">
        <v>152.45944030000001</v>
      </c>
      <c r="L249" s="6" t="s">
        <v>22</v>
      </c>
      <c r="M249" s="18">
        <v>0</v>
      </c>
      <c r="N249" s="18">
        <v>13.3</v>
      </c>
      <c r="O249" s="6">
        <f>Table1[[#This Row],[R1 Length (km)]]+Table1[[#This Row],[T1 Length (km)]]</f>
        <v>13.3</v>
      </c>
      <c r="P249" s="25">
        <v>69</v>
      </c>
      <c r="Q249" s="6">
        <f>(Table1[[#This Row],[Linear Features (km)]]*1)*100</f>
        <v>1330</v>
      </c>
      <c r="R249" s="18">
        <v>98.82</v>
      </c>
      <c r="S249" s="8">
        <f>Table1[[#This Row],[ATG (ha)]]/Table1[[#This Row],[Linear Area (ha)]]</f>
        <v>7.4300751879699242E-2</v>
      </c>
      <c r="T249" s="9" t="s">
        <v>22</v>
      </c>
      <c r="U249" s="9" t="s">
        <v>22</v>
      </c>
      <c r="V249" s="18">
        <v>98.82</v>
      </c>
      <c r="W249" s="18">
        <v>39.527999999999999</v>
      </c>
      <c r="X249" s="31">
        <v>14184.814102411299</v>
      </c>
      <c r="Y249" s="27">
        <f>Table1[[#This Row],[Raw Terrestrial Score]]/Table1[[#This Row],[Summed Raw Scores]]</f>
        <v>0.88750665810463314</v>
      </c>
      <c r="Z249" s="31">
        <v>1797.9551228974001</v>
      </c>
      <c r="AA249" s="27">
        <f>Table1[[#This Row],[Raw Freshwater Score]]/Table1[[#This Row],[Summed Raw Scores]]</f>
        <v>0.11249334189536692</v>
      </c>
      <c r="AB249" s="27">
        <f>Table1[[#This Row],[Raw Terrestrial Score]]+Table1[[#This Row],[Raw Freshwater Score]]</f>
        <v>15982.769225308699</v>
      </c>
      <c r="AC249" s="28">
        <f>Table1[[#This Row],[Terrestrial % of Summed Score]]*Table1[[#This Row],[Scaled Summed Score]]</f>
        <v>8.4107949873023904E-2</v>
      </c>
      <c r="AD249" s="28">
        <f>Table1[[#This Row],[Freshwater % of Summed Score]]*Table1[[#This Row],[Scaled Summed Score]]</f>
        <v>1.0660860146548873E-2</v>
      </c>
      <c r="AE249" s="29">
        <f>Table1[[#This Row],[Summed Raw Scores]]/MAX(Table1[Summed Raw Scores])</f>
        <v>9.4768810019572769E-2</v>
      </c>
    </row>
    <row r="250" spans="1:31" hidden="1" x14ac:dyDescent="0.3">
      <c r="A250" s="26" t="s">
        <v>382</v>
      </c>
      <c r="B250" s="26" t="s">
        <v>58</v>
      </c>
      <c r="C250" s="26" t="s">
        <v>87</v>
      </c>
      <c r="D250" s="26"/>
      <c r="E250" s="18">
        <v>50.382118050000003</v>
      </c>
      <c r="F250" s="18">
        <v>-118.8781165</v>
      </c>
      <c r="G250" s="18">
        <v>12.56123077</v>
      </c>
      <c r="H250" s="26" t="s">
        <v>22</v>
      </c>
      <c r="I250" s="26" t="s">
        <v>22</v>
      </c>
      <c r="J250" s="18">
        <v>20.334816409999998</v>
      </c>
      <c r="K250" s="18">
        <v>155.25047180000001</v>
      </c>
      <c r="L250" s="6" t="s">
        <v>22</v>
      </c>
      <c r="M250" s="18">
        <v>0.3</v>
      </c>
      <c r="N250" s="18">
        <v>21.8</v>
      </c>
      <c r="O250" s="6">
        <f>Table1[[#This Row],[R1 Length (km)]]+Table1[[#This Row],[T1 Length (km)]]</f>
        <v>22.1</v>
      </c>
      <c r="P250" s="25">
        <v>25</v>
      </c>
      <c r="Q250" s="6">
        <f>(Table1[[#This Row],[Linear Features (km)]]*1)*100</f>
        <v>2210</v>
      </c>
      <c r="R250" s="18">
        <v>51.03</v>
      </c>
      <c r="S250" s="8">
        <f>Table1[[#This Row],[ATG (ha)]]/Table1[[#This Row],[Linear Area (ha)]]</f>
        <v>2.3090497737556562E-2</v>
      </c>
      <c r="T250" s="9" t="s">
        <v>22</v>
      </c>
      <c r="U250" s="9" t="s">
        <v>22</v>
      </c>
      <c r="V250" s="18">
        <v>51.03</v>
      </c>
      <c r="W250" s="18">
        <v>20.411999999999999</v>
      </c>
      <c r="X250" s="31">
        <v>4665.2010022103796</v>
      </c>
      <c r="Y250" s="27">
        <f>Table1[[#This Row],[Raw Terrestrial Score]]/Table1[[#This Row],[Summed Raw Scores]]</f>
        <v>0.2247283353841813</v>
      </c>
      <c r="Z250" s="31">
        <v>16094.090407282099</v>
      </c>
      <c r="AA250" s="27">
        <f>Table1[[#This Row],[Raw Freshwater Score]]/Table1[[#This Row],[Summed Raw Scores]]</f>
        <v>0.77527166461581876</v>
      </c>
      <c r="AB250" s="27">
        <f>Table1[[#This Row],[Raw Terrestrial Score]]+Table1[[#This Row],[Raw Freshwater Score]]</f>
        <v>20759.291409492478</v>
      </c>
      <c r="AC250" s="28">
        <f>Table1[[#This Row],[Terrestrial % of Summed Score]]*Table1[[#This Row],[Scaled Summed Score]]</f>
        <v>2.766201158567105E-2</v>
      </c>
      <c r="AD250" s="28">
        <f>Table1[[#This Row],[Freshwater % of Summed Score]]*Table1[[#This Row],[Scaled Summed Score]]</f>
        <v>9.5428881862998124E-2</v>
      </c>
      <c r="AE250" s="29">
        <f>Table1[[#This Row],[Summed Raw Scores]]/MAX(Table1[Summed Raw Scores])</f>
        <v>0.12309089344866916</v>
      </c>
    </row>
    <row r="251" spans="1:31" hidden="1" x14ac:dyDescent="0.3">
      <c r="A251" s="26" t="s">
        <v>391</v>
      </c>
      <c r="B251" s="26" t="s">
        <v>58</v>
      </c>
      <c r="C251" s="26" t="s">
        <v>21</v>
      </c>
      <c r="D251" s="26"/>
      <c r="E251" s="18">
        <v>49.340927229999998</v>
      </c>
      <c r="F251" s="18">
        <v>-124.96400010000001</v>
      </c>
      <c r="G251" s="18">
        <v>22.530461540000001</v>
      </c>
      <c r="H251" s="26" t="s">
        <v>22</v>
      </c>
      <c r="I251" s="26" t="s">
        <v>22</v>
      </c>
      <c r="J251" s="18">
        <v>34.200908179999999</v>
      </c>
      <c r="K251" s="18">
        <v>158.91281029999999</v>
      </c>
      <c r="L251" s="6" t="s">
        <v>22</v>
      </c>
      <c r="M251" s="18">
        <v>1.7</v>
      </c>
      <c r="N251" s="18">
        <v>2.8</v>
      </c>
      <c r="O251" s="6">
        <f>Table1[[#This Row],[R1 Length (km)]]+Table1[[#This Row],[T1 Length (km)]]</f>
        <v>4.5</v>
      </c>
      <c r="P251" s="25">
        <v>69</v>
      </c>
      <c r="Q251" s="6">
        <f>(Table1[[#This Row],[Linear Features (km)]]*1)*100</f>
        <v>450</v>
      </c>
      <c r="R251" s="18">
        <v>91.53</v>
      </c>
      <c r="S251" s="8">
        <f>Table1[[#This Row],[ATG (ha)]]/Table1[[#This Row],[Linear Area (ha)]]</f>
        <v>0.2034</v>
      </c>
      <c r="T251" s="9" t="s">
        <v>22</v>
      </c>
      <c r="U251" s="9" t="s">
        <v>22</v>
      </c>
      <c r="V251" s="18">
        <v>91.53</v>
      </c>
      <c r="W251" s="18">
        <v>36.612000000000002</v>
      </c>
      <c r="X251" s="31">
        <v>3951.3552249558302</v>
      </c>
      <c r="Y251" s="27">
        <f>Table1[[#This Row],[Raw Terrestrial Score]]/Table1[[#This Row],[Summed Raw Scores]]</f>
        <v>0.6065664740156923</v>
      </c>
      <c r="Z251" s="31">
        <v>2562.9435274899001</v>
      </c>
      <c r="AA251" s="27">
        <f>Table1[[#This Row],[Raw Freshwater Score]]/Table1[[#This Row],[Summed Raw Scores]]</f>
        <v>0.39343352598430764</v>
      </c>
      <c r="AB251" s="27">
        <f>Table1[[#This Row],[Raw Terrestrial Score]]+Table1[[#This Row],[Raw Freshwater Score]]</f>
        <v>6514.2987524457303</v>
      </c>
      <c r="AC251" s="28">
        <f>Table1[[#This Row],[Terrestrial % of Summed Score]]*Table1[[#This Row],[Scaled Summed Score]]</f>
        <v>2.3429308610720595E-2</v>
      </c>
      <c r="AD251" s="28">
        <f>Table1[[#This Row],[Freshwater % of Summed Score]]*Table1[[#This Row],[Scaled Summed Score]]</f>
        <v>1.5196810066116234E-2</v>
      </c>
      <c r="AE251" s="29">
        <f>Table1[[#This Row],[Summed Raw Scores]]/MAX(Table1[Summed Raw Scores])</f>
        <v>3.8626118676836831E-2</v>
      </c>
    </row>
    <row r="252" spans="1:31" hidden="1" x14ac:dyDescent="0.3">
      <c r="A252" s="26" t="s">
        <v>367</v>
      </c>
      <c r="B252" s="26" t="s">
        <v>58</v>
      </c>
      <c r="C252" s="26" t="s">
        <v>21</v>
      </c>
      <c r="D252" s="26"/>
      <c r="E252" s="18">
        <v>49.294201639999997</v>
      </c>
      <c r="F252" s="18">
        <v>-124.938819</v>
      </c>
      <c r="G252" s="18">
        <v>13.757538459999999</v>
      </c>
      <c r="H252" s="26" t="s">
        <v>22</v>
      </c>
      <c r="I252" s="26" t="s">
        <v>22</v>
      </c>
      <c r="J252" s="18">
        <v>21.000400800000001</v>
      </c>
      <c r="K252" s="18">
        <v>146.74781540000001</v>
      </c>
      <c r="L252" s="6" t="s">
        <v>22</v>
      </c>
      <c r="M252" s="18">
        <v>0</v>
      </c>
      <c r="N252" s="18">
        <v>3.1</v>
      </c>
      <c r="O252" s="6">
        <f>Table1[[#This Row],[R1 Length (km)]]+Table1[[#This Row],[T1 Length (km)]]</f>
        <v>3.1</v>
      </c>
      <c r="P252" s="25">
        <v>25</v>
      </c>
      <c r="Q252" s="6">
        <f>(Table1[[#This Row],[Linear Features (km)]]*1)*100</f>
        <v>310</v>
      </c>
      <c r="R252" s="18">
        <v>55.89</v>
      </c>
      <c r="S252" s="8">
        <f>Table1[[#This Row],[ATG (ha)]]/Table1[[#This Row],[Linear Area (ha)]]</f>
        <v>0.18029032258064517</v>
      </c>
      <c r="T252" s="9" t="s">
        <v>22</v>
      </c>
      <c r="U252" s="9" t="s">
        <v>22</v>
      </c>
      <c r="V252" s="18">
        <v>55.89</v>
      </c>
      <c r="W252" s="18">
        <v>22.356000000000002</v>
      </c>
      <c r="X252" s="31">
        <v>2435.7539587561</v>
      </c>
      <c r="Y252" s="27">
        <f>Table1[[#This Row],[Raw Terrestrial Score]]/Table1[[#This Row],[Summed Raw Scores]]</f>
        <v>0.64202291009312351</v>
      </c>
      <c r="Z252" s="31">
        <v>1358.11993649602</v>
      </c>
      <c r="AA252" s="27">
        <f>Table1[[#This Row],[Raw Freshwater Score]]/Table1[[#This Row],[Summed Raw Scores]]</f>
        <v>0.35797708990687654</v>
      </c>
      <c r="AB252" s="27">
        <f>Table1[[#This Row],[Raw Terrestrial Score]]+Table1[[#This Row],[Raw Freshwater Score]]</f>
        <v>3793.8738952521198</v>
      </c>
      <c r="AC252" s="28">
        <f>Table1[[#This Row],[Terrestrial % of Summed Score]]*Table1[[#This Row],[Scaled Summed Score]]</f>
        <v>1.4442647636196517E-2</v>
      </c>
      <c r="AD252" s="28">
        <f>Table1[[#This Row],[Freshwater % of Summed Score]]*Table1[[#This Row],[Scaled Summed Score]]</f>
        <v>8.0528854813080517E-3</v>
      </c>
      <c r="AE252" s="29">
        <f>Table1[[#This Row],[Summed Raw Scores]]/MAX(Table1[Summed Raw Scores])</f>
        <v>2.2495533117504567E-2</v>
      </c>
    </row>
    <row r="253" spans="1:31" hidden="1" x14ac:dyDescent="0.3">
      <c r="A253" s="26" t="s">
        <v>325</v>
      </c>
      <c r="B253" s="26" t="s">
        <v>58</v>
      </c>
      <c r="C253" s="26" t="s">
        <v>25</v>
      </c>
      <c r="D253" s="26"/>
      <c r="E253" s="18">
        <v>50.015678680000001</v>
      </c>
      <c r="F253" s="18">
        <v>-120.9993331</v>
      </c>
      <c r="G253" s="18">
        <v>29.508923079999999</v>
      </c>
      <c r="H253" s="26" t="s">
        <v>22</v>
      </c>
      <c r="I253" s="26" t="s">
        <v>22</v>
      </c>
      <c r="J253" s="10">
        <v>53.844024699999999</v>
      </c>
      <c r="K253" s="10">
        <v>132.96401069999999</v>
      </c>
      <c r="L253" s="6" t="s">
        <v>22</v>
      </c>
      <c r="M253" s="18">
        <v>0</v>
      </c>
      <c r="N253" s="18">
        <v>20.6</v>
      </c>
      <c r="O253" s="6">
        <f>Table1[[#This Row],[R1 Length (km)]]+Table1[[#This Row],[T1 Length (km)]]</f>
        <v>20.6</v>
      </c>
      <c r="P253" s="25">
        <v>69</v>
      </c>
      <c r="Q253" s="6">
        <f>(Table1[[#This Row],[Linear Features (km)]]*1)*100</f>
        <v>2060</v>
      </c>
      <c r="R253" s="18">
        <v>119.88</v>
      </c>
      <c r="S253" s="8">
        <f>Table1[[#This Row],[ATG (ha)]]/Table1[[#This Row],[Linear Area (ha)]]</f>
        <v>5.8194174757281551E-2</v>
      </c>
      <c r="T253" s="9" t="s">
        <v>22</v>
      </c>
      <c r="U253" s="9" t="s">
        <v>22</v>
      </c>
      <c r="V253" s="18">
        <v>119.88</v>
      </c>
      <c r="W253" s="18">
        <v>47.951999999999998</v>
      </c>
      <c r="X253" s="31">
        <v>16638.522056221998</v>
      </c>
      <c r="Y253" s="27">
        <f>Table1[[#This Row],[Raw Terrestrial Score]]/Table1[[#This Row],[Summed Raw Scores]]</f>
        <v>0.46868016046000271</v>
      </c>
      <c r="Z253" s="31">
        <v>18862.280964523601</v>
      </c>
      <c r="AA253" s="27">
        <f>Table1[[#This Row],[Raw Freshwater Score]]/Table1[[#This Row],[Summed Raw Scores]]</f>
        <v>0.53131983953999717</v>
      </c>
      <c r="AB253" s="27">
        <f>Table1[[#This Row],[Raw Terrestrial Score]]+Table1[[#This Row],[Raw Freshwater Score]]</f>
        <v>35500.803020745603</v>
      </c>
      <c r="AC253" s="28">
        <f>Table1[[#This Row],[Terrestrial % of Summed Score]]*Table1[[#This Row],[Scaled Summed Score]]</f>
        <v>9.8657054576981068E-2</v>
      </c>
      <c r="AD253" s="28">
        <f>Table1[[#This Row],[Freshwater % of Summed Score]]*Table1[[#This Row],[Scaled Summed Score]]</f>
        <v>0.11184269109211362</v>
      </c>
      <c r="AE253" s="29">
        <f>Table1[[#This Row],[Summed Raw Scores]]/MAX(Table1[Summed Raw Scores])</f>
        <v>0.21049974566909471</v>
      </c>
    </row>
    <row r="254" spans="1:31" hidden="1" x14ac:dyDescent="0.3">
      <c r="A254" s="26" t="s">
        <v>287</v>
      </c>
      <c r="B254" s="26" t="s">
        <v>58</v>
      </c>
      <c r="C254" s="26" t="s">
        <v>25</v>
      </c>
      <c r="D254" s="26"/>
      <c r="E254" s="18">
        <v>50.028448560000001</v>
      </c>
      <c r="F254" s="18">
        <v>-120.9174301</v>
      </c>
      <c r="G254" s="18">
        <v>36.686769230000003</v>
      </c>
      <c r="H254" s="26" t="s">
        <v>22</v>
      </c>
      <c r="I254" s="26" t="s">
        <v>22</v>
      </c>
      <c r="J254" s="10">
        <v>65.428473449999998</v>
      </c>
      <c r="K254" s="10">
        <v>125.39183389999999</v>
      </c>
      <c r="L254" s="6" t="s">
        <v>22</v>
      </c>
      <c r="M254" s="18">
        <v>1.1000000000000001</v>
      </c>
      <c r="N254" s="18">
        <v>14.8</v>
      </c>
      <c r="O254" s="6">
        <f>Table1[[#This Row],[R1 Length (km)]]+Table1[[#This Row],[T1 Length (km)]]</f>
        <v>15.9</v>
      </c>
      <c r="P254" s="25">
        <v>69</v>
      </c>
      <c r="Q254" s="6">
        <f>(Table1[[#This Row],[Linear Features (km)]]*1)*100</f>
        <v>1590</v>
      </c>
      <c r="R254" s="18">
        <v>149.04</v>
      </c>
      <c r="S254" s="8">
        <f>Table1[[#This Row],[ATG (ha)]]/Table1[[#This Row],[Linear Area (ha)]]</f>
        <v>9.3735849056603773E-2</v>
      </c>
      <c r="T254" s="9" t="s">
        <v>22</v>
      </c>
      <c r="U254" s="9" t="s">
        <v>22</v>
      </c>
      <c r="V254" s="18">
        <v>149.04</v>
      </c>
      <c r="W254" s="18">
        <v>59.616</v>
      </c>
      <c r="X254" s="31">
        <v>15271.7984987497</v>
      </c>
      <c r="Y254" s="27">
        <f>Table1[[#This Row],[Raw Terrestrial Score]]/Table1[[#This Row],[Summed Raw Scores]]</f>
        <v>0.48980459858877978</v>
      </c>
      <c r="Z254" s="31">
        <v>15907.570871710799</v>
      </c>
      <c r="AA254" s="27">
        <f>Table1[[#This Row],[Raw Freshwater Score]]/Table1[[#This Row],[Summed Raw Scores]]</f>
        <v>0.51019540141122022</v>
      </c>
      <c r="AB254" s="27">
        <f>Table1[[#This Row],[Raw Terrestrial Score]]+Table1[[#This Row],[Raw Freshwater Score]]</f>
        <v>31179.369370460499</v>
      </c>
      <c r="AC254" s="28">
        <f>Table1[[#This Row],[Terrestrial % of Summed Score]]*Table1[[#This Row],[Scaled Summed Score]]</f>
        <v>9.0553154474221173E-2</v>
      </c>
      <c r="AD254" s="28">
        <f>Table1[[#This Row],[Freshwater % of Summed Score]]*Table1[[#This Row],[Scaled Summed Score]]</f>
        <v>9.4322926181456698E-2</v>
      </c>
      <c r="AE254" s="29">
        <f>Table1[[#This Row],[Summed Raw Scores]]/MAX(Table1[Summed Raw Scores])</f>
        <v>0.18487608065567787</v>
      </c>
    </row>
    <row r="255" spans="1:31" hidden="1" x14ac:dyDescent="0.3">
      <c r="A255" s="26" t="s">
        <v>81</v>
      </c>
      <c r="B255" s="26" t="s">
        <v>58</v>
      </c>
      <c r="C255" s="26" t="s">
        <v>25</v>
      </c>
      <c r="D255" s="26"/>
      <c r="E255" s="30">
        <v>49.968308450000002</v>
      </c>
      <c r="F255" s="30">
        <v>-120.9772438</v>
      </c>
      <c r="G255" s="30">
        <v>54.232615384600003</v>
      </c>
      <c r="H255" s="6" t="s">
        <v>22</v>
      </c>
      <c r="I255" s="6" t="s">
        <v>22</v>
      </c>
      <c r="J255" s="30">
        <v>98.156171299313655</v>
      </c>
      <c r="K255" s="30">
        <v>101.42689224013247</v>
      </c>
      <c r="L255" s="6" t="s">
        <v>22</v>
      </c>
      <c r="M255" s="30">
        <v>1.6</v>
      </c>
      <c r="N255" s="30">
        <v>23.6</v>
      </c>
      <c r="O255" s="6">
        <f>Table1[[#This Row],[R1 Length (km)]]+Table1[[#This Row],[T1 Length (km)]]</f>
        <v>25.200000000000003</v>
      </c>
      <c r="P255" s="31">
        <v>69</v>
      </c>
      <c r="Q255" s="6">
        <f>(Table1[[#This Row],[Linear Features (km)]]*1)*100</f>
        <v>2520.0000000000005</v>
      </c>
      <c r="R255" s="30">
        <v>374.21999999999997</v>
      </c>
      <c r="S255" s="29">
        <f>Table1[[#This Row],[ATG (ha)]]/Table1[[#This Row],[Linear Area (ha)]]</f>
        <v>0.14849999999999997</v>
      </c>
      <c r="T255" s="9" t="s">
        <v>22</v>
      </c>
      <c r="U255" s="9" t="s">
        <v>22</v>
      </c>
      <c r="V255" s="30">
        <v>374.21999999999997</v>
      </c>
      <c r="W255" s="30">
        <v>149.68799999999999</v>
      </c>
      <c r="X255" s="31">
        <v>21158.340600401199</v>
      </c>
      <c r="Y255" s="27">
        <f>Table1[[#This Row],[Raw Terrestrial Score]]/Table1[[#This Row],[Summed Raw Scores]]</f>
        <v>0.4444089786494147</v>
      </c>
      <c r="Z255" s="31">
        <v>26451.7249403596</v>
      </c>
      <c r="AA255" s="27">
        <f>Table1[[#This Row],[Raw Freshwater Score]]/Table1[[#This Row],[Summed Raw Scores]]</f>
        <v>0.55559102135058536</v>
      </c>
      <c r="AB255" s="27">
        <f>Table1[[#This Row],[Raw Terrestrial Score]]+Table1[[#This Row],[Raw Freshwater Score]]</f>
        <v>47610.065540760799</v>
      </c>
      <c r="AC255" s="28">
        <f>Table1[[#This Row],[Terrestrial % of Summed Score]]*Table1[[#This Row],[Scaled Summed Score]]</f>
        <v>0.12545703015680665</v>
      </c>
      <c r="AD255" s="28">
        <f>Table1[[#This Row],[Freshwater % of Summed Score]]*Table1[[#This Row],[Scaled Summed Score]]</f>
        <v>0.15684381474978823</v>
      </c>
      <c r="AE255" s="29">
        <f>Table1[[#This Row],[Summed Raw Scores]]/MAX(Table1[Summed Raw Scores])</f>
        <v>0.28230084490659485</v>
      </c>
    </row>
    <row r="256" spans="1:31" hidden="1" x14ac:dyDescent="0.3">
      <c r="A256" s="26" t="s">
        <v>294</v>
      </c>
      <c r="B256" s="26" t="s">
        <v>58</v>
      </c>
      <c r="C256" s="26" t="s">
        <v>25</v>
      </c>
      <c r="D256" s="26"/>
      <c r="E256" s="18">
        <v>49.981065890000004</v>
      </c>
      <c r="F256" s="18">
        <v>-120.8954063</v>
      </c>
      <c r="G256" s="18">
        <v>37.085538460000002</v>
      </c>
      <c r="H256" s="26" t="s">
        <v>22</v>
      </c>
      <c r="I256" s="26" t="s">
        <v>22</v>
      </c>
      <c r="J256" s="18">
        <v>66.144052349999995</v>
      </c>
      <c r="K256" s="18">
        <v>126.900064</v>
      </c>
      <c r="L256" s="6" t="s">
        <v>22</v>
      </c>
      <c r="M256" s="18">
        <v>0.4</v>
      </c>
      <c r="N256" s="18">
        <v>19.3</v>
      </c>
      <c r="O256" s="6">
        <f>Table1[[#This Row],[R1 Length (km)]]+Table1[[#This Row],[T1 Length (km)]]</f>
        <v>19.7</v>
      </c>
      <c r="P256" s="25">
        <v>69</v>
      </c>
      <c r="Q256" s="6">
        <f>(Table1[[#This Row],[Linear Features (km)]]*1)*100</f>
        <v>1970</v>
      </c>
      <c r="R256" s="18">
        <v>150.66</v>
      </c>
      <c r="S256" s="8">
        <f>Table1[[#This Row],[ATG (ha)]]/Table1[[#This Row],[Linear Area (ha)]]</f>
        <v>7.6477157360406084E-2</v>
      </c>
      <c r="T256" s="9" t="s">
        <v>22</v>
      </c>
      <c r="U256" s="9" t="s">
        <v>22</v>
      </c>
      <c r="V256" s="18">
        <v>150.66</v>
      </c>
      <c r="W256" s="18">
        <v>60.264000000000003</v>
      </c>
      <c r="X256" s="31">
        <v>19971.165783882101</v>
      </c>
      <c r="Y256" s="27">
        <f>Table1[[#This Row],[Raw Terrestrial Score]]/Table1[[#This Row],[Summed Raw Scores]]</f>
        <v>0.44158461751905587</v>
      </c>
      <c r="Z256" s="31">
        <v>25254.9698004723</v>
      </c>
      <c r="AA256" s="27">
        <f>Table1[[#This Row],[Raw Freshwater Score]]/Table1[[#This Row],[Summed Raw Scores]]</f>
        <v>0.55841538248094413</v>
      </c>
      <c r="AB256" s="27">
        <f>Table1[[#This Row],[Raw Terrestrial Score]]+Table1[[#This Row],[Raw Freshwater Score]]</f>
        <v>45226.135584354401</v>
      </c>
      <c r="AC256" s="28">
        <f>Table1[[#This Row],[Terrestrial % of Summed Score]]*Table1[[#This Row],[Scaled Summed Score]]</f>
        <v>0.11841775285381181</v>
      </c>
      <c r="AD256" s="28">
        <f>Table1[[#This Row],[Freshwater % of Summed Score]]*Table1[[#This Row],[Scaled Summed Score]]</f>
        <v>0.14974773153084678</v>
      </c>
      <c r="AE256" s="29">
        <f>Table1[[#This Row],[Summed Raw Scores]]/MAX(Table1[Summed Raw Scores])</f>
        <v>0.26816548438465859</v>
      </c>
    </row>
    <row r="257" spans="1:31" hidden="1" x14ac:dyDescent="0.3">
      <c r="A257" s="26" t="s">
        <v>289</v>
      </c>
      <c r="B257" s="26" t="s">
        <v>58</v>
      </c>
      <c r="C257" s="26" t="s">
        <v>25</v>
      </c>
      <c r="D257" s="26"/>
      <c r="E257" s="18">
        <v>50.041177879999999</v>
      </c>
      <c r="F257" s="18">
        <v>-120.835489</v>
      </c>
      <c r="G257" s="18">
        <v>31.103999999999999</v>
      </c>
      <c r="H257" s="26" t="s">
        <v>22</v>
      </c>
      <c r="I257" s="26" t="s">
        <v>22</v>
      </c>
      <c r="J257" s="18">
        <v>56.131852899999998</v>
      </c>
      <c r="K257" s="18">
        <v>126.13844570000001</v>
      </c>
      <c r="L257" s="6" t="s">
        <v>22</v>
      </c>
      <c r="M257" s="18">
        <v>0.3</v>
      </c>
      <c r="N257" s="18">
        <v>10.6</v>
      </c>
      <c r="O257" s="6">
        <f>Table1[[#This Row],[R1 Length (km)]]+Table1[[#This Row],[T1 Length (km)]]</f>
        <v>10.9</v>
      </c>
      <c r="P257" s="25">
        <v>69</v>
      </c>
      <c r="Q257" s="6">
        <f>(Table1[[#This Row],[Linear Features (km)]]*1)*100</f>
        <v>1090</v>
      </c>
      <c r="R257" s="18">
        <v>126.36</v>
      </c>
      <c r="S257" s="8">
        <f>Table1[[#This Row],[ATG (ha)]]/Table1[[#This Row],[Linear Area (ha)]]</f>
        <v>0.11592660550458715</v>
      </c>
      <c r="T257" s="9" t="s">
        <v>22</v>
      </c>
      <c r="U257" s="9" t="s">
        <v>22</v>
      </c>
      <c r="V257" s="18">
        <v>126.36</v>
      </c>
      <c r="W257" s="18">
        <v>50.543999999999997</v>
      </c>
      <c r="X257" s="31">
        <v>11802.0904502869</v>
      </c>
      <c r="Y257" s="27">
        <f>Table1[[#This Row],[Raw Terrestrial Score]]/Table1[[#This Row],[Summed Raw Scores]]</f>
        <v>0.52266620838072464</v>
      </c>
      <c r="Z257" s="31">
        <v>10778.4595471025</v>
      </c>
      <c r="AA257" s="27">
        <f>Table1[[#This Row],[Raw Freshwater Score]]/Table1[[#This Row],[Summed Raw Scores]]</f>
        <v>0.47733379161927536</v>
      </c>
      <c r="AB257" s="27">
        <f>Table1[[#This Row],[Raw Terrestrial Score]]+Table1[[#This Row],[Raw Freshwater Score]]</f>
        <v>22580.5499973894</v>
      </c>
      <c r="AC257" s="28">
        <f>Table1[[#This Row],[Terrestrial % of Summed Score]]*Table1[[#This Row],[Scaled Summed Score]]</f>
        <v>6.9979742055335262E-2</v>
      </c>
      <c r="AD257" s="28">
        <f>Table1[[#This Row],[Freshwater % of Summed Score]]*Table1[[#This Row],[Scaled Summed Score]]</f>
        <v>6.3910187948251387E-2</v>
      </c>
      <c r="AE257" s="29">
        <f>Table1[[#This Row],[Summed Raw Scores]]/MAX(Table1[Summed Raw Scores])</f>
        <v>0.13388993000358665</v>
      </c>
    </row>
    <row r="258" spans="1:31" hidden="1" x14ac:dyDescent="0.3">
      <c r="A258" s="26" t="s">
        <v>82</v>
      </c>
      <c r="B258" s="26" t="s">
        <v>58</v>
      </c>
      <c r="C258" s="26" t="s">
        <v>25</v>
      </c>
      <c r="D258" s="26"/>
      <c r="E258" s="30">
        <v>50.031690019999999</v>
      </c>
      <c r="F258" s="30">
        <v>-120.5676775</v>
      </c>
      <c r="G258" s="30">
        <v>81.747692307700007</v>
      </c>
      <c r="H258" s="6" t="s">
        <v>22</v>
      </c>
      <c r="I258" s="6" t="s">
        <v>22</v>
      </c>
      <c r="J258" s="30">
        <v>146.55825003643776</v>
      </c>
      <c r="K258" s="30">
        <v>101.60956461488067</v>
      </c>
      <c r="L258" s="6" t="s">
        <v>22</v>
      </c>
      <c r="M258" s="30">
        <v>3.7</v>
      </c>
      <c r="N258" s="30">
        <v>22.1</v>
      </c>
      <c r="O258" s="6">
        <f>Table1[[#This Row],[R1 Length (km)]]+Table1[[#This Row],[T1 Length (km)]]</f>
        <v>25.8</v>
      </c>
      <c r="P258" s="31">
        <v>130</v>
      </c>
      <c r="Q258" s="6">
        <f>(Table1[[#This Row],[Linear Features (km)]]*1)*100</f>
        <v>2580</v>
      </c>
      <c r="R258" s="30">
        <v>1180.98</v>
      </c>
      <c r="S258" s="29">
        <f>Table1[[#This Row],[ATG (ha)]]/Table1[[#This Row],[Linear Area (ha)]]</f>
        <v>0.45774418604651163</v>
      </c>
      <c r="T258" s="9" t="s">
        <v>22</v>
      </c>
      <c r="U258" s="9" t="s">
        <v>22</v>
      </c>
      <c r="V258" s="30">
        <v>1180.98</v>
      </c>
      <c r="W258" s="30">
        <v>472.39200000000005</v>
      </c>
      <c r="X258" s="31">
        <v>25976.49974069</v>
      </c>
      <c r="Y258" s="27">
        <f>Table1[[#This Row],[Raw Terrestrial Score]]/Table1[[#This Row],[Summed Raw Scores]]</f>
        <v>0.68140942873222787</v>
      </c>
      <c r="Z258" s="31">
        <v>12145.2206895947</v>
      </c>
      <c r="AA258" s="27">
        <f>Table1[[#This Row],[Raw Freshwater Score]]/Table1[[#This Row],[Summed Raw Scores]]</f>
        <v>0.31859057126777207</v>
      </c>
      <c r="AB258" s="27">
        <f>Table1[[#This Row],[Raw Terrestrial Score]]+Table1[[#This Row],[Raw Freshwater Score]]</f>
        <v>38121.720430284702</v>
      </c>
      <c r="AC258" s="28">
        <f>Table1[[#This Row],[Terrestrial % of Summed Score]]*Table1[[#This Row],[Scaled Summed Score]]</f>
        <v>0.15402599725964472</v>
      </c>
      <c r="AD258" s="28">
        <f>Table1[[#This Row],[Freshwater % of Summed Score]]*Table1[[#This Row],[Scaled Summed Score]]</f>
        <v>7.2014310908987925E-2</v>
      </c>
      <c r="AE258" s="29">
        <f>Table1[[#This Row],[Summed Raw Scores]]/MAX(Table1[Summed Raw Scores])</f>
        <v>0.22604030816863266</v>
      </c>
    </row>
    <row r="259" spans="1:31" hidden="1" x14ac:dyDescent="0.3">
      <c r="A259" s="26" t="s">
        <v>83</v>
      </c>
      <c r="B259" s="26" t="s">
        <v>58</v>
      </c>
      <c r="C259" s="26" t="s">
        <v>25</v>
      </c>
      <c r="D259" s="26"/>
      <c r="E259" s="30">
        <v>50.104214900000002</v>
      </c>
      <c r="F259" s="30">
        <v>-120.4252154</v>
      </c>
      <c r="G259" s="30">
        <v>87.928615384599993</v>
      </c>
      <c r="H259" s="6" t="s">
        <v>22</v>
      </c>
      <c r="I259" s="6" t="s">
        <v>22</v>
      </c>
      <c r="J259" s="30">
        <v>157.00427919694422</v>
      </c>
      <c r="K259" s="30">
        <v>97.074474887304504</v>
      </c>
      <c r="L259" s="6" t="s">
        <v>22</v>
      </c>
      <c r="M259" s="30">
        <v>2.4</v>
      </c>
      <c r="N259" s="30">
        <v>9.4</v>
      </c>
      <c r="O259" s="6">
        <f>Table1[[#This Row],[R1 Length (km)]]+Table1[[#This Row],[T1 Length (km)]]</f>
        <v>11.8</v>
      </c>
      <c r="P259" s="31">
        <v>130</v>
      </c>
      <c r="Q259" s="6">
        <f>(Table1[[#This Row],[Linear Features (km)]]*1)*100</f>
        <v>1180</v>
      </c>
      <c r="R259" s="30">
        <v>877.2299999999999</v>
      </c>
      <c r="S259" s="29">
        <f>Table1[[#This Row],[ATG (ha)]]/Table1[[#This Row],[Linear Area (ha)]]</f>
        <v>0.74341525423728805</v>
      </c>
      <c r="T259" s="9" t="s">
        <v>22</v>
      </c>
      <c r="U259" s="9" t="s">
        <v>22</v>
      </c>
      <c r="V259" s="30">
        <v>877.2299999999999</v>
      </c>
      <c r="W259" s="30">
        <v>350.892</v>
      </c>
      <c r="X259" s="31">
        <v>16787.945518314798</v>
      </c>
      <c r="Y259" s="27">
        <f>Table1[[#This Row],[Raw Terrestrial Score]]/Table1[[#This Row],[Summed Raw Scores]]</f>
        <v>0.75116691802458901</v>
      </c>
      <c r="Z259" s="31">
        <v>5561.2089977860496</v>
      </c>
      <c r="AA259" s="27">
        <f>Table1[[#This Row],[Raw Freshwater Score]]/Table1[[#This Row],[Summed Raw Scores]]</f>
        <v>0.24883308197541101</v>
      </c>
      <c r="AB259" s="27">
        <f>Table1[[#This Row],[Raw Terrestrial Score]]+Table1[[#This Row],[Raw Freshwater Score]]</f>
        <v>22349.154516100847</v>
      </c>
      <c r="AC259" s="28">
        <f>Table1[[#This Row],[Terrestrial % of Summed Score]]*Table1[[#This Row],[Scaled Summed Score]]</f>
        <v>9.9543051458492446E-2</v>
      </c>
      <c r="AD259" s="28">
        <f>Table1[[#This Row],[Freshwater % of Summed Score]]*Table1[[#This Row],[Scaled Summed Score]]</f>
        <v>3.2974833807634205E-2</v>
      </c>
      <c r="AE259" s="29">
        <f>Table1[[#This Row],[Summed Raw Scores]]/MAX(Table1[Summed Raw Scores])</f>
        <v>0.13251788526612665</v>
      </c>
    </row>
    <row r="260" spans="1:31" hidden="1" x14ac:dyDescent="0.3">
      <c r="A260" s="26" t="s">
        <v>84</v>
      </c>
      <c r="B260" s="26" t="s">
        <v>58</v>
      </c>
      <c r="C260" s="26" t="s">
        <v>25</v>
      </c>
      <c r="D260" s="26"/>
      <c r="E260" s="30">
        <v>50.044244480000003</v>
      </c>
      <c r="F260" s="30">
        <v>-120.485651</v>
      </c>
      <c r="G260" s="30">
        <v>122.023384615</v>
      </c>
      <c r="H260" s="6" t="s">
        <v>22</v>
      </c>
      <c r="I260" s="6" t="s">
        <v>22</v>
      </c>
      <c r="J260" s="30">
        <v>217.64253245828661</v>
      </c>
      <c r="K260" s="30">
        <v>95.003592068529755</v>
      </c>
      <c r="L260" s="6" t="s">
        <v>22</v>
      </c>
      <c r="M260" s="30">
        <v>2.6</v>
      </c>
      <c r="N260" s="30">
        <v>18</v>
      </c>
      <c r="O260" s="6">
        <f>Table1[[#This Row],[R1 Length (km)]]+Table1[[#This Row],[T1 Length (km)]]</f>
        <v>20.6</v>
      </c>
      <c r="P260" s="31">
        <v>130</v>
      </c>
      <c r="Q260" s="6">
        <f>(Table1[[#This Row],[Linear Features (km)]]*1)*100</f>
        <v>2060</v>
      </c>
      <c r="R260" s="30">
        <v>1018.17</v>
      </c>
      <c r="S260" s="29">
        <f>Table1[[#This Row],[ATG (ha)]]/Table1[[#This Row],[Linear Area (ha)]]</f>
        <v>0.49425728155339804</v>
      </c>
      <c r="T260" s="9" t="s">
        <v>22</v>
      </c>
      <c r="U260" s="9" t="s">
        <v>22</v>
      </c>
      <c r="V260" s="30">
        <v>1018.17</v>
      </c>
      <c r="W260" s="30">
        <v>407.26800000000003</v>
      </c>
      <c r="X260" s="31">
        <v>25587.416543006901</v>
      </c>
      <c r="Y260" s="27">
        <f>Table1[[#This Row],[Raw Terrestrial Score]]/Table1[[#This Row],[Summed Raw Scores]]</f>
        <v>0.74452896607852204</v>
      </c>
      <c r="Z260" s="31">
        <v>8779.8380686938799</v>
      </c>
      <c r="AA260" s="27">
        <f>Table1[[#This Row],[Raw Freshwater Score]]/Table1[[#This Row],[Summed Raw Scores]]</f>
        <v>0.25547103392147796</v>
      </c>
      <c r="AB260" s="27">
        <f>Table1[[#This Row],[Raw Terrestrial Score]]+Table1[[#This Row],[Raw Freshwater Score]]</f>
        <v>34367.254611700781</v>
      </c>
      <c r="AC260" s="28">
        <f>Table1[[#This Row],[Terrestrial % of Summed Score]]*Table1[[#This Row],[Scaled Summed Score]]</f>
        <v>0.15171895327225804</v>
      </c>
      <c r="AD260" s="28">
        <f>Table1[[#This Row],[Freshwater % of Summed Score]]*Table1[[#This Row],[Scaled Summed Score]]</f>
        <v>5.2059489454249583E-2</v>
      </c>
      <c r="AE260" s="29">
        <f>Table1[[#This Row],[Summed Raw Scores]]/MAX(Table1[Summed Raw Scores])</f>
        <v>0.20377844272650761</v>
      </c>
    </row>
    <row r="261" spans="1:31" hidden="1" x14ac:dyDescent="0.3">
      <c r="A261" s="26" t="s">
        <v>85</v>
      </c>
      <c r="B261" s="26" t="s">
        <v>58</v>
      </c>
      <c r="C261" s="26" t="s">
        <v>25</v>
      </c>
      <c r="D261" s="26" t="s">
        <v>250</v>
      </c>
      <c r="E261" s="30">
        <v>50.069231299999998</v>
      </c>
      <c r="F261" s="30">
        <v>-120.3214856</v>
      </c>
      <c r="G261" s="30">
        <v>177.45230769200001</v>
      </c>
      <c r="H261" s="6" t="s">
        <v>22</v>
      </c>
      <c r="I261" s="6" t="s">
        <v>22</v>
      </c>
      <c r="J261" s="30">
        <v>316.16702664000769</v>
      </c>
      <c r="K261" s="30">
        <v>93.790560276161614</v>
      </c>
      <c r="L261" s="6" t="s">
        <v>22</v>
      </c>
      <c r="M261" s="30">
        <v>1.6</v>
      </c>
      <c r="N261" s="30">
        <v>14.5</v>
      </c>
      <c r="O261" s="6">
        <f>Table1[[#This Row],[R1 Length (km)]]+Table1[[#This Row],[T1 Length (km)]]</f>
        <v>16.100000000000001</v>
      </c>
      <c r="P261" s="31">
        <v>230</v>
      </c>
      <c r="Q261" s="6">
        <f>(Table1[[#This Row],[Linear Features (km)]]*1)*100</f>
        <v>1610.0000000000002</v>
      </c>
      <c r="R261" s="30">
        <v>2385.4500000000003</v>
      </c>
      <c r="S261" s="29">
        <f>Table1[[#This Row],[ATG (ha)]]/Table1[[#This Row],[Linear Area (ha)]]</f>
        <v>1.4816459627329193</v>
      </c>
      <c r="T261" s="9" t="s">
        <v>22</v>
      </c>
      <c r="U261" s="9" t="s">
        <v>22</v>
      </c>
      <c r="V261" s="30">
        <v>2385.4500000000003</v>
      </c>
      <c r="W261" s="30">
        <v>954.18000000000018</v>
      </c>
      <c r="X261" s="31">
        <v>28372.102644205101</v>
      </c>
      <c r="Y261" s="27">
        <f>Table1[[#This Row],[Raw Terrestrial Score]]/Table1[[#This Row],[Summed Raw Scores]]</f>
        <v>0.75953436480836489</v>
      </c>
      <c r="Z261" s="31">
        <v>8982.4976988136805</v>
      </c>
      <c r="AA261" s="27">
        <f>Table1[[#This Row],[Raw Freshwater Score]]/Table1[[#This Row],[Summed Raw Scores]]</f>
        <v>0.24046563519163505</v>
      </c>
      <c r="AB261" s="27">
        <f>Table1[[#This Row],[Raw Terrestrial Score]]+Table1[[#This Row],[Raw Freshwater Score]]</f>
        <v>37354.600343018785</v>
      </c>
      <c r="AC261" s="28">
        <f>Table1[[#This Row],[Terrestrial % of Summed Score]]*Table1[[#This Row],[Scaled Summed Score]]</f>
        <v>0.168230571776435</v>
      </c>
      <c r="AD261" s="28">
        <f>Table1[[#This Row],[Freshwater % of Summed Score]]*Table1[[#This Row],[Scaled Summed Score]]</f>
        <v>5.3261146796273133E-2</v>
      </c>
      <c r="AE261" s="29">
        <f>Table1[[#This Row],[Summed Raw Scores]]/MAX(Table1[Summed Raw Scores])</f>
        <v>0.22149171857270814</v>
      </c>
    </row>
    <row r="262" spans="1:31" hidden="1" x14ac:dyDescent="0.3">
      <c r="A262" s="26" t="s">
        <v>86</v>
      </c>
      <c r="B262" s="26" t="s">
        <v>58</v>
      </c>
      <c r="C262" s="26" t="s">
        <v>87</v>
      </c>
      <c r="D262" s="26"/>
      <c r="E262" s="30">
        <v>50.239561190000003</v>
      </c>
      <c r="F262" s="30">
        <v>-119.16819150000001</v>
      </c>
      <c r="G262" s="30">
        <v>110.259692308</v>
      </c>
      <c r="H262" s="6" t="s">
        <v>22</v>
      </c>
      <c r="I262" s="6" t="s">
        <v>22</v>
      </c>
      <c r="J262" s="30">
        <v>183.89581588506243</v>
      </c>
      <c r="K262" s="30">
        <v>99.61543341729832</v>
      </c>
      <c r="L262" s="6" t="s">
        <v>22</v>
      </c>
      <c r="M262" s="30">
        <v>2</v>
      </c>
      <c r="N262" s="30">
        <v>4.9000000000000004</v>
      </c>
      <c r="O262" s="6">
        <f>Table1[[#This Row],[R1 Length (km)]]+Table1[[#This Row],[T1 Length (km)]]</f>
        <v>6.9</v>
      </c>
      <c r="P262" s="31">
        <v>130</v>
      </c>
      <c r="Q262" s="6">
        <f>(Table1[[#This Row],[Linear Features (km)]]*1)*100</f>
        <v>690</v>
      </c>
      <c r="R262" s="30">
        <v>567</v>
      </c>
      <c r="S262" s="29">
        <f>Table1[[#This Row],[ATG (ha)]]/Table1[[#This Row],[Linear Area (ha)]]</f>
        <v>0.82173913043478264</v>
      </c>
      <c r="T262" s="9" t="s">
        <v>22</v>
      </c>
      <c r="U262" s="9" t="s">
        <v>22</v>
      </c>
      <c r="V262" s="30">
        <v>567</v>
      </c>
      <c r="W262" s="30">
        <v>226.8</v>
      </c>
      <c r="X262" s="31">
        <v>8376.2646110653895</v>
      </c>
      <c r="Y262" s="27">
        <f>Table1[[#This Row],[Raw Terrestrial Score]]/Table1[[#This Row],[Summed Raw Scores]]</f>
        <v>0.99846324322237057</v>
      </c>
      <c r="Z262" s="31">
        <v>12.892093424219601</v>
      </c>
      <c r="AA262" s="27">
        <f>Table1[[#This Row],[Raw Freshwater Score]]/Table1[[#This Row],[Summed Raw Scores]]</f>
        <v>1.5367567776294086E-3</v>
      </c>
      <c r="AB262" s="27">
        <f>Table1[[#This Row],[Raw Terrestrial Score]]+Table1[[#This Row],[Raw Freshwater Score]]</f>
        <v>8389.1567044896092</v>
      </c>
      <c r="AC262" s="28">
        <f>Table1[[#This Row],[Terrestrial % of Summed Score]]*Table1[[#This Row],[Scaled Summed Score]]</f>
        <v>4.9666526395359026E-2</v>
      </c>
      <c r="AD262" s="28">
        <f>Table1[[#This Row],[Freshwater % of Summed Score]]*Table1[[#This Row],[Scaled Summed Score]]</f>
        <v>7.6442845119716908E-5</v>
      </c>
      <c r="AE262" s="29">
        <f>Table1[[#This Row],[Summed Raw Scores]]/MAX(Table1[Summed Raw Scores])</f>
        <v>4.9742969240478746E-2</v>
      </c>
    </row>
    <row r="263" spans="1:31" hidden="1" x14ac:dyDescent="0.3">
      <c r="A263" s="26" t="s">
        <v>291</v>
      </c>
      <c r="B263" s="26" t="s">
        <v>58</v>
      </c>
      <c r="C263" s="26" t="s">
        <v>87</v>
      </c>
      <c r="D263" s="26"/>
      <c r="E263" s="18">
        <v>50.251419759999997</v>
      </c>
      <c r="F263" s="18">
        <v>-119.0855406</v>
      </c>
      <c r="G263" s="18">
        <v>56.226461540000003</v>
      </c>
      <c r="H263" s="26" t="s">
        <v>22</v>
      </c>
      <c r="I263" s="26" t="s">
        <v>22</v>
      </c>
      <c r="J263" s="18">
        <v>93.936269280000005</v>
      </c>
      <c r="K263" s="18">
        <v>126.49713850000001</v>
      </c>
      <c r="L263" s="6" t="s">
        <v>22</v>
      </c>
      <c r="M263" s="18">
        <v>0.3</v>
      </c>
      <c r="N263" s="18">
        <v>6.3</v>
      </c>
      <c r="O263" s="6">
        <f>Table1[[#This Row],[R1 Length (km)]]+Table1[[#This Row],[T1 Length (km)]]</f>
        <v>6.6</v>
      </c>
      <c r="P263" s="25">
        <v>130</v>
      </c>
      <c r="Q263" s="6">
        <f>(Table1[[#This Row],[Linear Features (km)]]*1)*100</f>
        <v>660</v>
      </c>
      <c r="R263" s="18">
        <v>228.42</v>
      </c>
      <c r="S263" s="8">
        <f>Table1[[#This Row],[ATG (ha)]]/Table1[[#This Row],[Linear Area (ha)]]</f>
        <v>0.34609090909090906</v>
      </c>
      <c r="T263" s="9" t="s">
        <v>22</v>
      </c>
      <c r="U263" s="9" t="s">
        <v>22</v>
      </c>
      <c r="V263" s="18">
        <v>228.42</v>
      </c>
      <c r="W263" s="18">
        <v>91.367999999999995</v>
      </c>
      <c r="X263" s="31">
        <v>2086.6258669495601</v>
      </c>
      <c r="Y263" s="27">
        <f>Table1[[#This Row],[Raw Terrestrial Score]]/Table1[[#This Row],[Summed Raw Scores]]</f>
        <v>0.64166930169187786</v>
      </c>
      <c r="Z263" s="31">
        <v>1165.2452471084</v>
      </c>
      <c r="AA263" s="27">
        <f>Table1[[#This Row],[Raw Freshwater Score]]/Table1[[#This Row],[Summed Raw Scores]]</f>
        <v>0.3583306983081222</v>
      </c>
      <c r="AB263" s="27">
        <f>Table1[[#This Row],[Raw Terrestrial Score]]+Table1[[#This Row],[Raw Freshwater Score]]</f>
        <v>3251.8711140579599</v>
      </c>
      <c r="AC263" s="28">
        <f>Table1[[#This Row],[Terrestrial % of Summed Score]]*Table1[[#This Row],[Scaled Summed Score]]</f>
        <v>1.2372514898966125E-2</v>
      </c>
      <c r="AD263" s="28">
        <f>Table1[[#This Row],[Freshwater % of Summed Score]]*Table1[[#This Row],[Scaled Summed Score]]</f>
        <v>6.909247320831112E-3</v>
      </c>
      <c r="AE263" s="29">
        <f>Table1[[#This Row],[Summed Raw Scores]]/MAX(Table1[Summed Raw Scores])</f>
        <v>1.9281762219797237E-2</v>
      </c>
    </row>
    <row r="264" spans="1:31" hidden="1" x14ac:dyDescent="0.3">
      <c r="A264" s="26" t="s">
        <v>357</v>
      </c>
      <c r="B264" s="26" t="s">
        <v>58</v>
      </c>
      <c r="C264" s="26" t="s">
        <v>21</v>
      </c>
      <c r="D264" s="26"/>
      <c r="E264" s="18">
        <v>49.276818929999997</v>
      </c>
      <c r="F264" s="18">
        <v>-124.7540298</v>
      </c>
      <c r="G264" s="18">
        <v>44.861538459999998</v>
      </c>
      <c r="H264" s="26" t="s">
        <v>22</v>
      </c>
      <c r="I264" s="26" t="s">
        <v>22</v>
      </c>
      <c r="J264" s="10">
        <v>69.180113860000006</v>
      </c>
      <c r="K264" s="10">
        <v>142.17640979999999</v>
      </c>
      <c r="L264" s="6" t="s">
        <v>22</v>
      </c>
      <c r="M264" s="18">
        <v>0.8</v>
      </c>
      <c r="N264" s="18">
        <v>5.4</v>
      </c>
      <c r="O264" s="6">
        <f>Table1[[#This Row],[R1 Length (km)]]+Table1[[#This Row],[T1 Length (km)]]</f>
        <v>6.2</v>
      </c>
      <c r="P264" s="25">
        <v>130</v>
      </c>
      <c r="Q264" s="6">
        <f>(Table1[[#This Row],[Linear Features (km)]]*1)*100</f>
        <v>620</v>
      </c>
      <c r="R264" s="18">
        <v>182.25</v>
      </c>
      <c r="S264" s="8">
        <f>Table1[[#This Row],[ATG (ha)]]/Table1[[#This Row],[Linear Area (ha)]]</f>
        <v>0.2939516129032258</v>
      </c>
      <c r="T264" s="9" t="s">
        <v>22</v>
      </c>
      <c r="U264" s="9" t="s">
        <v>22</v>
      </c>
      <c r="V264" s="18">
        <v>182.25</v>
      </c>
      <c r="W264" s="18">
        <v>72.900000000000006</v>
      </c>
      <c r="X264" s="31">
        <v>955.57333604712005</v>
      </c>
      <c r="Y264" s="27">
        <f>Table1[[#This Row],[Raw Terrestrial Score]]/Table1[[#This Row],[Summed Raw Scores]]</f>
        <v>0.45625659767449039</v>
      </c>
      <c r="Z264" s="31">
        <v>1138.8036897704001</v>
      </c>
      <c r="AA264" s="27">
        <f>Table1[[#This Row],[Raw Freshwater Score]]/Table1[[#This Row],[Summed Raw Scores]]</f>
        <v>0.54374340232550966</v>
      </c>
      <c r="AB264" s="27">
        <f>Table1[[#This Row],[Raw Terrestrial Score]]+Table1[[#This Row],[Raw Freshwater Score]]</f>
        <v>2094.37702581752</v>
      </c>
      <c r="AC264" s="28">
        <f>Table1[[#This Row],[Terrestrial % of Summed Score]]*Table1[[#This Row],[Scaled Summed Score]]</f>
        <v>5.6660111065246132E-3</v>
      </c>
      <c r="AD264" s="28">
        <f>Table1[[#This Row],[Freshwater % of Summed Score]]*Table1[[#This Row],[Scaled Summed Score]]</f>
        <v>6.7524637942305678E-3</v>
      </c>
      <c r="AE264" s="29">
        <f>Table1[[#This Row],[Summed Raw Scores]]/MAX(Table1[Summed Raw Scores])</f>
        <v>1.2418474900755181E-2</v>
      </c>
    </row>
    <row r="265" spans="1:31" hidden="1" x14ac:dyDescent="0.3">
      <c r="A265" s="26" t="s">
        <v>372</v>
      </c>
      <c r="B265" s="26" t="s">
        <v>58</v>
      </c>
      <c r="C265" s="26" t="s">
        <v>21</v>
      </c>
      <c r="D265" s="26"/>
      <c r="E265" s="18">
        <v>49.27374726</v>
      </c>
      <c r="F265" s="18">
        <v>-124.48944539999999</v>
      </c>
      <c r="G265" s="18">
        <v>36.48738462</v>
      </c>
      <c r="H265" s="26" t="s">
        <v>22</v>
      </c>
      <c r="I265" s="26" t="s">
        <v>22</v>
      </c>
      <c r="J265" s="18">
        <v>56.940122199999998</v>
      </c>
      <c r="K265" s="18">
        <v>150.5391908</v>
      </c>
      <c r="L265" s="6" t="s">
        <v>22</v>
      </c>
      <c r="M265" s="18">
        <v>1.1000000000000001</v>
      </c>
      <c r="N265" s="18">
        <v>8.1</v>
      </c>
      <c r="O265" s="6">
        <f>Table1[[#This Row],[R1 Length (km)]]+Table1[[#This Row],[T1 Length (km)]]</f>
        <v>9.1999999999999993</v>
      </c>
      <c r="P265" s="25">
        <v>130</v>
      </c>
      <c r="Q265" s="6">
        <f>(Table1[[#This Row],[Linear Features (km)]]*1)*100</f>
        <v>919.99999999999989</v>
      </c>
      <c r="R265" s="18">
        <v>148.22999999999999</v>
      </c>
      <c r="S265" s="8">
        <f>Table1[[#This Row],[ATG (ha)]]/Table1[[#This Row],[Linear Area (ha)]]</f>
        <v>0.16111956521739132</v>
      </c>
      <c r="T265" s="9" t="s">
        <v>22</v>
      </c>
      <c r="U265" s="9" t="s">
        <v>22</v>
      </c>
      <c r="V265" s="18">
        <v>148.22999999999999</v>
      </c>
      <c r="W265" s="18">
        <v>59.292000000000002</v>
      </c>
      <c r="X265" s="31">
        <v>7200.3648686865299</v>
      </c>
      <c r="Y265" s="27">
        <f>Table1[[#This Row],[Raw Terrestrial Score]]/Table1[[#This Row],[Summed Raw Scores]]</f>
        <v>0.65962762327858226</v>
      </c>
      <c r="Z265" s="31">
        <v>3715.4376456141499</v>
      </c>
      <c r="AA265" s="27">
        <f>Table1[[#This Row],[Raw Freshwater Score]]/Table1[[#This Row],[Summed Raw Scores]]</f>
        <v>0.34037237672141774</v>
      </c>
      <c r="AB265" s="27">
        <f>Table1[[#This Row],[Raw Terrestrial Score]]+Table1[[#This Row],[Raw Freshwater Score]]</f>
        <v>10915.80251430068</v>
      </c>
      <c r="AC265" s="28">
        <f>Table1[[#This Row],[Terrestrial % of Summed Score]]*Table1[[#This Row],[Scaled Summed Score]]</f>
        <v>4.2694103924845989E-2</v>
      </c>
      <c r="AD265" s="28">
        <f>Table1[[#This Row],[Freshwater % of Summed Score]]*Table1[[#This Row],[Scaled Summed Score]]</f>
        <v>2.2030450381477953E-2</v>
      </c>
      <c r="AE265" s="29">
        <f>Table1[[#This Row],[Summed Raw Scores]]/MAX(Table1[Summed Raw Scores])</f>
        <v>6.4724554306323942E-2</v>
      </c>
    </row>
    <row r="266" spans="1:31" hidden="1" x14ac:dyDescent="0.3">
      <c r="A266" s="26" t="s">
        <v>319</v>
      </c>
      <c r="B266" s="26" t="s">
        <v>58</v>
      </c>
      <c r="C266" s="26" t="s">
        <v>21</v>
      </c>
      <c r="D266" s="26"/>
      <c r="E266" s="18">
        <v>49.288229350000002</v>
      </c>
      <c r="F266" s="18">
        <v>-124.40949209999999</v>
      </c>
      <c r="G266" s="18">
        <v>61.809230769999999</v>
      </c>
      <c r="H266" s="26" t="s">
        <v>22</v>
      </c>
      <c r="I266" s="26" t="s">
        <v>22</v>
      </c>
      <c r="J266" s="18">
        <v>97.093653329999995</v>
      </c>
      <c r="K266" s="18">
        <v>131.54773660000001</v>
      </c>
      <c r="L266" s="6" t="s">
        <v>22</v>
      </c>
      <c r="M266" s="18">
        <v>0</v>
      </c>
      <c r="N266" s="18">
        <v>5.7</v>
      </c>
      <c r="O266" s="6">
        <f>Table1[[#This Row],[R1 Length (km)]]+Table1[[#This Row],[T1 Length (km)]]</f>
        <v>5.7</v>
      </c>
      <c r="P266" s="25">
        <v>130</v>
      </c>
      <c r="Q266" s="6">
        <f>(Table1[[#This Row],[Linear Features (km)]]*1)*100</f>
        <v>570</v>
      </c>
      <c r="R266" s="18">
        <v>251.1</v>
      </c>
      <c r="S266" s="8">
        <f>Table1[[#This Row],[ATG (ha)]]/Table1[[#This Row],[Linear Area (ha)]]</f>
        <v>0.44052631578947365</v>
      </c>
      <c r="T266" s="9" t="s">
        <v>22</v>
      </c>
      <c r="U266" s="9" t="s">
        <v>22</v>
      </c>
      <c r="V266" s="18">
        <v>251.1</v>
      </c>
      <c r="W266" s="18">
        <v>100.44</v>
      </c>
      <c r="X266" s="31">
        <v>7285.2018251419104</v>
      </c>
      <c r="Y266" s="27">
        <f>Table1[[#This Row],[Raw Terrestrial Score]]/Table1[[#This Row],[Summed Raw Scores]]</f>
        <v>0.73321520726950495</v>
      </c>
      <c r="Z266" s="31">
        <v>2650.76479545236</v>
      </c>
      <c r="AA266" s="27">
        <f>Table1[[#This Row],[Raw Freshwater Score]]/Table1[[#This Row],[Summed Raw Scores]]</f>
        <v>0.26678479273049505</v>
      </c>
      <c r="AB266" s="27">
        <f>Table1[[#This Row],[Raw Terrestrial Score]]+Table1[[#This Row],[Raw Freshwater Score]]</f>
        <v>9935.9666205942704</v>
      </c>
      <c r="AC266" s="28">
        <f>Table1[[#This Row],[Terrestrial % of Summed Score]]*Table1[[#This Row],[Scaled Summed Score]]</f>
        <v>4.3197139243420668E-2</v>
      </c>
      <c r="AD266" s="28">
        <f>Table1[[#This Row],[Freshwater % of Summed Score]]*Table1[[#This Row],[Scaled Summed Score]]</f>
        <v>1.571754066929815E-2</v>
      </c>
      <c r="AE266" s="29">
        <f>Table1[[#This Row],[Summed Raw Scores]]/MAX(Table1[Summed Raw Scores])</f>
        <v>5.8914679912718815E-2</v>
      </c>
    </row>
    <row r="267" spans="1:31" hidden="1" x14ac:dyDescent="0.3">
      <c r="A267" s="26" t="s">
        <v>88</v>
      </c>
      <c r="B267" s="26" t="s">
        <v>58</v>
      </c>
      <c r="C267" s="26" t="s">
        <v>25</v>
      </c>
      <c r="D267" s="26"/>
      <c r="E267" s="30">
        <v>49.898999539999998</v>
      </c>
      <c r="F267" s="30">
        <v>-120.7697282</v>
      </c>
      <c r="G267" s="30">
        <v>49.447384615399997</v>
      </c>
      <c r="H267" s="6" t="s">
        <v>22</v>
      </c>
      <c r="I267" s="6" t="s">
        <v>22</v>
      </c>
      <c r="J267" s="30">
        <v>89.402938088887296</v>
      </c>
      <c r="K267" s="30">
        <v>104.10619883880203</v>
      </c>
      <c r="L267" s="6" t="s">
        <v>22</v>
      </c>
      <c r="M267" s="30">
        <v>0</v>
      </c>
      <c r="N267" s="30">
        <v>25.5</v>
      </c>
      <c r="O267" s="6">
        <f>Table1[[#This Row],[R1 Length (km)]]+Table1[[#This Row],[T1 Length (km)]]</f>
        <v>25.5</v>
      </c>
      <c r="P267" s="31">
        <v>69</v>
      </c>
      <c r="Q267" s="6">
        <f>(Table1[[#This Row],[Linear Features (km)]]*1)*100</f>
        <v>2550</v>
      </c>
      <c r="R267" s="30">
        <v>624.51</v>
      </c>
      <c r="S267" s="29">
        <f>Table1[[#This Row],[ATG (ha)]]/Table1[[#This Row],[Linear Area (ha)]]</f>
        <v>0.24490588235294117</v>
      </c>
      <c r="T267" s="9" t="s">
        <v>22</v>
      </c>
      <c r="U267" s="9" t="s">
        <v>22</v>
      </c>
      <c r="V267" s="30">
        <v>624.51</v>
      </c>
      <c r="W267" s="30">
        <v>249.804</v>
      </c>
      <c r="X267" s="31">
        <v>18081.024830430699</v>
      </c>
      <c r="Y267" s="27">
        <f>Table1[[#This Row],[Raw Terrestrial Score]]/Table1[[#This Row],[Summed Raw Scores]]</f>
        <v>0.43590014903945573</v>
      </c>
      <c r="Z267" s="31">
        <v>23398.715128993099</v>
      </c>
      <c r="AA267" s="27">
        <f>Table1[[#This Row],[Raw Freshwater Score]]/Table1[[#This Row],[Summed Raw Scores]]</f>
        <v>0.56409985096054438</v>
      </c>
      <c r="AB267" s="27">
        <f>Table1[[#This Row],[Raw Terrestrial Score]]+Table1[[#This Row],[Raw Freshwater Score]]</f>
        <v>41479.739959423794</v>
      </c>
      <c r="AC267" s="28">
        <f>Table1[[#This Row],[Terrestrial % of Summed Score]]*Table1[[#This Row],[Scaled Summed Score]]</f>
        <v>0.10721028270876314</v>
      </c>
      <c r="AD267" s="28">
        <f>Table1[[#This Row],[Freshwater % of Summed Score]]*Table1[[#This Row],[Scaled Summed Score]]</f>
        <v>0.13874118793195681</v>
      </c>
      <c r="AE267" s="29">
        <f>Table1[[#This Row],[Summed Raw Scores]]/MAX(Table1[Summed Raw Scores])</f>
        <v>0.24595147064071993</v>
      </c>
    </row>
    <row r="268" spans="1:31" hidden="1" x14ac:dyDescent="0.3">
      <c r="A268" s="26" t="s">
        <v>407</v>
      </c>
      <c r="B268" s="26" t="s">
        <v>58</v>
      </c>
      <c r="C268" s="26" t="s">
        <v>25</v>
      </c>
      <c r="D268" s="26"/>
      <c r="E268" s="18">
        <v>49.924262390000003</v>
      </c>
      <c r="F268" s="18">
        <v>-120.60612639999999</v>
      </c>
      <c r="G268" s="18">
        <v>13.159384620000001</v>
      </c>
      <c r="H268" s="26" t="s">
        <v>22</v>
      </c>
      <c r="I268" s="26" t="s">
        <v>22</v>
      </c>
      <c r="J268" s="18">
        <v>23.71219782</v>
      </c>
      <c r="K268" s="18">
        <v>195.42382480000001</v>
      </c>
      <c r="L268" s="6" t="s">
        <v>22</v>
      </c>
      <c r="M268" s="18">
        <v>1.6</v>
      </c>
      <c r="N268" s="18">
        <v>26.3</v>
      </c>
      <c r="O268" s="6">
        <f>Table1[[#This Row],[R1 Length (km)]]+Table1[[#This Row],[T1 Length (km)]]</f>
        <v>27.900000000000002</v>
      </c>
      <c r="P268" s="25">
        <v>69</v>
      </c>
      <c r="Q268" s="6">
        <f>(Table1[[#This Row],[Linear Features (km)]]*1)*100</f>
        <v>2790</v>
      </c>
      <c r="R268" s="18">
        <v>53.46</v>
      </c>
      <c r="S268" s="8">
        <f>Table1[[#This Row],[ATG (ha)]]/Table1[[#This Row],[Linear Area (ha)]]</f>
        <v>1.9161290322580647E-2</v>
      </c>
      <c r="T268" s="9" t="s">
        <v>22</v>
      </c>
      <c r="U268" s="9" t="s">
        <v>22</v>
      </c>
      <c r="V268" s="18">
        <v>53.46</v>
      </c>
      <c r="W268" s="18">
        <v>21.384</v>
      </c>
      <c r="X268" s="31">
        <v>20173.455771923102</v>
      </c>
      <c r="Y268" s="27">
        <f>Table1[[#This Row],[Raw Terrestrial Score]]/Table1[[#This Row],[Summed Raw Scores]]</f>
        <v>0.59404303221666943</v>
      </c>
      <c r="Z268" s="31">
        <v>13786.130786387201</v>
      </c>
      <c r="AA268" s="27">
        <f>Table1[[#This Row],[Raw Freshwater Score]]/Table1[[#This Row],[Summed Raw Scores]]</f>
        <v>0.40595696778333057</v>
      </c>
      <c r="AB268" s="27">
        <f>Table1[[#This Row],[Raw Terrestrial Score]]+Table1[[#This Row],[Raw Freshwater Score]]</f>
        <v>33959.5865583103</v>
      </c>
      <c r="AC268" s="28">
        <f>Table1[[#This Row],[Terrestrial % of Summed Score]]*Table1[[#This Row],[Scaled Summed Score]]</f>
        <v>0.11961721842672156</v>
      </c>
      <c r="AD268" s="28">
        <f>Table1[[#This Row],[Freshwater % of Summed Score]]*Table1[[#This Row],[Scaled Summed Score]]</f>
        <v>8.1743982596662781E-2</v>
      </c>
      <c r="AE268" s="29">
        <f>Table1[[#This Row],[Summed Raw Scores]]/MAX(Table1[Summed Raw Scores])</f>
        <v>0.20136120102338434</v>
      </c>
    </row>
    <row r="269" spans="1:31" hidden="1" x14ac:dyDescent="0.3">
      <c r="A269" s="26" t="s">
        <v>313</v>
      </c>
      <c r="B269" s="26" t="s">
        <v>58</v>
      </c>
      <c r="C269" s="26" t="s">
        <v>25</v>
      </c>
      <c r="D269" s="26"/>
      <c r="E269" s="18">
        <v>50.021764939999997</v>
      </c>
      <c r="F269" s="18">
        <v>-120.29996079999999</v>
      </c>
      <c r="G269" s="18">
        <v>49.048615380000001</v>
      </c>
      <c r="H269" s="26" t="s">
        <v>22</v>
      </c>
      <c r="I269" s="26" t="s">
        <v>22</v>
      </c>
      <c r="J269" s="18">
        <v>87.627957319999993</v>
      </c>
      <c r="K269" s="18">
        <v>130.91850149999999</v>
      </c>
      <c r="L269" s="6" t="s">
        <v>22</v>
      </c>
      <c r="M269" s="18">
        <v>1.6</v>
      </c>
      <c r="N269" s="18">
        <v>20.3</v>
      </c>
      <c r="O269" s="6">
        <f>Table1[[#This Row],[R1 Length (km)]]+Table1[[#This Row],[T1 Length (km)]]</f>
        <v>21.900000000000002</v>
      </c>
      <c r="P269" s="25">
        <v>130</v>
      </c>
      <c r="Q269" s="6">
        <f>(Table1[[#This Row],[Linear Features (km)]]*1)*100</f>
        <v>2190</v>
      </c>
      <c r="R269" s="18">
        <v>199.26</v>
      </c>
      <c r="S269" s="8">
        <f>Table1[[#This Row],[ATG (ha)]]/Table1[[#This Row],[Linear Area (ha)]]</f>
        <v>9.0986301369863007E-2</v>
      </c>
      <c r="T269" s="9" t="s">
        <v>22</v>
      </c>
      <c r="U269" s="9" t="s">
        <v>22</v>
      </c>
      <c r="V269" s="18">
        <v>199.26</v>
      </c>
      <c r="W269" s="18">
        <v>79.703999999999994</v>
      </c>
      <c r="X269" s="31">
        <v>16669.623988449599</v>
      </c>
      <c r="Y269" s="27">
        <f>Table1[[#This Row],[Raw Terrestrial Score]]/Table1[[#This Row],[Summed Raw Scores]]</f>
        <v>0.73771720325542534</v>
      </c>
      <c r="Z269" s="31">
        <v>5926.6011163592302</v>
      </c>
      <c r="AA269" s="27">
        <f>Table1[[#This Row],[Raw Freshwater Score]]/Table1[[#This Row],[Summed Raw Scores]]</f>
        <v>0.26228279674457472</v>
      </c>
      <c r="AB269" s="27">
        <f>Table1[[#This Row],[Raw Terrestrial Score]]+Table1[[#This Row],[Raw Freshwater Score]]</f>
        <v>22596.225104808829</v>
      </c>
      <c r="AC269" s="28">
        <f>Table1[[#This Row],[Terrestrial % of Summed Score]]*Table1[[#This Row],[Scaled Summed Score]]</f>
        <v>9.8841471499040601E-2</v>
      </c>
      <c r="AD269" s="28">
        <f>Table1[[#This Row],[Freshwater % of Summed Score]]*Table1[[#This Row],[Scaled Summed Score]]</f>
        <v>3.5141403053524208E-2</v>
      </c>
      <c r="AE269" s="29">
        <f>Table1[[#This Row],[Summed Raw Scores]]/MAX(Table1[Summed Raw Scores])</f>
        <v>0.1339828745525648</v>
      </c>
    </row>
    <row r="270" spans="1:31" hidden="1" x14ac:dyDescent="0.3">
      <c r="A270" s="26" t="s">
        <v>388</v>
      </c>
      <c r="B270" s="26" t="s">
        <v>58</v>
      </c>
      <c r="C270" s="26" t="s">
        <v>25</v>
      </c>
      <c r="D270" s="26"/>
      <c r="E270" s="18">
        <v>50.034185090000001</v>
      </c>
      <c r="F270" s="18">
        <v>-120.2178883</v>
      </c>
      <c r="G270" s="18">
        <v>27.515076919999998</v>
      </c>
      <c r="H270" s="26" t="s">
        <v>22</v>
      </c>
      <c r="I270" s="26" t="s">
        <v>22</v>
      </c>
      <c r="J270" s="18">
        <v>49.771975840000003</v>
      </c>
      <c r="K270" s="18">
        <v>158.0093747</v>
      </c>
      <c r="L270" s="6" t="s">
        <v>22</v>
      </c>
      <c r="M270" s="18">
        <v>0.7</v>
      </c>
      <c r="N270" s="18">
        <v>21.2</v>
      </c>
      <c r="O270" s="6">
        <f>Table1[[#This Row],[R1 Length (km)]]+Table1[[#This Row],[T1 Length (km)]]</f>
        <v>21.9</v>
      </c>
      <c r="P270" s="25">
        <v>130</v>
      </c>
      <c r="Q270" s="6">
        <f>(Table1[[#This Row],[Linear Features (km)]]*1)*100</f>
        <v>2190</v>
      </c>
      <c r="R270" s="18">
        <v>111.78</v>
      </c>
      <c r="S270" s="8">
        <f>Table1[[#This Row],[ATG (ha)]]/Table1[[#This Row],[Linear Area (ha)]]</f>
        <v>5.1041095890410962E-2</v>
      </c>
      <c r="T270" s="9" t="s">
        <v>22</v>
      </c>
      <c r="U270" s="9" t="s">
        <v>22</v>
      </c>
      <c r="V270" s="18">
        <v>111.78</v>
      </c>
      <c r="W270" s="18">
        <v>44.712000000000003</v>
      </c>
      <c r="X270" s="31">
        <v>16647.107622504202</v>
      </c>
      <c r="Y270" s="27">
        <f>Table1[[#This Row],[Raw Terrestrial Score]]/Table1[[#This Row],[Summed Raw Scores]]</f>
        <v>0.72142460013129917</v>
      </c>
      <c r="Z270" s="31">
        <v>6428.2180864810898</v>
      </c>
      <c r="AA270" s="27">
        <f>Table1[[#This Row],[Raw Freshwater Score]]/Table1[[#This Row],[Summed Raw Scores]]</f>
        <v>0.27857539986870083</v>
      </c>
      <c r="AB270" s="27">
        <f>Table1[[#This Row],[Raw Terrestrial Score]]+Table1[[#This Row],[Raw Freshwater Score]]</f>
        <v>23075.325708985292</v>
      </c>
      <c r="AC270" s="28">
        <f>Table1[[#This Row],[Terrestrial % of Summed Score]]*Table1[[#This Row],[Scaled Summed Score]]</f>
        <v>9.870796214427674E-2</v>
      </c>
      <c r="AD270" s="28">
        <f>Table1[[#This Row],[Freshwater % of Summed Score]]*Table1[[#This Row],[Scaled Summed Score]]</f>
        <v>3.8115708862106884E-2</v>
      </c>
      <c r="AE270" s="29">
        <f>Table1[[#This Row],[Summed Raw Scores]]/MAX(Table1[Summed Raw Scores])</f>
        <v>0.13682367100638362</v>
      </c>
    </row>
    <row r="271" spans="1:31" hidden="1" x14ac:dyDescent="0.3">
      <c r="A271" s="26" t="s">
        <v>309</v>
      </c>
      <c r="B271" s="26" t="s">
        <v>58</v>
      </c>
      <c r="C271" s="26" t="s">
        <v>25</v>
      </c>
      <c r="D271" s="26"/>
      <c r="E271" s="18">
        <v>49.986709079999997</v>
      </c>
      <c r="F271" s="18">
        <v>-120.1964668</v>
      </c>
      <c r="G271" s="18">
        <v>52.637538460000002</v>
      </c>
      <c r="H271" s="26" t="s">
        <v>22</v>
      </c>
      <c r="I271" s="26" t="s">
        <v>22</v>
      </c>
      <c r="J271" s="10">
        <v>96.007131749999999</v>
      </c>
      <c r="K271" s="10">
        <v>130.3164687</v>
      </c>
      <c r="L271" s="6" t="s">
        <v>22</v>
      </c>
      <c r="M271" s="18">
        <v>0.6</v>
      </c>
      <c r="N271" s="18">
        <v>26.9</v>
      </c>
      <c r="O271" s="6">
        <f>Table1[[#This Row],[R1 Length (km)]]+Table1[[#This Row],[T1 Length (km)]]</f>
        <v>27.5</v>
      </c>
      <c r="P271" s="25">
        <v>130</v>
      </c>
      <c r="Q271" s="6">
        <f>(Table1[[#This Row],[Linear Features (km)]]*1)*100</f>
        <v>2750</v>
      </c>
      <c r="R271" s="18">
        <v>213.84</v>
      </c>
      <c r="S271" s="8">
        <f>Table1[[#This Row],[ATG (ha)]]/Table1[[#This Row],[Linear Area (ha)]]</f>
        <v>7.7759999999999996E-2</v>
      </c>
      <c r="T271" s="9" t="s">
        <v>22</v>
      </c>
      <c r="U271" s="9" t="s">
        <v>22</v>
      </c>
      <c r="V271" s="18">
        <v>213.84</v>
      </c>
      <c r="W271" s="18">
        <v>85.536000000000001</v>
      </c>
      <c r="X271" s="31">
        <v>19958.050845950798</v>
      </c>
      <c r="Y271" s="27">
        <f>Table1[[#This Row],[Raw Terrestrial Score]]/Table1[[#This Row],[Summed Raw Scores]]</f>
        <v>0.66230283771268317</v>
      </c>
      <c r="Z271" s="31">
        <v>10176.277001529899</v>
      </c>
      <c r="AA271" s="27">
        <f>Table1[[#This Row],[Raw Freshwater Score]]/Table1[[#This Row],[Summed Raw Scores]]</f>
        <v>0.33769716228731683</v>
      </c>
      <c r="AB271" s="27">
        <f>Table1[[#This Row],[Raw Terrestrial Score]]+Table1[[#This Row],[Raw Freshwater Score]]</f>
        <v>30134.327847480698</v>
      </c>
      <c r="AC271" s="28">
        <f>Table1[[#This Row],[Terrestrial % of Summed Score]]*Table1[[#This Row],[Scaled Summed Score]]</f>
        <v>0.11833998866641042</v>
      </c>
      <c r="AD271" s="28">
        <f>Table1[[#This Row],[Freshwater % of Summed Score]]*Table1[[#This Row],[Scaled Summed Score]]</f>
        <v>6.0339584978641767E-2</v>
      </c>
      <c r="AE271" s="29">
        <f>Table1[[#This Row],[Summed Raw Scores]]/MAX(Table1[Summed Raw Scores])</f>
        <v>0.17867957364505219</v>
      </c>
    </row>
    <row r="272" spans="1:31" hidden="1" x14ac:dyDescent="0.3">
      <c r="A272" s="26" t="s">
        <v>332</v>
      </c>
      <c r="B272" s="26" t="s">
        <v>58</v>
      </c>
      <c r="C272" s="26" t="s">
        <v>21</v>
      </c>
      <c r="D272" s="26"/>
      <c r="E272" s="18">
        <v>49.270243350000001</v>
      </c>
      <c r="F272" s="18">
        <v>-124.2248924</v>
      </c>
      <c r="G272" s="18">
        <v>51.042461539999998</v>
      </c>
      <c r="H272" s="26" t="s">
        <v>22</v>
      </c>
      <c r="I272" s="26" t="s">
        <v>22</v>
      </c>
      <c r="J272" s="18">
        <v>82.054161649999998</v>
      </c>
      <c r="K272" s="18">
        <v>135.49113840000001</v>
      </c>
      <c r="L272" s="6" t="s">
        <v>22</v>
      </c>
      <c r="M272" s="18">
        <v>0</v>
      </c>
      <c r="N272" s="18">
        <v>8.6999999999999993</v>
      </c>
      <c r="O272" s="6">
        <f>Table1[[#This Row],[R1 Length (km)]]+Table1[[#This Row],[T1 Length (km)]]</f>
        <v>8.6999999999999993</v>
      </c>
      <c r="P272" s="25">
        <v>130</v>
      </c>
      <c r="Q272" s="6">
        <f>(Table1[[#This Row],[Linear Features (km)]]*1)*100</f>
        <v>869.99999999999989</v>
      </c>
      <c r="R272" s="18">
        <v>207.36</v>
      </c>
      <c r="S272" s="8">
        <f>Table1[[#This Row],[ATG (ha)]]/Table1[[#This Row],[Linear Area (ha)]]</f>
        <v>0.23834482758620695</v>
      </c>
      <c r="T272" s="9" t="s">
        <v>22</v>
      </c>
      <c r="U272" s="9" t="s">
        <v>22</v>
      </c>
      <c r="V272" s="18">
        <v>207.36</v>
      </c>
      <c r="W272" s="18">
        <v>82.944000000000003</v>
      </c>
      <c r="X272" s="31">
        <v>9909.0394697189295</v>
      </c>
      <c r="Y272" s="27">
        <f>Table1[[#This Row],[Raw Terrestrial Score]]/Table1[[#This Row],[Summed Raw Scores]]</f>
        <v>0.7262719477382733</v>
      </c>
      <c r="Z272" s="31">
        <v>3734.6645182669199</v>
      </c>
      <c r="AA272" s="27">
        <f>Table1[[#This Row],[Raw Freshwater Score]]/Table1[[#This Row],[Summed Raw Scores]]</f>
        <v>0.27372805226172675</v>
      </c>
      <c r="AB272" s="27">
        <f>Table1[[#This Row],[Raw Terrestrial Score]]+Table1[[#This Row],[Raw Freshwater Score]]</f>
        <v>13643.703987985849</v>
      </c>
      <c r="AC272" s="28">
        <f>Table1[[#This Row],[Terrestrial % of Summed Score]]*Table1[[#This Row],[Scaled Summed Score]]</f>
        <v>5.8755017090231669E-2</v>
      </c>
      <c r="AD272" s="28">
        <f>Table1[[#This Row],[Freshwater % of Summed Score]]*Table1[[#This Row],[Scaled Summed Score]]</f>
        <v>2.2144454895715423E-2</v>
      </c>
      <c r="AE272" s="29">
        <f>Table1[[#This Row],[Summed Raw Scores]]/MAX(Table1[Summed Raw Scores])</f>
        <v>8.0899471985947088E-2</v>
      </c>
    </row>
    <row r="273" spans="1:31" hidden="1" x14ac:dyDescent="0.3">
      <c r="A273" s="26" t="s">
        <v>393</v>
      </c>
      <c r="B273" s="26" t="s">
        <v>58</v>
      </c>
      <c r="C273" s="26" t="s">
        <v>25</v>
      </c>
      <c r="D273" s="26"/>
      <c r="E273" s="18">
        <v>49.876849610000001</v>
      </c>
      <c r="F273" s="18">
        <v>-120.5844127</v>
      </c>
      <c r="G273" s="18">
        <v>21.932307689999998</v>
      </c>
      <c r="H273" s="26" t="s">
        <v>22</v>
      </c>
      <c r="I273" s="26" t="s">
        <v>22</v>
      </c>
      <c r="J273" s="10">
        <v>39.329877789999998</v>
      </c>
      <c r="K273" s="10">
        <v>159.4239427</v>
      </c>
      <c r="L273" s="6" t="s">
        <v>22</v>
      </c>
      <c r="M273" s="18">
        <v>0.3</v>
      </c>
      <c r="N273" s="18">
        <v>32.6</v>
      </c>
      <c r="O273" s="6">
        <f>Table1[[#This Row],[R1 Length (km)]]+Table1[[#This Row],[T1 Length (km)]]</f>
        <v>32.9</v>
      </c>
      <c r="P273" s="25">
        <v>69</v>
      </c>
      <c r="Q273" s="6">
        <f>(Table1[[#This Row],[Linear Features (km)]]*1)*100</f>
        <v>3290</v>
      </c>
      <c r="R273" s="18">
        <v>89.1</v>
      </c>
      <c r="S273" s="8">
        <f>Table1[[#This Row],[ATG (ha)]]/Table1[[#This Row],[Linear Area (ha)]]</f>
        <v>2.7082066869300911E-2</v>
      </c>
      <c r="T273" s="9" t="s">
        <v>22</v>
      </c>
      <c r="U273" s="9" t="s">
        <v>22</v>
      </c>
      <c r="V273" s="18">
        <v>89.1</v>
      </c>
      <c r="W273" s="18">
        <v>35.64</v>
      </c>
      <c r="X273" s="31">
        <v>28366.384863078601</v>
      </c>
      <c r="Y273" s="27">
        <f>Table1[[#This Row],[Raw Terrestrial Score]]/Table1[[#This Row],[Summed Raw Scores]]</f>
        <v>0.69627875282319263</v>
      </c>
      <c r="Z273" s="31">
        <v>12373.5985818589</v>
      </c>
      <c r="AA273" s="27">
        <f>Table1[[#This Row],[Raw Freshwater Score]]/Table1[[#This Row],[Summed Raw Scores]]</f>
        <v>0.30372124717680726</v>
      </c>
      <c r="AB273" s="27">
        <f>Table1[[#This Row],[Raw Terrestrial Score]]+Table1[[#This Row],[Raw Freshwater Score]]</f>
        <v>40739.983444937505</v>
      </c>
      <c r="AC273" s="28">
        <f>Table1[[#This Row],[Terrestrial % of Summed Score]]*Table1[[#This Row],[Scaled Summed Score]]</f>
        <v>0.16819666855818338</v>
      </c>
      <c r="AD273" s="28">
        <f>Table1[[#This Row],[Freshwater % of Summed Score]]*Table1[[#This Row],[Scaled Summed Score]]</f>
        <v>7.3368463044925947E-2</v>
      </c>
      <c r="AE273" s="29">
        <f>Table1[[#This Row],[Summed Raw Scores]]/MAX(Table1[Summed Raw Scores])</f>
        <v>0.24156513160310936</v>
      </c>
    </row>
    <row r="274" spans="1:31" hidden="1" x14ac:dyDescent="0.3">
      <c r="A274" s="26" t="s">
        <v>89</v>
      </c>
      <c r="B274" s="26" t="s">
        <v>58</v>
      </c>
      <c r="C274" s="26" t="s">
        <v>25</v>
      </c>
      <c r="D274" s="26"/>
      <c r="E274" s="30">
        <v>49.889407990000002</v>
      </c>
      <c r="F274" s="30">
        <v>-120.5026211</v>
      </c>
      <c r="G274" s="30">
        <v>93.112615384600005</v>
      </c>
      <c r="H274" s="6" t="s">
        <v>22</v>
      </c>
      <c r="I274" s="6" t="s">
        <v>22</v>
      </c>
      <c r="J274" s="30">
        <v>170.19574378574288</v>
      </c>
      <c r="K274" s="30">
        <v>100.34437055329255</v>
      </c>
      <c r="L274" s="6" t="s">
        <v>22</v>
      </c>
      <c r="M274" s="30">
        <v>0.3</v>
      </c>
      <c r="N274" s="30">
        <v>34.9</v>
      </c>
      <c r="O274" s="6">
        <f>Table1[[#This Row],[R1 Length (km)]]+Table1[[#This Row],[T1 Length (km)]]</f>
        <v>35.199999999999996</v>
      </c>
      <c r="P274" s="31">
        <v>130</v>
      </c>
      <c r="Q274" s="6">
        <f>(Table1[[#This Row],[Linear Features (km)]]*1)*100</f>
        <v>3519.9999999999995</v>
      </c>
      <c r="R274" s="30">
        <v>169.29000000000002</v>
      </c>
      <c r="S274" s="29">
        <f>Table1[[#This Row],[ATG (ha)]]/Table1[[#This Row],[Linear Area (ha)]]</f>
        <v>4.8093750000000011E-2</v>
      </c>
      <c r="T274" s="9" t="s">
        <v>22</v>
      </c>
      <c r="U274" s="9" t="s">
        <v>22</v>
      </c>
      <c r="V274" s="30">
        <v>169.29000000000002</v>
      </c>
      <c r="W274" s="30">
        <v>67.716000000000008</v>
      </c>
      <c r="X274" s="31">
        <v>25215.728574126999</v>
      </c>
      <c r="Y274" s="27">
        <f>Table1[[#This Row],[Raw Terrestrial Score]]/Table1[[#This Row],[Summed Raw Scores]]</f>
        <v>0.65725254437924352</v>
      </c>
      <c r="Z274" s="31">
        <v>13149.6285321624</v>
      </c>
      <c r="AA274" s="27">
        <f>Table1[[#This Row],[Raw Freshwater Score]]/Table1[[#This Row],[Summed Raw Scores]]</f>
        <v>0.34274745562075648</v>
      </c>
      <c r="AB274" s="27">
        <f>Table1[[#This Row],[Raw Terrestrial Score]]+Table1[[#This Row],[Raw Freshwater Score]]</f>
        <v>38365.357106289397</v>
      </c>
      <c r="AC274" s="28">
        <f>Table1[[#This Row],[Terrestrial % of Summed Score]]*Table1[[#This Row],[Scaled Summed Score]]</f>
        <v>0.14951505318380762</v>
      </c>
      <c r="AD274" s="28">
        <f>Table1[[#This Row],[Freshwater % of Summed Score]]*Table1[[#This Row],[Scaled Summed Score]]</f>
        <v>7.7969883105058896E-2</v>
      </c>
      <c r="AE274" s="29">
        <f>Table1[[#This Row],[Summed Raw Scores]]/MAX(Table1[Summed Raw Scores])</f>
        <v>0.22748493628886651</v>
      </c>
    </row>
    <row r="275" spans="1:31" hidden="1" x14ac:dyDescent="0.3">
      <c r="A275" s="26" t="s">
        <v>345</v>
      </c>
      <c r="B275" s="26" t="s">
        <v>58</v>
      </c>
      <c r="C275" s="26" t="s">
        <v>25</v>
      </c>
      <c r="D275" s="26"/>
      <c r="E275" s="18">
        <v>49.841985280000003</v>
      </c>
      <c r="F275" s="18">
        <v>-120.4810105</v>
      </c>
      <c r="G275" s="18">
        <v>33.097846150000002</v>
      </c>
      <c r="H275" s="26" t="s">
        <v>22</v>
      </c>
      <c r="I275" s="26" t="s">
        <v>22</v>
      </c>
      <c r="J275" s="18">
        <v>60.037937679999999</v>
      </c>
      <c r="K275" s="18">
        <v>140.31097510000001</v>
      </c>
      <c r="L275" s="6" t="s">
        <v>22</v>
      </c>
      <c r="M275" s="18">
        <v>0.3</v>
      </c>
      <c r="N275" s="18">
        <v>39</v>
      </c>
      <c r="O275" s="6">
        <f>Table1[[#This Row],[R1 Length (km)]]+Table1[[#This Row],[T1 Length (km)]]</f>
        <v>39.299999999999997</v>
      </c>
      <c r="P275" s="25">
        <v>69</v>
      </c>
      <c r="Q275" s="6">
        <f>(Table1[[#This Row],[Linear Features (km)]]*1)*100</f>
        <v>3929.9999999999995</v>
      </c>
      <c r="R275" s="18">
        <v>134.46</v>
      </c>
      <c r="S275" s="8">
        <f>Table1[[#This Row],[ATG (ha)]]/Table1[[#This Row],[Linear Area (ha)]]</f>
        <v>3.4213740458015271E-2</v>
      </c>
      <c r="T275" s="9" t="s">
        <v>22</v>
      </c>
      <c r="U275" s="9" t="s">
        <v>22</v>
      </c>
      <c r="V275" s="18">
        <v>134.46</v>
      </c>
      <c r="W275" s="18">
        <v>53.783999999999999</v>
      </c>
      <c r="X275" s="31">
        <v>25285.7995827794</v>
      </c>
      <c r="Y275" s="27">
        <f>Table1[[#This Row],[Raw Terrestrial Score]]/Table1[[#This Row],[Summed Raw Scores]]</f>
        <v>0.69800925347999054</v>
      </c>
      <c r="Z275" s="31">
        <v>10939.794070477599</v>
      </c>
      <c r="AA275" s="27">
        <f>Table1[[#This Row],[Raw Freshwater Score]]/Table1[[#This Row],[Summed Raw Scores]]</f>
        <v>0.30199074652000951</v>
      </c>
      <c r="AB275" s="27">
        <f>Table1[[#This Row],[Raw Terrestrial Score]]+Table1[[#This Row],[Raw Freshwater Score]]</f>
        <v>36225.593653256998</v>
      </c>
      <c r="AC275" s="28">
        <f>Table1[[#This Row],[Terrestrial % of Summed Score]]*Table1[[#This Row],[Scaled Summed Score]]</f>
        <v>0.14993053475732268</v>
      </c>
      <c r="AD275" s="28">
        <f>Table1[[#This Row],[Freshwater % of Summed Score]]*Table1[[#This Row],[Scaled Summed Score]]</f>
        <v>6.4866810707411432E-2</v>
      </c>
      <c r="AE275" s="29">
        <f>Table1[[#This Row],[Summed Raw Scores]]/MAX(Table1[Summed Raw Scores])</f>
        <v>0.21479734546473411</v>
      </c>
    </row>
    <row r="276" spans="1:31" hidden="1" x14ac:dyDescent="0.3">
      <c r="A276" s="26" t="s">
        <v>389</v>
      </c>
      <c r="B276" s="26" t="s">
        <v>58</v>
      </c>
      <c r="C276" s="26" t="s">
        <v>25</v>
      </c>
      <c r="D276" s="26"/>
      <c r="E276" s="18">
        <v>49.926839600000001</v>
      </c>
      <c r="F276" s="18">
        <v>-120.2570228</v>
      </c>
      <c r="G276" s="18">
        <v>26.119384620000002</v>
      </c>
      <c r="H276" s="26" t="s">
        <v>22</v>
      </c>
      <c r="I276" s="26" t="s">
        <v>22</v>
      </c>
      <c r="J276" s="18">
        <v>47.650113279999999</v>
      </c>
      <c r="K276" s="18">
        <v>158.17052279999999</v>
      </c>
      <c r="L276" s="6" t="s">
        <v>22</v>
      </c>
      <c r="M276" s="18">
        <v>0</v>
      </c>
      <c r="N276" s="18">
        <v>46.1</v>
      </c>
      <c r="O276" s="6">
        <f>Table1[[#This Row],[R1 Length (km)]]+Table1[[#This Row],[T1 Length (km)]]</f>
        <v>46.1</v>
      </c>
      <c r="P276" s="25">
        <v>69</v>
      </c>
      <c r="Q276" s="6">
        <f>(Table1[[#This Row],[Linear Features (km)]]*1)*100</f>
        <v>4610</v>
      </c>
      <c r="R276" s="18">
        <v>106.11</v>
      </c>
      <c r="S276" s="8">
        <f>Table1[[#This Row],[ATG (ha)]]/Table1[[#This Row],[Linear Area (ha)]]</f>
        <v>2.3017353579175705E-2</v>
      </c>
      <c r="T276" s="9" t="s">
        <v>22</v>
      </c>
      <c r="U276" s="9" t="s">
        <v>22</v>
      </c>
      <c r="V276" s="18">
        <v>106.11</v>
      </c>
      <c r="W276" s="18">
        <v>42.444000000000003</v>
      </c>
      <c r="X276" s="31">
        <v>21017.931323349501</v>
      </c>
      <c r="Y276" s="27">
        <f>Table1[[#This Row],[Raw Terrestrial Score]]/Table1[[#This Row],[Summed Raw Scores]]</f>
        <v>0.69447387134026517</v>
      </c>
      <c r="Z276" s="31">
        <v>9246.6073306202907</v>
      </c>
      <c r="AA276" s="27">
        <f>Table1[[#This Row],[Raw Freshwater Score]]/Table1[[#This Row],[Summed Raw Scores]]</f>
        <v>0.30552612865973472</v>
      </c>
      <c r="AB276" s="27">
        <f>Table1[[#This Row],[Raw Terrestrial Score]]+Table1[[#This Row],[Raw Freshwater Score]]</f>
        <v>30264.538653969794</v>
      </c>
      <c r="AC276" s="28">
        <f>Table1[[#This Row],[Terrestrial % of Summed Score]]*Table1[[#This Row],[Scaled Summed Score]]</f>
        <v>0.12462448231016518</v>
      </c>
      <c r="AD276" s="28">
        <f>Table1[[#This Row],[Freshwater % of Summed Score]]*Table1[[#This Row],[Scaled Summed Score]]</f>
        <v>5.4827168001245916E-2</v>
      </c>
      <c r="AE276" s="29">
        <f>Table1[[#This Row],[Summed Raw Scores]]/MAX(Table1[Summed Raw Scores])</f>
        <v>0.17945165031141111</v>
      </c>
    </row>
    <row r="277" spans="1:31" hidden="1" x14ac:dyDescent="0.3">
      <c r="A277" s="26" t="s">
        <v>394</v>
      </c>
      <c r="B277" s="26" t="s">
        <v>58</v>
      </c>
      <c r="C277" s="26" t="s">
        <v>87</v>
      </c>
      <c r="D277" s="26"/>
      <c r="E277" s="18">
        <v>50.048964290000001</v>
      </c>
      <c r="F277" s="18">
        <v>-119.4359688</v>
      </c>
      <c r="G277" s="18">
        <v>73.572923079999995</v>
      </c>
      <c r="H277" s="26" t="s">
        <v>22</v>
      </c>
      <c r="I277" s="26" t="s">
        <v>22</v>
      </c>
      <c r="J277" s="18">
        <v>124.5603943</v>
      </c>
      <c r="K277" s="18">
        <v>159.50222299999999</v>
      </c>
      <c r="L277" s="6" t="s">
        <v>22</v>
      </c>
      <c r="M277" s="18">
        <v>0.3</v>
      </c>
      <c r="N277" s="18">
        <v>29.4</v>
      </c>
      <c r="O277" s="6">
        <f>Table1[[#This Row],[R1 Length (km)]]+Table1[[#This Row],[T1 Length (km)]]</f>
        <v>29.7</v>
      </c>
      <c r="P277" s="25">
        <v>130</v>
      </c>
      <c r="Q277" s="6">
        <f>(Table1[[#This Row],[Linear Features (km)]]*1)*100</f>
        <v>2970</v>
      </c>
      <c r="R277" s="18">
        <v>298.89</v>
      </c>
      <c r="S277" s="8">
        <f>Table1[[#This Row],[ATG (ha)]]/Table1[[#This Row],[Linear Area (ha)]]</f>
        <v>0.10063636363636363</v>
      </c>
      <c r="T277" s="9" t="s">
        <v>22</v>
      </c>
      <c r="U277" s="9" t="s">
        <v>22</v>
      </c>
      <c r="V277" s="18">
        <v>298.89</v>
      </c>
      <c r="W277" s="18">
        <v>119.556</v>
      </c>
      <c r="X277" s="31">
        <v>23704.479866415299</v>
      </c>
      <c r="Y277" s="27">
        <f>Table1[[#This Row],[Raw Terrestrial Score]]/Table1[[#This Row],[Summed Raw Scores]]</f>
        <v>0.82595897560942133</v>
      </c>
      <c r="Z277" s="31">
        <v>4994.8630385096203</v>
      </c>
      <c r="AA277" s="27">
        <f>Table1[[#This Row],[Raw Freshwater Score]]/Table1[[#This Row],[Summed Raw Scores]]</f>
        <v>0.17404102439057872</v>
      </c>
      <c r="AB277" s="27">
        <f>Table1[[#This Row],[Raw Terrestrial Score]]+Table1[[#This Row],[Raw Freshwater Score]]</f>
        <v>28699.342904924917</v>
      </c>
      <c r="AC277" s="28">
        <f>Table1[[#This Row],[Terrestrial % of Summed Score]]*Table1[[#This Row],[Scaled Summed Score]]</f>
        <v>0.14055420042703584</v>
      </c>
      <c r="AD277" s="28">
        <f>Table1[[#This Row],[Freshwater % of Summed Score]]*Table1[[#This Row],[Scaled Summed Score]]</f>
        <v>2.9616721589193911E-2</v>
      </c>
      <c r="AE277" s="29">
        <f>Table1[[#This Row],[Summed Raw Scores]]/MAX(Table1[Summed Raw Scores])</f>
        <v>0.17017092201622974</v>
      </c>
    </row>
    <row r="278" spans="1:31" hidden="1" x14ac:dyDescent="0.3">
      <c r="A278" s="26" t="s">
        <v>90</v>
      </c>
      <c r="B278" s="26" t="s">
        <v>58</v>
      </c>
      <c r="C278" s="26" t="s">
        <v>40</v>
      </c>
      <c r="D278" s="26"/>
      <c r="E278" s="30">
        <v>50.001386070000002</v>
      </c>
      <c r="F278" s="30">
        <v>-119.4152191</v>
      </c>
      <c r="G278" s="30">
        <v>126.011076923</v>
      </c>
      <c r="H278" s="6" t="s">
        <v>22</v>
      </c>
      <c r="I278" s="6" t="s">
        <v>22</v>
      </c>
      <c r="J278" s="30">
        <v>213.88440531431118</v>
      </c>
      <c r="K278" s="30">
        <v>104.06496196270399</v>
      </c>
      <c r="L278" s="6" t="s">
        <v>22</v>
      </c>
      <c r="M278" s="30">
        <v>0.3</v>
      </c>
      <c r="N278" s="30">
        <v>25.9</v>
      </c>
      <c r="O278" s="6">
        <f>Table1[[#This Row],[R1 Length (km)]]+Table1[[#This Row],[T1 Length (km)]]</f>
        <v>26.2</v>
      </c>
      <c r="P278" s="31">
        <v>130</v>
      </c>
      <c r="Q278" s="6">
        <f>(Table1[[#This Row],[Linear Features (km)]]*1)*100</f>
        <v>2620</v>
      </c>
      <c r="R278" s="30">
        <v>333.72</v>
      </c>
      <c r="S278" s="29">
        <f>Table1[[#This Row],[ATG (ha)]]/Table1[[#This Row],[Linear Area (ha)]]</f>
        <v>0.12737404580152673</v>
      </c>
      <c r="T278" s="9" t="s">
        <v>22</v>
      </c>
      <c r="U278" s="9" t="s">
        <v>22</v>
      </c>
      <c r="V278" s="30">
        <v>333.72</v>
      </c>
      <c r="W278" s="30">
        <v>133.48800000000003</v>
      </c>
      <c r="X278" s="31">
        <v>28490.574388503999</v>
      </c>
      <c r="Y278" s="27">
        <f>Table1[[#This Row],[Raw Terrestrial Score]]/Table1[[#This Row],[Summed Raw Scores]]</f>
        <v>0.929903590568677</v>
      </c>
      <c r="Z278" s="31">
        <v>2147.6279772711</v>
      </c>
      <c r="AA278" s="27">
        <f>Table1[[#This Row],[Raw Freshwater Score]]/Table1[[#This Row],[Summed Raw Scores]]</f>
        <v>7.009640943132299E-2</v>
      </c>
      <c r="AB278" s="27">
        <f>Table1[[#This Row],[Raw Terrestrial Score]]+Table1[[#This Row],[Raw Freshwater Score]]</f>
        <v>30638.202365775098</v>
      </c>
      <c r="AC278" s="28">
        <f>Table1[[#This Row],[Terrestrial % of Summed Score]]*Table1[[#This Row],[Scaled Summed Score]]</f>
        <v>0.16893304242278401</v>
      </c>
      <c r="AD278" s="28">
        <f>Table1[[#This Row],[Freshwater % of Summed Score]]*Table1[[#This Row],[Scaled Summed Score]]</f>
        <v>1.2734223018651711E-2</v>
      </c>
      <c r="AE278" s="29">
        <f>Table1[[#This Row],[Summed Raw Scores]]/MAX(Table1[Summed Raw Scores])</f>
        <v>0.18166726544143572</v>
      </c>
    </row>
    <row r="279" spans="1:31" hidden="1" x14ac:dyDescent="0.3">
      <c r="A279" s="26" t="s">
        <v>301</v>
      </c>
      <c r="B279" s="26" t="s">
        <v>58</v>
      </c>
      <c r="C279" s="26" t="s">
        <v>40</v>
      </c>
      <c r="D279" s="26"/>
      <c r="E279" s="18">
        <v>49.87013486</v>
      </c>
      <c r="F279" s="18">
        <v>-119.61992739999999</v>
      </c>
      <c r="G279" s="18">
        <v>46.855384620000002</v>
      </c>
      <c r="H279" s="26" t="s">
        <v>22</v>
      </c>
      <c r="I279" s="26" t="s">
        <v>22</v>
      </c>
      <c r="J279" s="18">
        <v>78.681712860000005</v>
      </c>
      <c r="K279" s="18">
        <v>128.353951</v>
      </c>
      <c r="L279" s="6" t="s">
        <v>22</v>
      </c>
      <c r="M279" s="18">
        <v>0</v>
      </c>
      <c r="N279" s="18">
        <v>2.8</v>
      </c>
      <c r="O279" s="6">
        <f>Table1[[#This Row],[R1 Length (km)]]+Table1[[#This Row],[T1 Length (km)]]</f>
        <v>2.8</v>
      </c>
      <c r="P279" s="25">
        <v>130</v>
      </c>
      <c r="Q279" s="6">
        <f>(Table1[[#This Row],[Linear Features (km)]]*1)*100</f>
        <v>280</v>
      </c>
      <c r="R279" s="18">
        <v>190.35</v>
      </c>
      <c r="S279" s="8">
        <f>Table1[[#This Row],[ATG (ha)]]/Table1[[#This Row],[Linear Area (ha)]]</f>
        <v>0.67982142857142858</v>
      </c>
      <c r="T279" s="9" t="s">
        <v>22</v>
      </c>
      <c r="U279" s="9" t="s">
        <v>22</v>
      </c>
      <c r="V279" s="18">
        <v>190.35</v>
      </c>
      <c r="W279" s="18">
        <v>76.14</v>
      </c>
      <c r="X279" s="31">
        <v>3262.87774252892</v>
      </c>
      <c r="Y279" s="27">
        <f>Table1[[#This Row],[Raw Terrestrial Score]]/Table1[[#This Row],[Summed Raw Scores]]</f>
        <v>0.93572427076786047</v>
      </c>
      <c r="Z279" s="31">
        <v>224.12996311858299</v>
      </c>
      <c r="AA279" s="27">
        <f>Table1[[#This Row],[Raw Freshwater Score]]/Table1[[#This Row],[Summed Raw Scores]]</f>
        <v>6.4275729232139533E-2</v>
      </c>
      <c r="AB279" s="27">
        <f>Table1[[#This Row],[Raw Terrestrial Score]]+Table1[[#This Row],[Raw Freshwater Score]]</f>
        <v>3487.0077056475029</v>
      </c>
      <c r="AC279" s="28">
        <f>Table1[[#This Row],[Terrestrial % of Summed Score]]*Table1[[#This Row],[Scaled Summed Score]]</f>
        <v>1.9347025320816599E-2</v>
      </c>
      <c r="AD279" s="28">
        <f>Table1[[#This Row],[Freshwater % of Summed Score]]*Table1[[#This Row],[Scaled Summed Score]]</f>
        <v>1.3289643111936125E-3</v>
      </c>
      <c r="AE279" s="29">
        <f>Table1[[#This Row],[Summed Raw Scores]]/MAX(Table1[Summed Raw Scores])</f>
        <v>2.067598963201021E-2</v>
      </c>
    </row>
    <row r="280" spans="1:31" hidden="1" x14ac:dyDescent="0.3">
      <c r="A280" s="26" t="s">
        <v>350</v>
      </c>
      <c r="B280" s="26" t="s">
        <v>58</v>
      </c>
      <c r="C280" s="26" t="s">
        <v>40</v>
      </c>
      <c r="D280" s="26"/>
      <c r="E280" s="18">
        <v>49.941805389999999</v>
      </c>
      <c r="F280" s="18">
        <v>-119.47664109999999</v>
      </c>
      <c r="G280" s="18">
        <v>14.754461539999999</v>
      </c>
      <c r="H280" s="26" t="s">
        <v>22</v>
      </c>
      <c r="I280" s="26" t="s">
        <v>22</v>
      </c>
      <c r="J280" s="18">
        <v>25.310900440000001</v>
      </c>
      <c r="K280" s="18">
        <v>141.08403999999999</v>
      </c>
      <c r="L280" s="6" t="s">
        <v>22</v>
      </c>
      <c r="M280" s="18">
        <v>0.9</v>
      </c>
      <c r="N280" s="18">
        <v>16</v>
      </c>
      <c r="O280" s="6">
        <f>Table1[[#This Row],[R1 Length (km)]]+Table1[[#This Row],[T1 Length (km)]]</f>
        <v>16.899999999999999</v>
      </c>
      <c r="P280" s="25">
        <v>25</v>
      </c>
      <c r="Q280" s="6">
        <f>(Table1[[#This Row],[Linear Features (km)]]*1)*100</f>
        <v>1689.9999999999998</v>
      </c>
      <c r="R280" s="18">
        <v>59.94</v>
      </c>
      <c r="S280" s="8">
        <f>Table1[[#This Row],[ATG (ha)]]/Table1[[#This Row],[Linear Area (ha)]]</f>
        <v>3.5467455621301776E-2</v>
      </c>
      <c r="T280" s="9" t="s">
        <v>22</v>
      </c>
      <c r="U280" s="9" t="s">
        <v>22</v>
      </c>
      <c r="V280" s="18">
        <v>59.94</v>
      </c>
      <c r="W280" s="18">
        <v>23.975999999999999</v>
      </c>
      <c r="X280" s="31">
        <v>17765.3434410095</v>
      </c>
      <c r="Y280" s="27">
        <f>Table1[[#This Row],[Raw Terrestrial Score]]/Table1[[#This Row],[Summed Raw Scores]]</f>
        <v>0.79566034913471562</v>
      </c>
      <c r="Z280" s="31">
        <v>4562.4544193833099</v>
      </c>
      <c r="AA280" s="27">
        <f>Table1[[#This Row],[Raw Freshwater Score]]/Table1[[#This Row],[Summed Raw Scores]]</f>
        <v>0.20433965086528436</v>
      </c>
      <c r="AB280" s="27">
        <f>Table1[[#This Row],[Raw Terrestrial Score]]+Table1[[#This Row],[Raw Freshwater Score]]</f>
        <v>22327.79786039281</v>
      </c>
      <c r="AC280" s="28">
        <f>Table1[[#This Row],[Terrestrial % of Summed Score]]*Table1[[#This Row],[Scaled Summed Score]]</f>
        <v>0.10533847005858739</v>
      </c>
      <c r="AD280" s="28">
        <f>Table1[[#This Row],[Freshwater % of Summed Score]]*Table1[[#This Row],[Scaled Summed Score]]</f>
        <v>2.705278228060919E-2</v>
      </c>
      <c r="AE280" s="29">
        <f>Table1[[#This Row],[Summed Raw Scores]]/MAX(Table1[Summed Raw Scores])</f>
        <v>0.13239125233919657</v>
      </c>
    </row>
    <row r="281" spans="1:31" hidden="1" x14ac:dyDescent="0.3">
      <c r="A281" s="26" t="s">
        <v>281</v>
      </c>
      <c r="B281" s="26" t="s">
        <v>58</v>
      </c>
      <c r="C281" s="26" t="s">
        <v>40</v>
      </c>
      <c r="D281" s="26"/>
      <c r="E281" s="18">
        <v>49.882209920000001</v>
      </c>
      <c r="F281" s="18">
        <v>-119.53793</v>
      </c>
      <c r="G281" s="18">
        <v>15.35261538</v>
      </c>
      <c r="H281" s="26" t="s">
        <v>22</v>
      </c>
      <c r="I281" s="26" t="s">
        <v>22</v>
      </c>
      <c r="J281" s="18">
        <v>25.777106369999998</v>
      </c>
      <c r="K281" s="18">
        <v>124.2695628</v>
      </c>
      <c r="L281" s="6" t="s">
        <v>22</v>
      </c>
      <c r="M281" s="18">
        <v>0</v>
      </c>
      <c r="N281" s="18">
        <v>7.1</v>
      </c>
      <c r="O281" s="6">
        <f>Table1[[#This Row],[R1 Length (km)]]+Table1[[#This Row],[T1 Length (km)]]</f>
        <v>7.1</v>
      </c>
      <c r="P281" s="25">
        <v>25</v>
      </c>
      <c r="Q281" s="6">
        <f>(Table1[[#This Row],[Linear Features (km)]]*1)*100</f>
        <v>710</v>
      </c>
      <c r="R281" s="18">
        <v>62.37</v>
      </c>
      <c r="S281" s="8">
        <f>Table1[[#This Row],[ATG (ha)]]/Table1[[#This Row],[Linear Area (ha)]]</f>
        <v>8.7845070422535212E-2</v>
      </c>
      <c r="T281" s="9" t="s">
        <v>22</v>
      </c>
      <c r="U281" s="9" t="s">
        <v>22</v>
      </c>
      <c r="V281" s="18">
        <v>62.37</v>
      </c>
      <c r="W281" s="18">
        <v>24.948</v>
      </c>
      <c r="X281" s="31">
        <v>1098.1699924469001</v>
      </c>
      <c r="Y281" s="27">
        <f>Table1[[#This Row],[Raw Terrestrial Score]]/Table1[[#This Row],[Summed Raw Scores]]</f>
        <v>0.97543055711150806</v>
      </c>
      <c r="Z281" s="31">
        <v>27.661041285376999</v>
      </c>
      <c r="AA281" s="27">
        <f>Table1[[#This Row],[Raw Freshwater Score]]/Table1[[#This Row],[Summed Raw Scores]]</f>
        <v>2.4569442888491916E-2</v>
      </c>
      <c r="AB281" s="27">
        <f>Table1[[#This Row],[Raw Terrestrial Score]]+Table1[[#This Row],[Raw Freshwater Score]]</f>
        <v>1125.8310337322771</v>
      </c>
      <c r="AC281" s="28">
        <f>Table1[[#This Row],[Terrestrial % of Summed Score]]*Table1[[#This Row],[Scaled Summed Score]]</f>
        <v>6.5115288794007995E-3</v>
      </c>
      <c r="AD281" s="28">
        <f>Table1[[#This Row],[Freshwater % of Summed Score]]*Table1[[#This Row],[Scaled Summed Score]]</f>
        <v>1.6401437883282837E-4</v>
      </c>
      <c r="AE281" s="29">
        <f>Table1[[#This Row],[Summed Raw Scores]]/MAX(Table1[Summed Raw Scores])</f>
        <v>6.675543258233628E-3</v>
      </c>
    </row>
    <row r="282" spans="1:31" hidden="1" x14ac:dyDescent="0.3">
      <c r="A282" s="26" t="s">
        <v>338</v>
      </c>
      <c r="B282" s="26" t="s">
        <v>58</v>
      </c>
      <c r="C282" s="26" t="s">
        <v>87</v>
      </c>
      <c r="D282" s="26"/>
      <c r="E282" s="18">
        <v>49.894244180000001</v>
      </c>
      <c r="F282" s="18">
        <v>-119.4558966</v>
      </c>
      <c r="G282" s="18">
        <v>31.702153849999998</v>
      </c>
      <c r="H282" s="26" t="s">
        <v>22</v>
      </c>
      <c r="I282" s="26" t="s">
        <v>22</v>
      </c>
      <c r="J282" s="18">
        <v>54.132871870000002</v>
      </c>
      <c r="K282" s="18">
        <v>137.74384710000001</v>
      </c>
      <c r="L282" s="6" t="s">
        <v>22</v>
      </c>
      <c r="M282" s="18">
        <v>0</v>
      </c>
      <c r="N282" s="18">
        <v>18.899999999999999</v>
      </c>
      <c r="O282" s="6">
        <f>Table1[[#This Row],[R1 Length (km)]]+Table1[[#This Row],[T1 Length (km)]]</f>
        <v>18.899999999999999</v>
      </c>
      <c r="P282" s="25">
        <v>69</v>
      </c>
      <c r="Q282" s="6">
        <f>(Table1[[#This Row],[Linear Features (km)]]*1)*100</f>
        <v>1889.9999999999998</v>
      </c>
      <c r="R282" s="18">
        <v>128.79</v>
      </c>
      <c r="S282" s="8">
        <f>Table1[[#This Row],[ATG (ha)]]/Table1[[#This Row],[Linear Area (ha)]]</f>
        <v>6.8142857142857144E-2</v>
      </c>
      <c r="T282" s="9" t="s">
        <v>22</v>
      </c>
      <c r="U282" s="9" t="s">
        <v>22</v>
      </c>
      <c r="V282" s="18">
        <v>128.79</v>
      </c>
      <c r="W282" s="18">
        <v>51.515999999999998</v>
      </c>
      <c r="X282" s="31">
        <v>15965.275885581999</v>
      </c>
      <c r="Y282" s="27">
        <f>Table1[[#This Row],[Raw Terrestrial Score]]/Table1[[#This Row],[Summed Raw Scores]]</f>
        <v>0.92008119443101866</v>
      </c>
      <c r="Z282" s="31">
        <v>1386.7534594531201</v>
      </c>
      <c r="AA282" s="27">
        <f>Table1[[#This Row],[Raw Freshwater Score]]/Table1[[#This Row],[Summed Raw Scores]]</f>
        <v>7.9918805568981316E-2</v>
      </c>
      <c r="AB282" s="27">
        <f>Table1[[#This Row],[Raw Terrestrial Score]]+Table1[[#This Row],[Raw Freshwater Score]]</f>
        <v>17352.02934503512</v>
      </c>
      <c r="AC282" s="28">
        <f>Table1[[#This Row],[Terrestrial % of Summed Score]]*Table1[[#This Row],[Scaled Summed Score]]</f>
        <v>9.4665084378177514E-2</v>
      </c>
      <c r="AD282" s="28">
        <f>Table1[[#This Row],[Freshwater % of Summed Score]]*Table1[[#This Row],[Scaled Summed Score]]</f>
        <v>8.2226661281446182E-3</v>
      </c>
      <c r="AE282" s="29">
        <f>Table1[[#This Row],[Summed Raw Scores]]/MAX(Table1[Summed Raw Scores])</f>
        <v>0.10288775050632214</v>
      </c>
    </row>
    <row r="283" spans="1:31" hidden="1" x14ac:dyDescent="0.3">
      <c r="A283" s="26" t="s">
        <v>360</v>
      </c>
      <c r="B283" s="26" t="s">
        <v>58</v>
      </c>
      <c r="C283" s="26" t="s">
        <v>87</v>
      </c>
      <c r="D283" s="26"/>
      <c r="E283" s="18">
        <v>49.953810519999998</v>
      </c>
      <c r="F283" s="18">
        <v>-119.39450530000001</v>
      </c>
      <c r="G283" s="18">
        <v>215.3353846</v>
      </c>
      <c r="H283" s="26" t="s">
        <v>22</v>
      </c>
      <c r="I283" s="26" t="s">
        <v>22</v>
      </c>
      <c r="J283" s="18">
        <v>363.71438849999998</v>
      </c>
      <c r="K283" s="18">
        <v>142.83881220000001</v>
      </c>
      <c r="L283" s="6" t="s">
        <v>22</v>
      </c>
      <c r="M283" s="18">
        <v>0</v>
      </c>
      <c r="N283" s="18">
        <v>80.7</v>
      </c>
      <c r="O283" s="6">
        <f>Table1[[#This Row],[R1 Length (km)]]+Table1[[#This Row],[T1 Length (km)]]</f>
        <v>80.7</v>
      </c>
      <c r="P283" s="25">
        <v>230</v>
      </c>
      <c r="Q283" s="6">
        <f>(Table1[[#This Row],[Linear Features (km)]]*1)*100</f>
        <v>8070</v>
      </c>
      <c r="R283" s="18">
        <v>874.8</v>
      </c>
      <c r="S283" s="8">
        <f>Table1[[#This Row],[ATG (ha)]]/Table1[[#This Row],[Linear Area (ha)]]</f>
        <v>0.10840148698884758</v>
      </c>
      <c r="T283" s="9" t="s">
        <v>22</v>
      </c>
      <c r="U283" s="9" t="s">
        <v>22</v>
      </c>
      <c r="V283" s="18">
        <v>874.8</v>
      </c>
      <c r="W283" s="18">
        <v>349.92</v>
      </c>
      <c r="X283" s="31">
        <v>32970.2343326509</v>
      </c>
      <c r="Y283" s="27">
        <f>Table1[[#This Row],[Raw Terrestrial Score]]/Table1[[#This Row],[Summed Raw Scores]]</f>
        <v>0.84566573740840678</v>
      </c>
      <c r="Z283" s="31">
        <v>6017.0781174078602</v>
      </c>
      <c r="AA283" s="27">
        <f>Table1[[#This Row],[Raw Freshwater Score]]/Table1[[#This Row],[Summed Raw Scores]]</f>
        <v>0.15433426259159322</v>
      </c>
      <c r="AB283" s="27">
        <f>Table1[[#This Row],[Raw Terrestrial Score]]+Table1[[#This Row],[Raw Freshwater Score]]</f>
        <v>38987.312450058758</v>
      </c>
      <c r="AC283" s="28">
        <f>Table1[[#This Row],[Terrestrial % of Summed Score]]*Table1[[#This Row],[Scaled Summed Score]]</f>
        <v>0.19549490014684481</v>
      </c>
      <c r="AD283" s="28">
        <f>Table1[[#This Row],[Freshwater % of Summed Score]]*Table1[[#This Row],[Scaled Summed Score]]</f>
        <v>3.5677880656538125E-2</v>
      </c>
      <c r="AE283" s="29">
        <f>Table1[[#This Row],[Summed Raw Scores]]/MAX(Table1[Summed Raw Scores])</f>
        <v>0.23117278080338294</v>
      </c>
    </row>
    <row r="284" spans="1:31" hidden="1" x14ac:dyDescent="0.3">
      <c r="A284" s="26" t="s">
        <v>286</v>
      </c>
      <c r="B284" s="26" t="s">
        <v>58</v>
      </c>
      <c r="C284" s="26" t="s">
        <v>40</v>
      </c>
      <c r="D284" s="26"/>
      <c r="E284" s="18">
        <v>49.906237609999998</v>
      </c>
      <c r="F284" s="18">
        <v>-119.3738274</v>
      </c>
      <c r="G284" s="18">
        <v>98.695384619999999</v>
      </c>
      <c r="H284" s="26" t="s">
        <v>22</v>
      </c>
      <c r="I284" s="26" t="s">
        <v>22</v>
      </c>
      <c r="J284" s="18">
        <v>166.05871999999999</v>
      </c>
      <c r="K284" s="18">
        <v>125.1196456</v>
      </c>
      <c r="L284" s="6" t="s">
        <v>22</v>
      </c>
      <c r="M284" s="18">
        <v>0</v>
      </c>
      <c r="N284" s="18">
        <v>20.5</v>
      </c>
      <c r="O284" s="6">
        <f>Table1[[#This Row],[R1 Length (km)]]+Table1[[#This Row],[T1 Length (km)]]</f>
        <v>20.5</v>
      </c>
      <c r="P284" s="25">
        <v>130</v>
      </c>
      <c r="Q284" s="6">
        <f>(Table1[[#This Row],[Linear Features (km)]]*1)*100</f>
        <v>2050</v>
      </c>
      <c r="R284" s="18">
        <v>400.95</v>
      </c>
      <c r="S284" s="8">
        <f>Table1[[#This Row],[ATG (ha)]]/Table1[[#This Row],[Linear Area (ha)]]</f>
        <v>0.19558536585365854</v>
      </c>
      <c r="T284" s="9" t="s">
        <v>22</v>
      </c>
      <c r="U284" s="9" t="s">
        <v>22</v>
      </c>
      <c r="V284" s="18">
        <v>400.95</v>
      </c>
      <c r="W284" s="18">
        <v>160.38</v>
      </c>
      <c r="X284" s="31">
        <v>21208.899252891501</v>
      </c>
      <c r="Y284" s="27">
        <f>Table1[[#This Row],[Raw Terrestrial Score]]/Table1[[#This Row],[Summed Raw Scores]]</f>
        <v>0.92488508353294729</v>
      </c>
      <c r="Z284" s="31">
        <v>1722.4893385171899</v>
      </c>
      <c r="AA284" s="27">
        <f>Table1[[#This Row],[Raw Freshwater Score]]/Table1[[#This Row],[Summed Raw Scores]]</f>
        <v>7.5114916467052747E-2</v>
      </c>
      <c r="AB284" s="27">
        <f>Table1[[#This Row],[Raw Terrestrial Score]]+Table1[[#This Row],[Raw Freshwater Score]]</f>
        <v>22931.38859140869</v>
      </c>
      <c r="AC284" s="28">
        <f>Table1[[#This Row],[Terrestrial % of Summed Score]]*Table1[[#This Row],[Scaled Summed Score]]</f>
        <v>0.12575681445983666</v>
      </c>
      <c r="AD284" s="28">
        <f>Table1[[#This Row],[Freshwater % of Summed Score]]*Table1[[#This Row],[Scaled Summed Score]]</f>
        <v>1.0213390594677893E-2</v>
      </c>
      <c r="AE284" s="29">
        <f>Table1[[#This Row],[Summed Raw Scores]]/MAX(Table1[Summed Raw Scores])</f>
        <v>0.13597020505451454</v>
      </c>
    </row>
    <row r="285" spans="1:31" hidden="1" x14ac:dyDescent="0.3">
      <c r="A285" s="26" t="s">
        <v>359</v>
      </c>
      <c r="B285" s="26" t="s">
        <v>58</v>
      </c>
      <c r="C285" s="26" t="s">
        <v>21</v>
      </c>
      <c r="D285" s="26"/>
      <c r="E285" s="18">
        <v>49.064618209999999</v>
      </c>
      <c r="F285" s="18">
        <v>-123.9432068</v>
      </c>
      <c r="G285" s="18">
        <v>34.69292308</v>
      </c>
      <c r="H285" s="26" t="s">
        <v>22</v>
      </c>
      <c r="I285" s="26" t="s">
        <v>22</v>
      </c>
      <c r="J285" s="18">
        <v>55.822275390000001</v>
      </c>
      <c r="K285" s="18">
        <v>142.73011840000001</v>
      </c>
      <c r="L285" s="6" t="s">
        <v>22</v>
      </c>
      <c r="M285" s="18">
        <v>0.8</v>
      </c>
      <c r="N285" s="18">
        <v>3</v>
      </c>
      <c r="O285" s="6">
        <f>Table1[[#This Row],[R1 Length (km)]]+Table1[[#This Row],[T1 Length (km)]]</f>
        <v>3.8</v>
      </c>
      <c r="P285" s="25">
        <v>130</v>
      </c>
      <c r="Q285" s="6">
        <f>(Table1[[#This Row],[Linear Features (km)]]*1)*100</f>
        <v>380</v>
      </c>
      <c r="R285" s="18">
        <v>140.94</v>
      </c>
      <c r="S285" s="8">
        <f>Table1[[#This Row],[ATG (ha)]]/Table1[[#This Row],[Linear Area (ha)]]</f>
        <v>0.37089473684210528</v>
      </c>
      <c r="T285" s="9" t="s">
        <v>22</v>
      </c>
      <c r="U285" s="9" t="s">
        <v>22</v>
      </c>
      <c r="V285" s="18">
        <v>140.94</v>
      </c>
      <c r="W285" s="18">
        <v>56.375999999999998</v>
      </c>
      <c r="X285" s="31">
        <v>2048.3983889548099</v>
      </c>
      <c r="Y285" s="27">
        <f>Table1[[#This Row],[Raw Terrestrial Score]]/Table1[[#This Row],[Summed Raw Scores]]</f>
        <v>0.45843977486140719</v>
      </c>
      <c r="Z285" s="31">
        <v>2419.79678362608</v>
      </c>
      <c r="AA285" s="27">
        <f>Table1[[#This Row],[Raw Freshwater Score]]/Table1[[#This Row],[Summed Raw Scores]]</f>
        <v>0.5415602251385927</v>
      </c>
      <c r="AB285" s="27">
        <f>Table1[[#This Row],[Raw Terrestrial Score]]+Table1[[#This Row],[Raw Freshwater Score]]</f>
        <v>4468.1951725808904</v>
      </c>
      <c r="AC285" s="28">
        <f>Table1[[#This Row],[Terrestrial % of Summed Score]]*Table1[[#This Row],[Scaled Summed Score]]</f>
        <v>1.2145847508068982E-2</v>
      </c>
      <c r="AD285" s="28">
        <f>Table1[[#This Row],[Freshwater % of Summed Score]]*Table1[[#This Row],[Scaled Summed Score]]</f>
        <v>1.4348030584731412E-2</v>
      </c>
      <c r="AE285" s="29">
        <f>Table1[[#This Row],[Summed Raw Scores]]/MAX(Table1[Summed Raw Scores])</f>
        <v>2.6493878092800398E-2</v>
      </c>
    </row>
    <row r="286" spans="1:31" hidden="1" x14ac:dyDescent="0.3">
      <c r="A286" s="26" t="s">
        <v>326</v>
      </c>
      <c r="B286" s="26" t="s">
        <v>58</v>
      </c>
      <c r="C286" s="26" t="s">
        <v>32</v>
      </c>
      <c r="D286" s="26"/>
      <c r="E286" s="18">
        <v>49.25994</v>
      </c>
      <c r="F286" s="18">
        <v>-122.8224257</v>
      </c>
      <c r="G286" s="18">
        <v>17.34646154</v>
      </c>
      <c r="H286" s="26" t="s">
        <v>22</v>
      </c>
      <c r="I286" s="26" t="s">
        <v>22</v>
      </c>
      <c r="J286" s="18">
        <v>25.107017670000001</v>
      </c>
      <c r="K286" s="18">
        <v>133.37647190000001</v>
      </c>
      <c r="L286" s="6" t="s">
        <v>22</v>
      </c>
      <c r="M286" s="18">
        <v>0.3</v>
      </c>
      <c r="N286" s="18">
        <v>0</v>
      </c>
      <c r="O286" s="6">
        <f>Table1[[#This Row],[R1 Length (km)]]+Table1[[#This Row],[T1 Length (km)]]</f>
        <v>0.3</v>
      </c>
      <c r="P286" s="25">
        <v>25</v>
      </c>
      <c r="Q286" s="6">
        <f>(Table1[[#This Row],[Linear Features (km)]]*1)*100</f>
        <v>30</v>
      </c>
      <c r="R286" s="18">
        <v>70.47</v>
      </c>
      <c r="S286" s="8">
        <f>Table1[[#This Row],[ATG (ha)]]/Table1[[#This Row],[Linear Area (ha)]]</f>
        <v>2.3489999999999998</v>
      </c>
      <c r="T286" s="9" t="s">
        <v>22</v>
      </c>
      <c r="U286" s="9" t="s">
        <v>22</v>
      </c>
      <c r="V286" s="18">
        <v>70.47</v>
      </c>
      <c r="W286" s="18">
        <v>28.187999999999999</v>
      </c>
      <c r="X286" s="31">
        <v>603.53186227381195</v>
      </c>
      <c r="Y286" s="27">
        <f>Table1[[#This Row],[Raw Terrestrial Score]]/Table1[[#This Row],[Summed Raw Scores]]</f>
        <v>0.35273589096886399</v>
      </c>
      <c r="Z286" s="31">
        <v>1107.4702719748</v>
      </c>
      <c r="AA286" s="27">
        <f>Table1[[#This Row],[Raw Freshwater Score]]/Table1[[#This Row],[Summed Raw Scores]]</f>
        <v>0.64726410903113596</v>
      </c>
      <c r="AB286" s="27">
        <f>Table1[[#This Row],[Raw Terrestrial Score]]+Table1[[#This Row],[Raw Freshwater Score]]</f>
        <v>1711.002134248612</v>
      </c>
      <c r="AC286" s="28">
        <f>Table1[[#This Row],[Terrestrial % of Summed Score]]*Table1[[#This Row],[Scaled Summed Score]]</f>
        <v>3.5786036568691763E-3</v>
      </c>
      <c r="AD286" s="28">
        <f>Table1[[#This Row],[Freshwater % of Summed Score]]*Table1[[#This Row],[Scaled Summed Score]]</f>
        <v>6.5666742932701805E-3</v>
      </c>
      <c r="AE286" s="29">
        <f>Table1[[#This Row],[Summed Raw Scores]]/MAX(Table1[Summed Raw Scores])</f>
        <v>1.0145277950139357E-2</v>
      </c>
    </row>
    <row r="287" spans="1:31" hidden="1" x14ac:dyDescent="0.3">
      <c r="A287" s="26" t="s">
        <v>269</v>
      </c>
      <c r="B287" s="26" t="s">
        <v>58</v>
      </c>
      <c r="C287" s="26" t="s">
        <v>40</v>
      </c>
      <c r="D287" s="26"/>
      <c r="E287" s="18">
        <v>49.822599660000002</v>
      </c>
      <c r="F287" s="18">
        <v>-119.59908609999999</v>
      </c>
      <c r="G287" s="18">
        <v>16.748307690000001</v>
      </c>
      <c r="H287" s="26" t="s">
        <v>22</v>
      </c>
      <c r="I287" s="26" t="s">
        <v>22</v>
      </c>
      <c r="J287" s="18">
        <v>27.531019149999999</v>
      </c>
      <c r="K287" s="18">
        <v>121.86939649999999</v>
      </c>
      <c r="L287" s="6" t="s">
        <v>22</v>
      </c>
      <c r="M287" s="18">
        <v>0</v>
      </c>
      <c r="N287" s="18">
        <v>3.6</v>
      </c>
      <c r="O287" s="6">
        <f>Table1[[#This Row],[R1 Length (km)]]+Table1[[#This Row],[T1 Length (km)]]</f>
        <v>3.6</v>
      </c>
      <c r="P287" s="25">
        <v>25</v>
      </c>
      <c r="Q287" s="6">
        <f>(Table1[[#This Row],[Linear Features (km)]]*1)*100</f>
        <v>360</v>
      </c>
      <c r="R287" s="18">
        <v>68.040000000000006</v>
      </c>
      <c r="S287" s="8">
        <f>Table1[[#This Row],[ATG (ha)]]/Table1[[#This Row],[Linear Area (ha)]]</f>
        <v>0.18900000000000003</v>
      </c>
      <c r="T287" s="9" t="s">
        <v>22</v>
      </c>
      <c r="U287" s="9" t="s">
        <v>22</v>
      </c>
      <c r="V287" s="18">
        <v>68.040000000000006</v>
      </c>
      <c r="W287" s="18">
        <v>27.216000000000001</v>
      </c>
      <c r="X287" s="31">
        <v>4384.2275981903103</v>
      </c>
      <c r="Y287" s="27">
        <f>Table1[[#This Row],[Raw Terrestrial Score]]/Table1[[#This Row],[Summed Raw Scores]]</f>
        <v>0.93091435347509199</v>
      </c>
      <c r="Z287" s="31">
        <v>325.36526803206698</v>
      </c>
      <c r="AA287" s="27">
        <f>Table1[[#This Row],[Raw Freshwater Score]]/Table1[[#This Row],[Summed Raw Scores]]</f>
        <v>6.9085646524907882E-2</v>
      </c>
      <c r="AB287" s="27">
        <f>Table1[[#This Row],[Raw Terrestrial Score]]+Table1[[#This Row],[Raw Freshwater Score]]</f>
        <v>4709.5928662223778</v>
      </c>
      <c r="AC287" s="28">
        <f>Table1[[#This Row],[Terrestrial % of Summed Score]]*Table1[[#This Row],[Scaled Summed Score]]</f>
        <v>2.5995997719690554E-2</v>
      </c>
      <c r="AD287" s="28">
        <f>Table1[[#This Row],[Freshwater % of Summed Score]]*Table1[[#This Row],[Scaled Summed Score]]</f>
        <v>1.9292325903243325E-3</v>
      </c>
      <c r="AE287" s="29">
        <f>Table1[[#This Row],[Summed Raw Scores]]/MAX(Table1[Summed Raw Scores])</f>
        <v>2.7925230310014891E-2</v>
      </c>
    </row>
    <row r="288" spans="1:31" hidden="1" x14ac:dyDescent="0.3">
      <c r="A288" s="26" t="s">
        <v>91</v>
      </c>
      <c r="B288" s="26" t="s">
        <v>58</v>
      </c>
      <c r="C288" s="26" t="s">
        <v>40</v>
      </c>
      <c r="D288" s="26"/>
      <c r="E288" s="30">
        <v>49.822599660000002</v>
      </c>
      <c r="F288" s="30">
        <v>-119.59908609999999</v>
      </c>
      <c r="G288" s="30">
        <v>105.873230769</v>
      </c>
      <c r="H288" s="6" t="s">
        <v>22</v>
      </c>
      <c r="I288" s="6" t="s">
        <v>22</v>
      </c>
      <c r="J288" s="30">
        <v>177.4225591880429</v>
      </c>
      <c r="K288" s="30">
        <v>99.454599163987098</v>
      </c>
      <c r="L288" s="6" t="s">
        <v>22</v>
      </c>
      <c r="M288" s="30">
        <v>0</v>
      </c>
      <c r="N288" s="30">
        <v>3.6</v>
      </c>
      <c r="O288" s="6">
        <f>Table1[[#This Row],[R1 Length (km)]]+Table1[[#This Row],[T1 Length (km)]]</f>
        <v>3.6</v>
      </c>
      <c r="P288" s="31">
        <v>130</v>
      </c>
      <c r="Q288" s="6">
        <f>(Table1[[#This Row],[Linear Features (km)]]*1)*100</f>
        <v>360</v>
      </c>
      <c r="R288" s="30">
        <v>511.92</v>
      </c>
      <c r="S288" s="29">
        <f>Table1[[#This Row],[ATG (ha)]]/Table1[[#This Row],[Linear Area (ha)]]</f>
        <v>1.4220000000000002</v>
      </c>
      <c r="T288" s="9" t="s">
        <v>22</v>
      </c>
      <c r="U288" s="9" t="s">
        <v>22</v>
      </c>
      <c r="V288" s="30">
        <v>511.92</v>
      </c>
      <c r="W288" s="30">
        <v>204.76800000000003</v>
      </c>
      <c r="X288" s="31">
        <v>7654.7642021179199</v>
      </c>
      <c r="Y288" s="27">
        <f>Table1[[#This Row],[Raw Terrestrial Score]]/Table1[[#This Row],[Summed Raw Scores]]</f>
        <v>0.87691081470677135</v>
      </c>
      <c r="Z288" s="31">
        <v>1074.4749334235701</v>
      </c>
      <c r="AA288" s="27">
        <f>Table1[[#This Row],[Raw Freshwater Score]]/Table1[[#This Row],[Summed Raw Scores]]</f>
        <v>0.12308918529322872</v>
      </c>
      <c r="AB288" s="27">
        <f>Table1[[#This Row],[Raw Terrestrial Score]]+Table1[[#This Row],[Raw Freshwater Score]]</f>
        <v>8729.2391355414893</v>
      </c>
      <c r="AC288" s="28">
        <f>Table1[[#This Row],[Terrestrial % of Summed Score]]*Table1[[#This Row],[Scaled Summed Score]]</f>
        <v>4.5388435770343065E-2</v>
      </c>
      <c r="AD288" s="28">
        <f>Table1[[#This Row],[Freshwater % of Summed Score]]*Table1[[#This Row],[Scaled Summed Score]]</f>
        <v>6.371030539261551E-3</v>
      </c>
      <c r="AE288" s="29">
        <f>Table1[[#This Row],[Summed Raw Scores]]/MAX(Table1[Summed Raw Scores])</f>
        <v>5.175946630960461E-2</v>
      </c>
    </row>
    <row r="289" spans="1:31" hidden="1" x14ac:dyDescent="0.3">
      <c r="A289" s="26" t="s">
        <v>369</v>
      </c>
      <c r="B289" s="26" t="s">
        <v>58</v>
      </c>
      <c r="C289" s="26" t="s">
        <v>87</v>
      </c>
      <c r="D289" s="26"/>
      <c r="E289" s="18">
        <v>49.846685530000002</v>
      </c>
      <c r="F289" s="18">
        <v>-119.435188</v>
      </c>
      <c r="G289" s="18">
        <v>212.94276919999999</v>
      </c>
      <c r="H289" s="26" t="s">
        <v>22</v>
      </c>
      <c r="I289" s="26" t="s">
        <v>22</v>
      </c>
      <c r="J289" s="18">
        <v>355.43033650000001</v>
      </c>
      <c r="K289" s="18">
        <v>148.2050812</v>
      </c>
      <c r="L289" s="6" t="s">
        <v>22</v>
      </c>
      <c r="M289" s="18">
        <v>0</v>
      </c>
      <c r="N289" s="18">
        <v>94.2</v>
      </c>
      <c r="O289" s="6">
        <f>Table1[[#This Row],[R1 Length (km)]]+Table1[[#This Row],[T1 Length (km)]]</f>
        <v>94.2</v>
      </c>
      <c r="P289" s="25">
        <v>230</v>
      </c>
      <c r="Q289" s="6">
        <f>(Table1[[#This Row],[Linear Features (km)]]*1)*100</f>
        <v>9420</v>
      </c>
      <c r="R289" s="18">
        <v>865.08</v>
      </c>
      <c r="S289" s="8">
        <f>Table1[[#This Row],[ATG (ha)]]/Table1[[#This Row],[Linear Area (ha)]]</f>
        <v>9.1834394904458605E-2</v>
      </c>
      <c r="T289" s="9" t="s">
        <v>22</v>
      </c>
      <c r="U289" s="9" t="s">
        <v>22</v>
      </c>
      <c r="V289" s="18">
        <v>865.08</v>
      </c>
      <c r="W289" s="18">
        <v>346.03199999999998</v>
      </c>
      <c r="X289" s="31">
        <v>46743.527751654401</v>
      </c>
      <c r="Y289" s="27">
        <f>Table1[[#This Row],[Raw Terrestrial Score]]/Table1[[#This Row],[Summed Raw Scores]]</f>
        <v>0.86410241373277252</v>
      </c>
      <c r="Z289" s="31">
        <v>7351.36541006062</v>
      </c>
      <c r="AA289" s="27">
        <f>Table1[[#This Row],[Raw Freshwater Score]]/Table1[[#This Row],[Summed Raw Scores]]</f>
        <v>0.13589758626722745</v>
      </c>
      <c r="AB289" s="27">
        <f>Table1[[#This Row],[Raw Terrestrial Score]]+Table1[[#This Row],[Raw Freshwater Score]]</f>
        <v>54094.893161715023</v>
      </c>
      <c r="AC289" s="28">
        <f>Table1[[#This Row],[Terrestrial % of Summed Score]]*Table1[[#This Row],[Scaled Summed Score]]</f>
        <v>0.27716276439295229</v>
      </c>
      <c r="AD289" s="28">
        <f>Table1[[#This Row],[Freshwater % of Summed Score]]*Table1[[#This Row],[Scaled Summed Score]]</f>
        <v>4.3589451997298516E-2</v>
      </c>
      <c r="AE289" s="29">
        <f>Table1[[#This Row],[Summed Raw Scores]]/MAX(Table1[Summed Raw Scores])</f>
        <v>0.32075221639025081</v>
      </c>
    </row>
    <row r="290" spans="1:31" hidden="1" x14ac:dyDescent="0.3">
      <c r="A290" s="26" t="s">
        <v>334</v>
      </c>
      <c r="B290" s="26" t="s">
        <v>58</v>
      </c>
      <c r="C290" s="26" t="s">
        <v>87</v>
      </c>
      <c r="D290" s="26"/>
      <c r="E290" s="18">
        <v>49.858667279999999</v>
      </c>
      <c r="F290" s="18">
        <v>-119.35318530000001</v>
      </c>
      <c r="G290" s="18">
        <v>38.880000000000003</v>
      </c>
      <c r="H290" s="26" t="s">
        <v>22</v>
      </c>
      <c r="I290" s="26" t="s">
        <v>22</v>
      </c>
      <c r="J290" s="10">
        <v>65.008087320000001</v>
      </c>
      <c r="K290" s="10">
        <v>136.6651502</v>
      </c>
      <c r="L290" s="6" t="s">
        <v>22</v>
      </c>
      <c r="M290" s="18">
        <v>0.3</v>
      </c>
      <c r="N290" s="18">
        <v>23.4</v>
      </c>
      <c r="O290" s="6">
        <f>Table1[[#This Row],[R1 Length (km)]]+Table1[[#This Row],[T1 Length (km)]]</f>
        <v>23.7</v>
      </c>
      <c r="P290" s="25">
        <v>69</v>
      </c>
      <c r="Q290" s="6">
        <f>(Table1[[#This Row],[Linear Features (km)]]*1)*100</f>
        <v>2370</v>
      </c>
      <c r="R290" s="18">
        <v>157.94999999999999</v>
      </c>
      <c r="S290" s="8">
        <f>Table1[[#This Row],[ATG (ha)]]/Table1[[#This Row],[Linear Area (ha)]]</f>
        <v>6.6645569620253156E-2</v>
      </c>
      <c r="T290" s="9" t="s">
        <v>22</v>
      </c>
      <c r="U290" s="9" t="s">
        <v>22</v>
      </c>
      <c r="V290" s="18">
        <v>157.94999999999999</v>
      </c>
      <c r="W290" s="18">
        <v>63.18</v>
      </c>
      <c r="X290" s="31">
        <v>22672.736774146601</v>
      </c>
      <c r="Y290" s="27">
        <f>Table1[[#This Row],[Raw Terrestrial Score]]/Table1[[#This Row],[Summed Raw Scores]]</f>
        <v>0.92402063064879747</v>
      </c>
      <c r="Z290" s="31">
        <v>1864.3092853413</v>
      </c>
      <c r="AA290" s="27">
        <f>Table1[[#This Row],[Raw Freshwater Score]]/Table1[[#This Row],[Summed Raw Scores]]</f>
        <v>7.5979369351202544E-2</v>
      </c>
      <c r="AB290" s="27">
        <f>Table1[[#This Row],[Raw Terrestrial Score]]+Table1[[#This Row],[Raw Freshwater Score]]</f>
        <v>24537.0460594879</v>
      </c>
      <c r="AC290" s="28">
        <f>Table1[[#This Row],[Terrestrial % of Summed Score]]*Table1[[#This Row],[Scaled Summed Score]]</f>
        <v>0.13443654561253793</v>
      </c>
      <c r="AD290" s="28">
        <f>Table1[[#This Row],[Freshwater % of Summed Score]]*Table1[[#This Row],[Scaled Summed Score]]</f>
        <v>1.1054302917698714E-2</v>
      </c>
      <c r="AE290" s="29">
        <f>Table1[[#This Row],[Summed Raw Scores]]/MAX(Table1[Summed Raw Scores])</f>
        <v>0.14549084853023664</v>
      </c>
    </row>
    <row r="291" spans="1:31" hidden="1" x14ac:dyDescent="0.3">
      <c r="A291" s="26" t="s">
        <v>297</v>
      </c>
      <c r="B291" s="26" t="s">
        <v>58</v>
      </c>
      <c r="C291" s="26" t="s">
        <v>95</v>
      </c>
      <c r="D291" s="26"/>
      <c r="E291" s="18">
        <v>50.276648289999997</v>
      </c>
      <c r="F291" s="18">
        <v>-115.8603701</v>
      </c>
      <c r="G291" s="18">
        <v>14.35569231</v>
      </c>
      <c r="H291" s="26" t="s">
        <v>22</v>
      </c>
      <c r="I291" s="26" t="s">
        <v>22</v>
      </c>
      <c r="J291" s="18">
        <v>24.485010519999999</v>
      </c>
      <c r="K291" s="18">
        <v>127.52933419999999</v>
      </c>
      <c r="L291" s="6" t="s">
        <v>22</v>
      </c>
      <c r="M291" s="18">
        <v>1.7</v>
      </c>
      <c r="N291" s="18">
        <v>6.4</v>
      </c>
      <c r="O291" s="6">
        <f>Table1[[#This Row],[R1 Length (km)]]+Table1[[#This Row],[T1 Length (km)]]</f>
        <v>8.1</v>
      </c>
      <c r="P291" s="25">
        <v>25</v>
      </c>
      <c r="Q291" s="6">
        <f>(Table1[[#This Row],[Linear Features (km)]]*1)*100</f>
        <v>810</v>
      </c>
      <c r="R291" s="18">
        <v>58.32</v>
      </c>
      <c r="S291" s="8">
        <f>Table1[[#This Row],[ATG (ha)]]/Table1[[#This Row],[Linear Area (ha)]]</f>
        <v>7.1999999999999995E-2</v>
      </c>
      <c r="T291" s="9" t="s">
        <v>22</v>
      </c>
      <c r="U291" s="9" t="s">
        <v>22</v>
      </c>
      <c r="V291" s="18">
        <v>58.32</v>
      </c>
      <c r="W291" s="18">
        <v>23.327999999999999</v>
      </c>
      <c r="X291" s="31">
        <v>7260.2680997550497</v>
      </c>
      <c r="Y291" s="27">
        <f>Table1[[#This Row],[Raw Terrestrial Score]]/Table1[[#This Row],[Summed Raw Scores]]</f>
        <v>0.57487877801131093</v>
      </c>
      <c r="Z291" s="31">
        <v>5368.94761920162</v>
      </c>
      <c r="AA291" s="27">
        <f>Table1[[#This Row],[Raw Freshwater Score]]/Table1[[#This Row],[Summed Raw Scores]]</f>
        <v>0.42512122198868907</v>
      </c>
      <c r="AB291" s="27">
        <f>Table1[[#This Row],[Raw Terrestrial Score]]+Table1[[#This Row],[Raw Freshwater Score]]</f>
        <v>12629.21571895667</v>
      </c>
      <c r="AC291" s="28">
        <f>Table1[[#This Row],[Terrestrial % of Summed Score]]*Table1[[#This Row],[Scaled Summed Score]]</f>
        <v>4.3049296310136868E-2</v>
      </c>
      <c r="AD291" s="28">
        <f>Table1[[#This Row],[Freshwater % of Summed Score]]*Table1[[#This Row],[Scaled Summed Score]]</f>
        <v>3.183483223442015E-2</v>
      </c>
      <c r="AE291" s="29">
        <f>Table1[[#This Row],[Summed Raw Scores]]/MAX(Table1[Summed Raw Scores])</f>
        <v>7.4884128544557019E-2</v>
      </c>
    </row>
    <row r="292" spans="1:31" hidden="1" x14ac:dyDescent="0.3">
      <c r="A292" s="26" t="s">
        <v>353</v>
      </c>
      <c r="B292" s="26" t="s">
        <v>58</v>
      </c>
      <c r="C292" s="26" t="s">
        <v>32</v>
      </c>
      <c r="D292" s="26"/>
      <c r="E292" s="18">
        <v>49.212901430000002</v>
      </c>
      <c r="F292" s="18">
        <v>-122.7990886</v>
      </c>
      <c r="G292" s="18">
        <v>14.35569231</v>
      </c>
      <c r="H292" s="26" t="s">
        <v>22</v>
      </c>
      <c r="I292" s="26" t="s">
        <v>22</v>
      </c>
      <c r="J292" s="18">
        <v>20.773970980000001</v>
      </c>
      <c r="K292" s="18">
        <v>141.42138700000001</v>
      </c>
      <c r="L292" s="6" t="s">
        <v>22</v>
      </c>
      <c r="M292" s="18">
        <v>0</v>
      </c>
      <c r="N292" s="18">
        <v>3.7</v>
      </c>
      <c r="O292" s="6">
        <f>Table1[[#This Row],[R1 Length (km)]]+Table1[[#This Row],[T1 Length (km)]]</f>
        <v>3.7</v>
      </c>
      <c r="P292" s="25">
        <v>25</v>
      </c>
      <c r="Q292" s="6">
        <f>(Table1[[#This Row],[Linear Features (km)]]*1)*100</f>
        <v>370</v>
      </c>
      <c r="R292" s="18">
        <v>58.32</v>
      </c>
      <c r="S292" s="8">
        <f>Table1[[#This Row],[ATG (ha)]]/Table1[[#This Row],[Linear Area (ha)]]</f>
        <v>0.15762162162162163</v>
      </c>
      <c r="T292" s="9" t="s">
        <v>22</v>
      </c>
      <c r="U292" s="9" t="s">
        <v>22</v>
      </c>
      <c r="V292" s="18">
        <v>58.32</v>
      </c>
      <c r="W292" s="18">
        <v>23.327999999999999</v>
      </c>
      <c r="X292" s="31">
        <v>539.74698216374998</v>
      </c>
      <c r="Y292" s="27">
        <f>Table1[[#This Row],[Raw Terrestrial Score]]/Table1[[#This Row],[Summed Raw Scores]]</f>
        <v>0.13564019180546671</v>
      </c>
      <c r="Z292" s="31">
        <v>3439.5085392221799</v>
      </c>
      <c r="AA292" s="27">
        <f>Table1[[#This Row],[Raw Freshwater Score]]/Table1[[#This Row],[Summed Raw Scores]]</f>
        <v>0.86435980819453329</v>
      </c>
      <c r="AB292" s="27">
        <f>Table1[[#This Row],[Raw Terrestrial Score]]+Table1[[#This Row],[Raw Freshwater Score]]</f>
        <v>3979.25552138593</v>
      </c>
      <c r="AC292" s="28">
        <f>Table1[[#This Row],[Terrestrial % of Summed Score]]*Table1[[#This Row],[Scaled Summed Score]]</f>
        <v>3.2003952813331195E-3</v>
      </c>
      <c r="AD292" s="28">
        <f>Table1[[#This Row],[Freshwater % of Summed Score]]*Table1[[#This Row],[Scaled Summed Score]]</f>
        <v>2.0394346356330459E-2</v>
      </c>
      <c r="AE292" s="29">
        <f>Table1[[#This Row],[Summed Raw Scores]]/MAX(Table1[Summed Raw Scores])</f>
        <v>2.3594741637663577E-2</v>
      </c>
    </row>
    <row r="293" spans="1:31" hidden="1" x14ac:dyDescent="0.3">
      <c r="A293" s="26" t="s">
        <v>385</v>
      </c>
      <c r="B293" s="26" t="s">
        <v>58</v>
      </c>
      <c r="C293" s="26" t="s">
        <v>32</v>
      </c>
      <c r="D293" s="26"/>
      <c r="E293" s="18">
        <v>49.179494689999999</v>
      </c>
      <c r="F293" s="18">
        <v>-122.69556009999999</v>
      </c>
      <c r="G293" s="18">
        <v>24.723692310000001</v>
      </c>
      <c r="H293" s="26" t="s">
        <v>22</v>
      </c>
      <c r="I293" s="26" t="s">
        <v>22</v>
      </c>
      <c r="J293" s="18">
        <v>36.095815309999999</v>
      </c>
      <c r="K293" s="18">
        <v>156.3236301</v>
      </c>
      <c r="L293" s="6" t="s">
        <v>22</v>
      </c>
      <c r="M293" s="18">
        <v>0</v>
      </c>
      <c r="N293" s="18">
        <v>0</v>
      </c>
      <c r="O293" s="6">
        <f>Table1[[#This Row],[R1 Length (km)]]+Table1[[#This Row],[T1 Length (km)]]</f>
        <v>0</v>
      </c>
      <c r="P293" s="25">
        <v>69</v>
      </c>
      <c r="Q293" s="6">
        <f>(Table1[[#This Row],[Linear Features (km)]]*1)*100</f>
        <v>0</v>
      </c>
      <c r="R293" s="18">
        <v>100.44</v>
      </c>
      <c r="S293" s="8" t="e">
        <f>Table1[[#This Row],[ATG (ha)]]/Table1[[#This Row],[Linear Area (ha)]]</f>
        <v>#DIV/0!</v>
      </c>
      <c r="T293" s="9" t="s">
        <v>22</v>
      </c>
      <c r="U293" s="9" t="s">
        <v>22</v>
      </c>
      <c r="V293" s="18">
        <v>100.44</v>
      </c>
      <c r="W293" s="18">
        <v>40.176000000000002</v>
      </c>
      <c r="X293" s="31">
        <v>766.06807489693199</v>
      </c>
      <c r="Y293" s="27">
        <f>Table1[[#This Row],[Raw Terrestrial Score]]/Table1[[#This Row],[Summed Raw Scores]]</f>
        <v>0.36000168865788224</v>
      </c>
      <c r="Z293" s="31">
        <v>1361.8888181745999</v>
      </c>
      <c r="AA293" s="27">
        <f>Table1[[#This Row],[Raw Freshwater Score]]/Table1[[#This Row],[Summed Raw Scores]]</f>
        <v>0.63999831134211782</v>
      </c>
      <c r="AB293" s="27">
        <f>Table1[[#This Row],[Raw Terrestrial Score]]+Table1[[#This Row],[Raw Freshwater Score]]</f>
        <v>2127.9568930715318</v>
      </c>
      <c r="AC293" s="28">
        <f>Table1[[#This Row],[Terrestrial % of Summed Score]]*Table1[[#This Row],[Scaled Summed Score]]</f>
        <v>4.5423517557274225E-3</v>
      </c>
      <c r="AD293" s="28">
        <f>Table1[[#This Row],[Freshwater % of Summed Score]]*Table1[[#This Row],[Scaled Summed Score]]</f>
        <v>8.0752328246719296E-3</v>
      </c>
      <c r="AE293" s="29">
        <f>Table1[[#This Row],[Summed Raw Scores]]/MAX(Table1[Summed Raw Scores])</f>
        <v>1.2617584580399351E-2</v>
      </c>
    </row>
    <row r="294" spans="1:31" hidden="1" x14ac:dyDescent="0.3">
      <c r="A294" s="26" t="s">
        <v>299</v>
      </c>
      <c r="B294" s="26" t="s">
        <v>58</v>
      </c>
      <c r="C294" s="26" t="s">
        <v>21</v>
      </c>
      <c r="D294" s="26"/>
      <c r="E294" s="18">
        <v>48.834504019999997</v>
      </c>
      <c r="F294" s="18">
        <v>-124.0850609</v>
      </c>
      <c r="G294" s="18">
        <v>46.855384620000002</v>
      </c>
      <c r="H294" s="26" t="s">
        <v>22</v>
      </c>
      <c r="I294" s="26" t="s">
        <v>22</v>
      </c>
      <c r="J294" s="18">
        <v>74.251016120000003</v>
      </c>
      <c r="K294" s="18">
        <v>127.60151999999999</v>
      </c>
      <c r="L294" s="6" t="s">
        <v>22</v>
      </c>
      <c r="M294" s="18">
        <v>0</v>
      </c>
      <c r="N294" s="18">
        <v>2.9</v>
      </c>
      <c r="O294" s="6">
        <f>Table1[[#This Row],[R1 Length (km)]]+Table1[[#This Row],[T1 Length (km)]]</f>
        <v>2.9</v>
      </c>
      <c r="P294" s="25">
        <v>69</v>
      </c>
      <c r="Q294" s="6">
        <f>(Table1[[#This Row],[Linear Features (km)]]*1)*100</f>
        <v>290</v>
      </c>
      <c r="R294" s="18">
        <v>190.35</v>
      </c>
      <c r="S294" s="8">
        <f>Table1[[#This Row],[ATG (ha)]]/Table1[[#This Row],[Linear Area (ha)]]</f>
        <v>0.65637931034482755</v>
      </c>
      <c r="T294" s="9" t="s">
        <v>22</v>
      </c>
      <c r="U294" s="9" t="s">
        <v>22</v>
      </c>
      <c r="V294" s="18">
        <v>190.35</v>
      </c>
      <c r="W294" s="18">
        <v>76.14</v>
      </c>
      <c r="X294" s="31">
        <v>63.109025582671201</v>
      </c>
      <c r="Y294" s="27">
        <f>Table1[[#This Row],[Raw Terrestrial Score]]/Table1[[#This Row],[Summed Raw Scores]]</f>
        <v>2.5462277348346846E-2</v>
      </c>
      <c r="Z294" s="31">
        <v>2415.4212613701802</v>
      </c>
      <c r="AA294" s="27">
        <f>Table1[[#This Row],[Raw Freshwater Score]]/Table1[[#This Row],[Summed Raw Scores]]</f>
        <v>0.97453772265165317</v>
      </c>
      <c r="AB294" s="27">
        <f>Table1[[#This Row],[Raw Terrestrial Score]]+Table1[[#This Row],[Raw Freshwater Score]]</f>
        <v>2478.5302869528514</v>
      </c>
      <c r="AC294" s="28">
        <f>Table1[[#This Row],[Terrestrial % of Summed Score]]*Table1[[#This Row],[Scaled Summed Score]]</f>
        <v>3.7420093925237844E-4</v>
      </c>
      <c r="AD294" s="28">
        <f>Table1[[#This Row],[Freshwater % of Summed Score]]*Table1[[#This Row],[Scaled Summed Score]]</f>
        <v>1.4322086204783214E-2</v>
      </c>
      <c r="AE294" s="29">
        <f>Table1[[#This Row],[Summed Raw Scores]]/MAX(Table1[Summed Raw Scores])</f>
        <v>1.4696287144035593E-2</v>
      </c>
    </row>
    <row r="295" spans="1:31" hidden="1" x14ac:dyDescent="0.3">
      <c r="A295" s="26" t="s">
        <v>379</v>
      </c>
      <c r="B295" s="26" t="s">
        <v>58</v>
      </c>
      <c r="C295" s="26" t="s">
        <v>21</v>
      </c>
      <c r="D295" s="26"/>
      <c r="E295" s="18">
        <v>48.891352070000003</v>
      </c>
      <c r="F295" s="18">
        <v>-123.7671026</v>
      </c>
      <c r="G295" s="18">
        <v>21.533538459999999</v>
      </c>
      <c r="H295" s="26" t="s">
        <v>22</v>
      </c>
      <c r="I295" s="26" t="s">
        <v>22</v>
      </c>
      <c r="J295" s="18">
        <v>35.36836358</v>
      </c>
      <c r="K295" s="18">
        <v>153.0936361</v>
      </c>
      <c r="L295" s="6" t="s">
        <v>22</v>
      </c>
      <c r="M295" s="18">
        <v>0.6</v>
      </c>
      <c r="N295" s="18">
        <v>8.1999999999999993</v>
      </c>
      <c r="O295" s="6">
        <f>Table1[[#This Row],[R1 Length (km)]]+Table1[[#This Row],[T1 Length (km)]]</f>
        <v>8.7999999999999989</v>
      </c>
      <c r="P295" s="25">
        <v>69</v>
      </c>
      <c r="Q295" s="6">
        <f>(Table1[[#This Row],[Linear Features (km)]]*1)*100</f>
        <v>879.99999999999989</v>
      </c>
      <c r="R295" s="18">
        <v>87.48</v>
      </c>
      <c r="S295" s="8">
        <f>Table1[[#This Row],[ATG (ha)]]/Table1[[#This Row],[Linear Area (ha)]]</f>
        <v>9.9409090909090933E-2</v>
      </c>
      <c r="T295" s="9" t="s">
        <v>22</v>
      </c>
      <c r="U295" s="9" t="s">
        <v>22</v>
      </c>
      <c r="V295" s="18">
        <v>87.48</v>
      </c>
      <c r="W295" s="18">
        <v>34.991999999999997</v>
      </c>
      <c r="X295" s="31">
        <v>2163.8263347204802</v>
      </c>
      <c r="Y295" s="27">
        <f>Table1[[#This Row],[Raw Terrestrial Score]]/Table1[[#This Row],[Summed Raw Scores]]</f>
        <v>0.37453858534360351</v>
      </c>
      <c r="Z295" s="31">
        <v>3613.4858552515502</v>
      </c>
      <c r="AA295" s="27">
        <f>Table1[[#This Row],[Raw Freshwater Score]]/Table1[[#This Row],[Summed Raw Scores]]</f>
        <v>0.6254614146563966</v>
      </c>
      <c r="AB295" s="27">
        <f>Table1[[#This Row],[Raw Terrestrial Score]]+Table1[[#This Row],[Raw Freshwater Score]]</f>
        <v>5777.31218997203</v>
      </c>
      <c r="AC295" s="28">
        <f>Table1[[#This Row],[Terrestrial % of Summed Score]]*Table1[[#This Row],[Scaled Summed Score]]</f>
        <v>1.2830270145285975E-2</v>
      </c>
      <c r="AD295" s="28">
        <f>Table1[[#This Row],[Freshwater % of Summed Score]]*Table1[[#This Row],[Scaled Summed Score]]</f>
        <v>2.1425933747606461E-2</v>
      </c>
      <c r="AE295" s="29">
        <f>Table1[[#This Row],[Summed Raw Scores]]/MAX(Table1[Summed Raw Scores])</f>
        <v>3.4256203892892433E-2</v>
      </c>
    </row>
    <row r="296" spans="1:31" hidden="1" x14ac:dyDescent="0.3">
      <c r="A296" s="26" t="s">
        <v>381</v>
      </c>
      <c r="B296" s="26" t="s">
        <v>58</v>
      </c>
      <c r="C296" s="26" t="s">
        <v>21</v>
      </c>
      <c r="D296" s="26"/>
      <c r="E296" s="18">
        <v>48.787689759999999</v>
      </c>
      <c r="F296" s="18">
        <v>-124.0608423</v>
      </c>
      <c r="G296" s="18">
        <v>22.92923077</v>
      </c>
      <c r="H296" s="26" t="s">
        <v>22</v>
      </c>
      <c r="I296" s="26" t="s">
        <v>22</v>
      </c>
      <c r="J296" s="18">
        <v>36.211620850000003</v>
      </c>
      <c r="K296" s="18">
        <v>154.0999851</v>
      </c>
      <c r="L296" s="6" t="s">
        <v>22</v>
      </c>
      <c r="M296" s="18">
        <v>2.8</v>
      </c>
      <c r="N296" s="18">
        <v>3.6</v>
      </c>
      <c r="O296" s="6">
        <f>Table1[[#This Row],[R1 Length (km)]]+Table1[[#This Row],[T1 Length (km)]]</f>
        <v>6.4</v>
      </c>
      <c r="P296" s="25">
        <v>69</v>
      </c>
      <c r="Q296" s="6">
        <f>(Table1[[#This Row],[Linear Features (km)]]*1)*100</f>
        <v>640</v>
      </c>
      <c r="R296" s="18">
        <v>93.15</v>
      </c>
      <c r="S296" s="8">
        <f>Table1[[#This Row],[ATG (ha)]]/Table1[[#This Row],[Linear Area (ha)]]</f>
        <v>0.14554687500000002</v>
      </c>
      <c r="T296" s="9" t="s">
        <v>22</v>
      </c>
      <c r="U296" s="9" t="s">
        <v>22</v>
      </c>
      <c r="V296" s="18">
        <v>93.15</v>
      </c>
      <c r="W296" s="18">
        <v>37.26</v>
      </c>
      <c r="X296" s="31">
        <v>847.973999788985</v>
      </c>
      <c r="Y296" s="27">
        <f>Table1[[#This Row],[Raw Terrestrial Score]]/Table1[[#This Row],[Summed Raw Scores]]</f>
        <v>0.19715155580201213</v>
      </c>
      <c r="Z296" s="31">
        <v>3453.1536090671998</v>
      </c>
      <c r="AA296" s="27">
        <f>Table1[[#This Row],[Raw Freshwater Score]]/Table1[[#This Row],[Summed Raw Scores]]</f>
        <v>0.80284844419798795</v>
      </c>
      <c r="AB296" s="27">
        <f>Table1[[#This Row],[Raw Terrestrial Score]]+Table1[[#This Row],[Raw Freshwater Score]]</f>
        <v>4301.1276088561845</v>
      </c>
      <c r="AC296" s="28">
        <f>Table1[[#This Row],[Terrestrial % of Summed Score]]*Table1[[#This Row],[Scaled Summed Score]]</f>
        <v>5.0280077097207432E-3</v>
      </c>
      <c r="AD296" s="28">
        <f>Table1[[#This Row],[Freshwater % of Summed Score]]*Table1[[#This Row],[Scaled Summed Score]]</f>
        <v>2.047525392707851E-2</v>
      </c>
      <c r="AE296" s="29">
        <f>Table1[[#This Row],[Summed Raw Scores]]/MAX(Table1[Summed Raw Scores])</f>
        <v>2.5503261636799252E-2</v>
      </c>
    </row>
    <row r="297" spans="1:31" hidden="1" x14ac:dyDescent="0.3">
      <c r="A297" s="26" t="s">
        <v>368</v>
      </c>
      <c r="B297" s="26" t="s">
        <v>58</v>
      </c>
      <c r="C297" s="26" t="s">
        <v>21</v>
      </c>
      <c r="D297" s="26"/>
      <c r="E297" s="18">
        <v>48.769325129999999</v>
      </c>
      <c r="F297" s="18">
        <v>-123.87800729999999</v>
      </c>
      <c r="G297" s="18">
        <v>26.119384620000002</v>
      </c>
      <c r="H297" s="26" t="s">
        <v>22</v>
      </c>
      <c r="I297" s="26" t="s">
        <v>22</v>
      </c>
      <c r="J297" s="18">
        <v>42.899674500000003</v>
      </c>
      <c r="K297" s="18">
        <v>147.1678679</v>
      </c>
      <c r="L297" s="6" t="s">
        <v>22</v>
      </c>
      <c r="M297" s="18">
        <v>0</v>
      </c>
      <c r="N297" s="18">
        <v>12.9</v>
      </c>
      <c r="O297" s="6">
        <f>Table1[[#This Row],[R1 Length (km)]]+Table1[[#This Row],[T1 Length (km)]]</f>
        <v>12.9</v>
      </c>
      <c r="P297" s="25">
        <v>69</v>
      </c>
      <c r="Q297" s="6">
        <f>(Table1[[#This Row],[Linear Features (km)]]*1)*100</f>
        <v>1290</v>
      </c>
      <c r="R297" s="18">
        <v>106.11</v>
      </c>
      <c r="S297" s="8">
        <f>Table1[[#This Row],[ATG (ha)]]/Table1[[#This Row],[Linear Area (ha)]]</f>
        <v>8.2255813953488369E-2</v>
      </c>
      <c r="T297" s="9" t="s">
        <v>22</v>
      </c>
      <c r="U297" s="9" t="s">
        <v>22</v>
      </c>
      <c r="V297" s="18">
        <v>106.11</v>
      </c>
      <c r="W297" s="18">
        <v>42.444000000000003</v>
      </c>
      <c r="X297" s="31">
        <v>5649.1886135935802</v>
      </c>
      <c r="Y297" s="27">
        <f>Table1[[#This Row],[Raw Terrestrial Score]]/Table1[[#This Row],[Summed Raw Scores]]</f>
        <v>0.45412855421520082</v>
      </c>
      <c r="Z297" s="31">
        <v>6790.4357199966898</v>
      </c>
      <c r="AA297" s="27">
        <f>Table1[[#This Row],[Raw Freshwater Score]]/Table1[[#This Row],[Summed Raw Scores]]</f>
        <v>0.54587144578479918</v>
      </c>
      <c r="AB297" s="27">
        <f>Table1[[#This Row],[Raw Terrestrial Score]]+Table1[[#This Row],[Raw Freshwater Score]]</f>
        <v>12439.624333590269</v>
      </c>
      <c r="AC297" s="28">
        <f>Table1[[#This Row],[Terrestrial % of Summed Score]]*Table1[[#This Row],[Scaled Summed Score]]</f>
        <v>3.3496503324256896E-2</v>
      </c>
      <c r="AD297" s="28">
        <f>Table1[[#This Row],[Freshwater % of Summed Score]]*Table1[[#This Row],[Scaled Summed Score]]</f>
        <v>4.0263455201459797E-2</v>
      </c>
      <c r="AE297" s="29">
        <f>Table1[[#This Row],[Summed Raw Scores]]/MAX(Table1[Summed Raw Scores])</f>
        <v>7.3759958525716693E-2</v>
      </c>
    </row>
    <row r="298" spans="1:31" hidden="1" x14ac:dyDescent="0.3">
      <c r="A298" s="26" t="s">
        <v>354</v>
      </c>
      <c r="B298" s="26" t="s">
        <v>58</v>
      </c>
      <c r="C298" s="26" t="s">
        <v>32</v>
      </c>
      <c r="D298" s="26"/>
      <c r="E298" s="18">
        <v>49.0586117</v>
      </c>
      <c r="F298" s="18">
        <v>-122.2025148</v>
      </c>
      <c r="G298" s="18">
        <v>16.548923080000002</v>
      </c>
      <c r="H298" s="26" t="s">
        <v>22</v>
      </c>
      <c r="I298" s="26" t="s">
        <v>22</v>
      </c>
      <c r="J298" s="18">
        <v>24.13961162</v>
      </c>
      <c r="K298" s="18">
        <v>141.53712540000001</v>
      </c>
      <c r="L298" s="6" t="s">
        <v>22</v>
      </c>
      <c r="M298" s="18">
        <v>0</v>
      </c>
      <c r="N298" s="18">
        <v>7.3</v>
      </c>
      <c r="O298" s="6">
        <f>Table1[[#This Row],[R1 Length (km)]]+Table1[[#This Row],[T1 Length (km)]]</f>
        <v>7.3</v>
      </c>
      <c r="P298" s="25">
        <v>25</v>
      </c>
      <c r="Q298" s="6">
        <f>(Table1[[#This Row],[Linear Features (km)]]*1)*100</f>
        <v>730</v>
      </c>
      <c r="R298" s="18">
        <v>67.23</v>
      </c>
      <c r="S298" s="8">
        <f>Table1[[#This Row],[ATG (ha)]]/Table1[[#This Row],[Linear Area (ha)]]</f>
        <v>9.2095890410958905E-2</v>
      </c>
      <c r="T298" s="9" t="s">
        <v>22</v>
      </c>
      <c r="U298" s="9" t="s">
        <v>22</v>
      </c>
      <c r="V298" s="18">
        <v>67.23</v>
      </c>
      <c r="W298" s="18">
        <v>26.891999999999999</v>
      </c>
      <c r="X298" s="31">
        <v>6497.3731928542302</v>
      </c>
      <c r="Y298" s="27">
        <f>Table1[[#This Row],[Raw Terrestrial Score]]/Table1[[#This Row],[Summed Raw Scores]]</f>
        <v>0.73962992701503005</v>
      </c>
      <c r="Z298" s="31">
        <v>2287.2540315687702</v>
      </c>
      <c r="AA298" s="27">
        <f>Table1[[#This Row],[Raw Freshwater Score]]/Table1[[#This Row],[Summed Raw Scores]]</f>
        <v>0.26037007298496989</v>
      </c>
      <c r="AB298" s="27">
        <f>Table1[[#This Row],[Raw Terrestrial Score]]+Table1[[#This Row],[Raw Freshwater Score]]</f>
        <v>8784.6272244230004</v>
      </c>
      <c r="AC298" s="28">
        <f>Table1[[#This Row],[Terrestrial % of Summed Score]]*Table1[[#This Row],[Scaled Summed Score]]</f>
        <v>3.852575965151462E-2</v>
      </c>
      <c r="AD298" s="28">
        <f>Table1[[#This Row],[Freshwater % of Summed Score]]*Table1[[#This Row],[Scaled Summed Score]]</f>
        <v>1.3562126795962422E-2</v>
      </c>
      <c r="AE298" s="29">
        <f>Table1[[#This Row],[Summed Raw Scores]]/MAX(Table1[Summed Raw Scores])</f>
        <v>5.2087886447477041E-2</v>
      </c>
    </row>
    <row r="299" spans="1:31" hidden="1" x14ac:dyDescent="0.3">
      <c r="A299" s="26" t="s">
        <v>401</v>
      </c>
      <c r="B299" s="26" t="s">
        <v>58</v>
      </c>
      <c r="C299" s="26" t="s">
        <v>32</v>
      </c>
      <c r="D299" s="26"/>
      <c r="E299" s="18">
        <v>49.071954939999998</v>
      </c>
      <c r="F299" s="18">
        <v>-122.12229979999999</v>
      </c>
      <c r="G299" s="18">
        <v>24.92307692</v>
      </c>
      <c r="H299" s="26" t="s">
        <v>22</v>
      </c>
      <c r="I299" s="26" t="s">
        <v>22</v>
      </c>
      <c r="J299" s="18">
        <v>36.385622320000003</v>
      </c>
      <c r="K299" s="18">
        <v>165.48751809999999</v>
      </c>
      <c r="L299" s="6" t="s">
        <v>22</v>
      </c>
      <c r="M299" s="18">
        <v>0</v>
      </c>
      <c r="N299" s="18">
        <v>10.4</v>
      </c>
      <c r="O299" s="6">
        <f>Table1[[#This Row],[R1 Length (km)]]+Table1[[#This Row],[T1 Length (km)]]</f>
        <v>10.4</v>
      </c>
      <c r="P299" s="25">
        <v>69</v>
      </c>
      <c r="Q299" s="6">
        <f>(Table1[[#This Row],[Linear Features (km)]]*1)*100</f>
        <v>1040</v>
      </c>
      <c r="R299" s="18">
        <v>101.25</v>
      </c>
      <c r="S299" s="8">
        <f>Table1[[#This Row],[ATG (ha)]]/Table1[[#This Row],[Linear Area (ha)]]</f>
        <v>9.7355769230769232E-2</v>
      </c>
      <c r="T299" s="9" t="s">
        <v>22</v>
      </c>
      <c r="U299" s="9" t="s">
        <v>22</v>
      </c>
      <c r="V299" s="18">
        <v>101.25</v>
      </c>
      <c r="W299" s="18">
        <v>40.5</v>
      </c>
      <c r="X299" s="31">
        <v>9195.4173313081301</v>
      </c>
      <c r="Y299" s="27">
        <f>Table1[[#This Row],[Raw Terrestrial Score]]/Table1[[#This Row],[Summed Raw Scores]]</f>
        <v>0.58734472039010843</v>
      </c>
      <c r="Z299" s="31">
        <v>6460.4947967529297</v>
      </c>
      <c r="AA299" s="27">
        <f>Table1[[#This Row],[Raw Freshwater Score]]/Table1[[#This Row],[Summed Raw Scores]]</f>
        <v>0.41265527960989162</v>
      </c>
      <c r="AB299" s="27">
        <f>Table1[[#This Row],[Raw Terrestrial Score]]+Table1[[#This Row],[Raw Freshwater Score]]</f>
        <v>15655.91212806106</v>
      </c>
      <c r="AC299" s="28">
        <f>Table1[[#This Row],[Terrestrial % of Summed Score]]*Table1[[#This Row],[Scaled Summed Score]]</f>
        <v>5.4523640167531459E-2</v>
      </c>
      <c r="AD299" s="28">
        <f>Table1[[#This Row],[Freshwater % of Summed Score]]*Table1[[#This Row],[Scaled Summed Score]]</f>
        <v>3.8307091555599394E-2</v>
      </c>
      <c r="AE299" s="29">
        <f>Table1[[#This Row],[Summed Raw Scores]]/MAX(Table1[Summed Raw Scores])</f>
        <v>9.2830731723130847E-2</v>
      </c>
    </row>
    <row r="300" spans="1:31" hidden="1" x14ac:dyDescent="0.3">
      <c r="A300" s="26" t="s">
        <v>92</v>
      </c>
      <c r="B300" s="26" t="s">
        <v>58</v>
      </c>
      <c r="C300" s="26" t="s">
        <v>21</v>
      </c>
      <c r="D300" s="26"/>
      <c r="E300" s="30">
        <v>48.736638659999997</v>
      </c>
      <c r="F300" s="30">
        <v>-123.77466149999999</v>
      </c>
      <c r="G300" s="30">
        <v>92.115692307700002</v>
      </c>
      <c r="H300" s="6" t="s">
        <v>22</v>
      </c>
      <c r="I300" s="6" t="s">
        <v>22</v>
      </c>
      <c r="J300" s="30">
        <v>151.38292161644466</v>
      </c>
      <c r="K300" s="30">
        <v>102.62417884982256</v>
      </c>
      <c r="L300" s="6" t="s">
        <v>22</v>
      </c>
      <c r="M300" s="30">
        <v>0</v>
      </c>
      <c r="N300" s="30">
        <v>5.7</v>
      </c>
      <c r="O300" s="6">
        <f>Table1[[#This Row],[R1 Length (km)]]+Table1[[#This Row],[T1 Length (km)]]</f>
        <v>5.7</v>
      </c>
      <c r="P300" s="31">
        <v>13</v>
      </c>
      <c r="Q300" s="6">
        <f>(Table1[[#This Row],[Linear Features (km)]]*1)*100</f>
        <v>570</v>
      </c>
      <c r="R300" s="30">
        <v>200.88</v>
      </c>
      <c r="S300" s="29">
        <f>Table1[[#This Row],[ATG (ha)]]/Table1[[#This Row],[Linear Area (ha)]]</f>
        <v>0.35242105263157891</v>
      </c>
      <c r="T300" s="9" t="s">
        <v>22</v>
      </c>
      <c r="U300" s="9" t="s">
        <v>22</v>
      </c>
      <c r="V300" s="30">
        <v>200.88</v>
      </c>
      <c r="W300" s="30">
        <v>80.352000000000004</v>
      </c>
      <c r="X300" s="31">
        <v>5509.1382449343801</v>
      </c>
      <c r="Y300" s="27">
        <f>Table1[[#This Row],[Raw Terrestrial Score]]/Table1[[#This Row],[Summed Raw Scores]]</f>
        <v>0.64253776627690018</v>
      </c>
      <c r="Z300" s="31">
        <v>3064.8920052349599</v>
      </c>
      <c r="AA300" s="27">
        <f>Table1[[#This Row],[Raw Freshwater Score]]/Table1[[#This Row],[Summed Raw Scores]]</f>
        <v>0.35746223372309971</v>
      </c>
      <c r="AB300" s="27">
        <f>Table1[[#This Row],[Raw Terrestrial Score]]+Table1[[#This Row],[Raw Freshwater Score]]</f>
        <v>8574.0302501693404</v>
      </c>
      <c r="AC300" s="28">
        <f>Table1[[#This Row],[Terrestrial % of Summed Score]]*Table1[[#This Row],[Scaled Summed Score]]</f>
        <v>3.2666083602021403E-2</v>
      </c>
      <c r="AD300" s="28">
        <f>Table1[[#This Row],[Freshwater % of Summed Score]]*Table1[[#This Row],[Scaled Summed Score]]</f>
        <v>1.8173081527992175E-2</v>
      </c>
      <c r="AE300" s="29">
        <f>Table1[[#This Row],[Summed Raw Scores]]/MAX(Table1[Summed Raw Scores])</f>
        <v>5.0839165130013582E-2</v>
      </c>
    </row>
    <row r="301" spans="1:31" hidden="1" x14ac:dyDescent="0.3">
      <c r="A301" s="26" t="s">
        <v>303</v>
      </c>
      <c r="B301" s="26" t="s">
        <v>58</v>
      </c>
      <c r="C301" s="26" t="s">
        <v>21</v>
      </c>
      <c r="D301" s="26"/>
      <c r="E301" s="18">
        <v>48.703887680000001</v>
      </c>
      <c r="F301" s="18">
        <v>-123.6714364</v>
      </c>
      <c r="G301" s="18">
        <v>56.625230770000002</v>
      </c>
      <c r="H301" s="26" t="s">
        <v>22</v>
      </c>
      <c r="I301" s="26" t="s">
        <v>22</v>
      </c>
      <c r="J301" s="18">
        <v>93.493798499999997</v>
      </c>
      <c r="K301" s="18">
        <v>128.8212474</v>
      </c>
      <c r="L301" s="6" t="s">
        <v>22</v>
      </c>
      <c r="M301" s="18">
        <v>0.7</v>
      </c>
      <c r="N301" s="18">
        <v>7.9</v>
      </c>
      <c r="O301" s="6">
        <f>Table1[[#This Row],[R1 Length (km)]]+Table1[[#This Row],[T1 Length (km)]]</f>
        <v>8.6</v>
      </c>
      <c r="P301" s="25">
        <v>130</v>
      </c>
      <c r="Q301" s="6">
        <f>(Table1[[#This Row],[Linear Features (km)]]*1)*100</f>
        <v>860</v>
      </c>
      <c r="R301" s="18">
        <v>230.04</v>
      </c>
      <c r="S301" s="8">
        <f>Table1[[#This Row],[ATG (ha)]]/Table1[[#This Row],[Linear Area (ha)]]</f>
        <v>0.26748837209302323</v>
      </c>
      <c r="T301" s="9" t="s">
        <v>22</v>
      </c>
      <c r="U301" s="9" t="s">
        <v>22</v>
      </c>
      <c r="V301" s="18">
        <v>230.04</v>
      </c>
      <c r="W301" s="18">
        <v>92.016000000000005</v>
      </c>
      <c r="X301" s="31">
        <v>7942.7944864788997</v>
      </c>
      <c r="Y301" s="27">
        <f>Table1[[#This Row],[Raw Terrestrial Score]]/Table1[[#This Row],[Summed Raw Scores]]</f>
        <v>0.69595731605877986</v>
      </c>
      <c r="Z301" s="31">
        <v>3469.9664734304001</v>
      </c>
      <c r="AA301" s="27">
        <f>Table1[[#This Row],[Raw Freshwater Score]]/Table1[[#This Row],[Summed Raw Scores]]</f>
        <v>0.30404268394122019</v>
      </c>
      <c r="AB301" s="27">
        <f>Table1[[#This Row],[Raw Terrestrial Score]]+Table1[[#This Row],[Raw Freshwater Score]]</f>
        <v>11412.760959909299</v>
      </c>
      <c r="AC301" s="28">
        <f>Table1[[#This Row],[Terrestrial % of Summed Score]]*Table1[[#This Row],[Scaled Summed Score]]</f>
        <v>4.7096292957898876E-2</v>
      </c>
      <c r="AD301" s="28">
        <f>Table1[[#This Row],[Freshwater % of Summed Score]]*Table1[[#This Row],[Scaled Summed Score]]</f>
        <v>2.0574944733237302E-2</v>
      </c>
      <c r="AE301" s="29">
        <f>Table1[[#This Row],[Summed Raw Scores]]/MAX(Table1[Summed Raw Scores])</f>
        <v>6.7671237691136171E-2</v>
      </c>
    </row>
    <row r="302" spans="1:31" hidden="1" x14ac:dyDescent="0.3">
      <c r="A302" s="26" t="s">
        <v>376</v>
      </c>
      <c r="B302" s="26" t="s">
        <v>58</v>
      </c>
      <c r="C302" s="26" t="s">
        <v>21</v>
      </c>
      <c r="D302" s="26"/>
      <c r="E302" s="18">
        <v>48.628806730000001</v>
      </c>
      <c r="F302" s="18">
        <v>-123.8060758</v>
      </c>
      <c r="G302" s="18">
        <v>26.71753846</v>
      </c>
      <c r="H302" s="26" t="s">
        <v>22</v>
      </c>
      <c r="I302" s="26" t="s">
        <v>22</v>
      </c>
      <c r="J302" s="18">
        <v>45.370964180000001</v>
      </c>
      <c r="K302" s="18">
        <v>151.95717139999999</v>
      </c>
      <c r="L302" s="6" t="s">
        <v>22</v>
      </c>
      <c r="M302" s="18">
        <v>2.5</v>
      </c>
      <c r="N302" s="18">
        <v>23.8</v>
      </c>
      <c r="O302" s="6">
        <f>Table1[[#This Row],[R1 Length (km)]]+Table1[[#This Row],[T1 Length (km)]]</f>
        <v>26.3</v>
      </c>
      <c r="P302" s="25">
        <v>69</v>
      </c>
      <c r="Q302" s="6">
        <f>(Table1[[#This Row],[Linear Features (km)]]*1)*100</f>
        <v>2630</v>
      </c>
      <c r="R302" s="18">
        <v>108.54</v>
      </c>
      <c r="S302" s="8">
        <f>Table1[[#This Row],[ATG (ha)]]/Table1[[#This Row],[Linear Area (ha)]]</f>
        <v>4.1269961977186312E-2</v>
      </c>
      <c r="T302" s="9" t="s">
        <v>22</v>
      </c>
      <c r="U302" s="9" t="s">
        <v>22</v>
      </c>
      <c r="V302" s="18">
        <v>108.54</v>
      </c>
      <c r="W302" s="18">
        <v>43.415999999999997</v>
      </c>
      <c r="X302" s="31">
        <v>11322.9641534332</v>
      </c>
      <c r="Y302" s="27">
        <f>Table1[[#This Row],[Raw Terrestrial Score]]/Table1[[#This Row],[Summed Raw Scores]]</f>
        <v>0.50364707577626566</v>
      </c>
      <c r="Z302" s="31">
        <v>11158.977464079901</v>
      </c>
      <c r="AA302" s="27">
        <f>Table1[[#This Row],[Raw Freshwater Score]]/Table1[[#This Row],[Summed Raw Scores]]</f>
        <v>0.49635292422373439</v>
      </c>
      <c r="AB302" s="27">
        <f>Table1[[#This Row],[Raw Terrestrial Score]]+Table1[[#This Row],[Raw Freshwater Score]]</f>
        <v>22481.941617513101</v>
      </c>
      <c r="AC302" s="28">
        <f>Table1[[#This Row],[Terrestrial % of Summed Score]]*Table1[[#This Row],[Scaled Summed Score]]</f>
        <v>6.7138793258426588E-2</v>
      </c>
      <c r="AD302" s="28">
        <f>Table1[[#This Row],[Freshwater % of Summed Score]]*Table1[[#This Row],[Scaled Summed Score]]</f>
        <v>6.6166444650373565E-2</v>
      </c>
      <c r="AE302" s="29">
        <f>Table1[[#This Row],[Summed Raw Scores]]/MAX(Table1[Summed Raw Scores])</f>
        <v>0.13330523790880014</v>
      </c>
    </row>
    <row r="303" spans="1:31" hidden="1" x14ac:dyDescent="0.3">
      <c r="A303" s="26" t="s">
        <v>395</v>
      </c>
      <c r="B303" s="26" t="s">
        <v>58</v>
      </c>
      <c r="C303" s="26" t="s">
        <v>21</v>
      </c>
      <c r="D303" s="26"/>
      <c r="E303" s="18">
        <v>48.657022589999997</v>
      </c>
      <c r="F303" s="18">
        <v>-123.6476198</v>
      </c>
      <c r="G303" s="18">
        <v>22.131692309999998</v>
      </c>
      <c r="H303" s="26" t="s">
        <v>22</v>
      </c>
      <c r="I303" s="26" t="s">
        <v>22</v>
      </c>
      <c r="J303" s="10">
        <v>36.940196329999999</v>
      </c>
      <c r="K303" s="10">
        <v>159.64407660000001</v>
      </c>
      <c r="L303" s="6" t="s">
        <v>22</v>
      </c>
      <c r="M303" s="18">
        <v>0</v>
      </c>
      <c r="N303" s="18">
        <v>4.3</v>
      </c>
      <c r="O303" s="6">
        <f>Table1[[#This Row],[R1 Length (km)]]+Table1[[#This Row],[T1 Length (km)]]</f>
        <v>4.3</v>
      </c>
      <c r="P303" s="25">
        <v>130</v>
      </c>
      <c r="Q303" s="6">
        <f>(Table1[[#This Row],[Linear Features (km)]]*1)*100</f>
        <v>430</v>
      </c>
      <c r="R303" s="18">
        <v>89.91</v>
      </c>
      <c r="S303" s="8">
        <f>Table1[[#This Row],[ATG (ha)]]/Table1[[#This Row],[Linear Area (ha)]]</f>
        <v>0.20909302325581394</v>
      </c>
      <c r="T303" s="9" t="s">
        <v>22</v>
      </c>
      <c r="U303" s="9" t="s">
        <v>22</v>
      </c>
      <c r="V303" s="18">
        <v>89.91</v>
      </c>
      <c r="W303" s="18">
        <v>35.963999999999999</v>
      </c>
      <c r="X303" s="31">
        <v>2130.3019926622501</v>
      </c>
      <c r="Y303" s="27">
        <f>Table1[[#This Row],[Raw Terrestrial Score]]/Table1[[#This Row],[Summed Raw Scores]]</f>
        <v>0.52740170015336141</v>
      </c>
      <c r="Z303" s="31">
        <v>1908.9379112720501</v>
      </c>
      <c r="AA303" s="27">
        <f>Table1[[#This Row],[Raw Freshwater Score]]/Table1[[#This Row],[Summed Raw Scores]]</f>
        <v>0.47259829984663865</v>
      </c>
      <c r="AB303" s="27">
        <f>Table1[[#This Row],[Raw Terrestrial Score]]+Table1[[#This Row],[Raw Freshwater Score]]</f>
        <v>4039.2399039342999</v>
      </c>
      <c r="AC303" s="28">
        <f>Table1[[#This Row],[Terrestrial % of Summed Score]]*Table1[[#This Row],[Scaled Summed Score]]</f>
        <v>1.2631489698746291E-2</v>
      </c>
      <c r="AD303" s="28">
        <f>Table1[[#This Row],[Freshwater % of Summed Score]]*Table1[[#This Row],[Scaled Summed Score]]</f>
        <v>1.1318925506728441E-2</v>
      </c>
      <c r="AE303" s="29">
        <f>Table1[[#This Row],[Summed Raw Scores]]/MAX(Table1[Summed Raw Scores])</f>
        <v>2.395041520547473E-2</v>
      </c>
    </row>
    <row r="304" spans="1:31" hidden="1" x14ac:dyDescent="0.3">
      <c r="A304" s="26" t="s">
        <v>396</v>
      </c>
      <c r="B304" s="26" t="s">
        <v>58</v>
      </c>
      <c r="C304" s="26" t="s">
        <v>87</v>
      </c>
      <c r="D304" s="26"/>
      <c r="E304" s="18">
        <v>49.600835050000001</v>
      </c>
      <c r="F304" s="18">
        <v>-117.5966896</v>
      </c>
      <c r="G304" s="18">
        <v>33.097846150000002</v>
      </c>
      <c r="H304" s="26" t="s">
        <v>22</v>
      </c>
      <c r="I304" s="26" t="s">
        <v>22</v>
      </c>
      <c r="J304" s="18">
        <v>55.736896889999997</v>
      </c>
      <c r="K304" s="18">
        <v>159.9549342</v>
      </c>
      <c r="L304" s="6" t="s">
        <v>22</v>
      </c>
      <c r="M304" s="18">
        <v>0.7</v>
      </c>
      <c r="N304" s="18">
        <v>51.9</v>
      </c>
      <c r="O304" s="6">
        <f>Table1[[#This Row],[R1 Length (km)]]+Table1[[#This Row],[T1 Length (km)]]</f>
        <v>52.6</v>
      </c>
      <c r="P304" s="25">
        <v>69</v>
      </c>
      <c r="Q304" s="6">
        <f>(Table1[[#This Row],[Linear Features (km)]]*1)*100</f>
        <v>5260</v>
      </c>
      <c r="R304" s="18">
        <v>134.46</v>
      </c>
      <c r="S304" s="8">
        <f>Table1[[#This Row],[ATG (ha)]]/Table1[[#This Row],[Linear Area (ha)]]</f>
        <v>2.5562737642585553E-2</v>
      </c>
      <c r="T304" s="9" t="s">
        <v>22</v>
      </c>
      <c r="U304" s="9" t="s">
        <v>22</v>
      </c>
      <c r="V304" s="18">
        <v>134.46</v>
      </c>
      <c r="W304" s="18">
        <v>53.783999999999999</v>
      </c>
      <c r="X304" s="31">
        <v>20561.652950853098</v>
      </c>
      <c r="Y304" s="27">
        <f>Table1[[#This Row],[Raw Terrestrial Score]]/Table1[[#This Row],[Summed Raw Scores]]</f>
        <v>0.61125733683291494</v>
      </c>
      <c r="Z304" s="31">
        <v>13076.6393228862</v>
      </c>
      <c r="AA304" s="27">
        <f>Table1[[#This Row],[Raw Freshwater Score]]/Table1[[#This Row],[Summed Raw Scores]]</f>
        <v>0.38874266316708522</v>
      </c>
      <c r="AB304" s="27">
        <f>Table1[[#This Row],[Raw Terrestrial Score]]+Table1[[#This Row],[Raw Freshwater Score]]</f>
        <v>33638.292273739295</v>
      </c>
      <c r="AC304" s="28">
        <f>Table1[[#This Row],[Terrestrial % of Summed Score]]*Table1[[#This Row],[Scaled Summed Score]]</f>
        <v>0.12191900882246198</v>
      </c>
      <c r="AD304" s="28">
        <f>Table1[[#This Row],[Freshwater % of Summed Score]]*Table1[[#This Row],[Scaled Summed Score]]</f>
        <v>7.7537098247199482E-2</v>
      </c>
      <c r="AE304" s="29">
        <f>Table1[[#This Row],[Summed Raw Scores]]/MAX(Table1[Summed Raw Scores])</f>
        <v>0.19945610706966144</v>
      </c>
    </row>
    <row r="305" spans="1:31" hidden="1" x14ac:dyDescent="0.3">
      <c r="A305" s="26" t="s">
        <v>93</v>
      </c>
      <c r="B305" s="26" t="s">
        <v>58</v>
      </c>
      <c r="C305" s="26" t="s">
        <v>21</v>
      </c>
      <c r="D305" s="26" t="s">
        <v>250</v>
      </c>
      <c r="E305" s="30">
        <v>48.544412629999997</v>
      </c>
      <c r="F305" s="30">
        <v>-123.41815510000001</v>
      </c>
      <c r="G305" s="30">
        <v>114.446769231</v>
      </c>
      <c r="H305" s="6" t="s">
        <v>22</v>
      </c>
      <c r="I305" s="6" t="s">
        <v>22</v>
      </c>
      <c r="J305" s="30">
        <v>197.7440004716037</v>
      </c>
      <c r="K305" s="30">
        <v>96.517860072475429</v>
      </c>
      <c r="L305" s="6" t="s">
        <v>22</v>
      </c>
      <c r="M305" s="30">
        <v>0</v>
      </c>
      <c r="N305" s="30">
        <v>6.7</v>
      </c>
      <c r="O305" s="6">
        <f>Table1[[#This Row],[R1 Length (km)]]+Table1[[#This Row],[T1 Length (km)]]</f>
        <v>6.7</v>
      </c>
      <c r="P305" s="31">
        <v>130</v>
      </c>
      <c r="Q305" s="6">
        <f>(Table1[[#This Row],[Linear Features (km)]]*1)*100</f>
        <v>670</v>
      </c>
      <c r="R305" s="30">
        <v>221.93999999999997</v>
      </c>
      <c r="S305" s="29">
        <f>Table1[[#This Row],[ATG (ha)]]/Table1[[#This Row],[Linear Area (ha)]]</f>
        <v>0.33125373134328356</v>
      </c>
      <c r="T305" s="9" t="s">
        <v>22</v>
      </c>
      <c r="U305" s="9" t="s">
        <v>22</v>
      </c>
      <c r="V305" s="30">
        <v>221.93999999999997</v>
      </c>
      <c r="W305" s="30">
        <v>88.775999999999996</v>
      </c>
      <c r="X305" s="31">
        <v>8383.1699981689508</v>
      </c>
      <c r="Y305" s="27">
        <f>Table1[[#This Row],[Raw Terrestrial Score]]/Table1[[#This Row],[Summed Raw Scores]]</f>
        <v>0.72357766767787057</v>
      </c>
      <c r="Z305" s="31">
        <v>3202.5524095892902</v>
      </c>
      <c r="AA305" s="27">
        <f>Table1[[#This Row],[Raw Freshwater Score]]/Table1[[#This Row],[Summed Raw Scores]]</f>
        <v>0.27642233232212943</v>
      </c>
      <c r="AB305" s="27">
        <f>Table1[[#This Row],[Raw Terrestrial Score]]+Table1[[#This Row],[Raw Freshwater Score]]</f>
        <v>11585.722407758241</v>
      </c>
      <c r="AC305" s="28">
        <f>Table1[[#This Row],[Terrestrial % of Summed Score]]*Table1[[#This Row],[Scaled Summed Score]]</f>
        <v>4.970747144745255E-2</v>
      </c>
      <c r="AD305" s="28">
        <f>Table1[[#This Row],[Freshwater % of Summed Score]]*Table1[[#This Row],[Scaled Summed Score]]</f>
        <v>1.8989330109421661E-2</v>
      </c>
      <c r="AE305" s="29">
        <f>Table1[[#This Row],[Summed Raw Scores]]/MAX(Table1[Summed Raw Scores])</f>
        <v>6.8696801556874215E-2</v>
      </c>
    </row>
    <row r="306" spans="1:31" hidden="1" x14ac:dyDescent="0.3">
      <c r="A306" s="26" t="s">
        <v>411</v>
      </c>
      <c r="B306" s="26" t="s">
        <v>58</v>
      </c>
      <c r="C306" s="26" t="s">
        <v>40</v>
      </c>
      <c r="D306" s="26"/>
      <c r="E306" s="18">
        <v>49.44652155</v>
      </c>
      <c r="F306" s="18">
        <v>-117.6215883</v>
      </c>
      <c r="G306" s="18">
        <v>24.92307692</v>
      </c>
      <c r="H306" s="26" t="s">
        <v>22</v>
      </c>
      <c r="I306" s="26" t="s">
        <v>22</v>
      </c>
      <c r="J306" s="18">
        <v>41.210889450000003</v>
      </c>
      <c r="K306" s="18">
        <v>210.6005706</v>
      </c>
      <c r="L306" s="6" t="s">
        <v>22</v>
      </c>
      <c r="M306" s="18">
        <v>2</v>
      </c>
      <c r="N306" s="18">
        <v>48.5</v>
      </c>
      <c r="O306" s="6">
        <f>Table1[[#This Row],[R1 Length (km)]]+Table1[[#This Row],[T1 Length (km)]]</f>
        <v>50.5</v>
      </c>
      <c r="P306" s="25">
        <v>69</v>
      </c>
      <c r="Q306" s="6">
        <f>(Table1[[#This Row],[Linear Features (km)]]*1)*100</f>
        <v>5050</v>
      </c>
      <c r="R306" s="18">
        <v>101.25</v>
      </c>
      <c r="S306" s="8">
        <f>Table1[[#This Row],[ATG (ha)]]/Table1[[#This Row],[Linear Area (ha)]]</f>
        <v>2.004950495049505E-2</v>
      </c>
      <c r="T306" s="9" t="s">
        <v>22</v>
      </c>
      <c r="U306" s="9" t="s">
        <v>22</v>
      </c>
      <c r="V306" s="18">
        <v>101.25</v>
      </c>
      <c r="W306" s="18">
        <v>40.5</v>
      </c>
      <c r="X306" s="31">
        <v>23688.329819247101</v>
      </c>
      <c r="Y306" s="27">
        <f>Table1[[#This Row],[Raw Terrestrial Score]]/Table1[[#This Row],[Summed Raw Scores]]</f>
        <v>0.87612537342851338</v>
      </c>
      <c r="Z306" s="31">
        <v>3349.2729459237298</v>
      </c>
      <c r="AA306" s="27">
        <f>Table1[[#This Row],[Raw Freshwater Score]]/Table1[[#This Row],[Summed Raw Scores]]</f>
        <v>0.12387462657148658</v>
      </c>
      <c r="AB306" s="27">
        <f>Table1[[#This Row],[Raw Terrestrial Score]]+Table1[[#This Row],[Raw Freshwater Score]]</f>
        <v>27037.602765170832</v>
      </c>
      <c r="AC306" s="28">
        <f>Table1[[#This Row],[Terrestrial % of Summed Score]]*Table1[[#This Row],[Scaled Summed Score]]</f>
        <v>0.14045843975313044</v>
      </c>
      <c r="AD306" s="28">
        <f>Table1[[#This Row],[Freshwater % of Summed Score]]*Table1[[#This Row],[Scaled Summed Score]]</f>
        <v>1.9859300165163352E-2</v>
      </c>
      <c r="AE306" s="29">
        <f>Table1[[#This Row],[Summed Raw Scores]]/MAX(Table1[Summed Raw Scores])</f>
        <v>0.16031773991829379</v>
      </c>
    </row>
    <row r="307" spans="1:31" hidden="1" x14ac:dyDescent="0.3">
      <c r="A307" s="26" t="s">
        <v>306</v>
      </c>
      <c r="B307" s="26" t="s">
        <v>58</v>
      </c>
      <c r="C307" s="26" t="s">
        <v>95</v>
      </c>
      <c r="D307" s="26"/>
      <c r="E307" s="18">
        <v>49.70060788</v>
      </c>
      <c r="F307" s="18">
        <v>-115.64990779999999</v>
      </c>
      <c r="G307" s="18">
        <v>17.545846149999999</v>
      </c>
      <c r="H307" s="26" t="s">
        <v>22</v>
      </c>
      <c r="I307" s="26" t="s">
        <v>22</v>
      </c>
      <c r="J307" s="10">
        <v>30.74753231</v>
      </c>
      <c r="K307" s="10">
        <v>129.42633079999999</v>
      </c>
      <c r="L307" s="6" t="s">
        <v>22</v>
      </c>
      <c r="M307" s="18">
        <v>0</v>
      </c>
      <c r="N307" s="18">
        <v>12.5</v>
      </c>
      <c r="O307" s="6">
        <f>Table1[[#This Row],[R1 Length (km)]]+Table1[[#This Row],[T1 Length (km)]]</f>
        <v>12.5</v>
      </c>
      <c r="P307" s="25">
        <v>25</v>
      </c>
      <c r="Q307" s="6">
        <f>(Table1[[#This Row],[Linear Features (km)]]*1)*100</f>
        <v>1250</v>
      </c>
      <c r="R307" s="18">
        <v>71.28</v>
      </c>
      <c r="S307" s="8">
        <f>Table1[[#This Row],[ATG (ha)]]/Table1[[#This Row],[Linear Area (ha)]]</f>
        <v>5.7023999999999998E-2</v>
      </c>
      <c r="T307" s="9" t="s">
        <v>22</v>
      </c>
      <c r="U307" s="9" t="s">
        <v>22</v>
      </c>
      <c r="V307" s="18">
        <v>71.28</v>
      </c>
      <c r="W307" s="18">
        <v>28.512</v>
      </c>
      <c r="X307" s="31">
        <v>13335.785363495301</v>
      </c>
      <c r="Y307" s="27">
        <f>Table1[[#This Row],[Raw Terrestrial Score]]/Table1[[#This Row],[Summed Raw Scores]]</f>
        <v>0.78737312392170189</v>
      </c>
      <c r="Z307" s="31">
        <v>3601.27402846515</v>
      </c>
      <c r="AA307" s="27">
        <f>Table1[[#This Row],[Raw Freshwater Score]]/Table1[[#This Row],[Summed Raw Scores]]</f>
        <v>0.21262687607829811</v>
      </c>
      <c r="AB307" s="27">
        <f>Table1[[#This Row],[Raw Terrestrial Score]]+Table1[[#This Row],[Raw Freshwater Score]]</f>
        <v>16937.059391960451</v>
      </c>
      <c r="AC307" s="28">
        <f>Table1[[#This Row],[Terrestrial % of Summed Score]]*Table1[[#This Row],[Scaled Summed Score]]</f>
        <v>7.9073688154968361E-2</v>
      </c>
      <c r="AD307" s="28">
        <f>Table1[[#This Row],[Freshwater % of Summed Score]]*Table1[[#This Row],[Scaled Summed Score]]</f>
        <v>2.1353524500097601E-2</v>
      </c>
      <c r="AE307" s="29">
        <f>Table1[[#This Row],[Summed Raw Scores]]/MAX(Table1[Summed Raw Scores])</f>
        <v>0.10042721265506596</v>
      </c>
    </row>
    <row r="308" spans="1:31" hidden="1" x14ac:dyDescent="0.3">
      <c r="A308" s="26" t="s">
        <v>384</v>
      </c>
      <c r="B308" s="26" t="s">
        <v>58</v>
      </c>
      <c r="C308" s="26" t="s">
        <v>21</v>
      </c>
      <c r="D308" s="26"/>
      <c r="E308" s="18">
        <v>48.394614390000001</v>
      </c>
      <c r="F308" s="18">
        <v>-123.68698790000001</v>
      </c>
      <c r="G308" s="18">
        <v>20.736000000000001</v>
      </c>
      <c r="H308" s="26" t="s">
        <v>22</v>
      </c>
      <c r="I308" s="26" t="s">
        <v>22</v>
      </c>
      <c r="J308" s="18">
        <v>34.642736669999998</v>
      </c>
      <c r="K308" s="18">
        <v>156.2644238</v>
      </c>
      <c r="L308" s="6" t="s">
        <v>22</v>
      </c>
      <c r="M308" s="18">
        <v>0</v>
      </c>
      <c r="N308" s="18">
        <v>0</v>
      </c>
      <c r="O308" s="6">
        <f>Table1[[#This Row],[R1 Length (km)]]+Table1[[#This Row],[T1 Length (km)]]</f>
        <v>0</v>
      </c>
      <c r="P308" s="25">
        <v>130</v>
      </c>
      <c r="Q308" s="6">
        <f>(Table1[[#This Row],[Linear Features (km)]]*1)*100</f>
        <v>0</v>
      </c>
      <c r="R308" s="18">
        <v>84.24</v>
      </c>
      <c r="S308" s="8" t="e">
        <f>Table1[[#This Row],[ATG (ha)]]/Table1[[#This Row],[Linear Area (ha)]]</f>
        <v>#DIV/0!</v>
      </c>
      <c r="T308" s="9" t="s">
        <v>22</v>
      </c>
      <c r="U308" s="9" t="s">
        <v>22</v>
      </c>
      <c r="V308" s="18">
        <v>84.24</v>
      </c>
      <c r="W308" s="18">
        <v>33.695999999999998</v>
      </c>
      <c r="X308" s="31">
        <v>208.071199856699</v>
      </c>
      <c r="Y308" s="27">
        <f>Table1[[#This Row],[Raw Terrestrial Score]]/Table1[[#This Row],[Summed Raw Scores]]</f>
        <v>0.1906665523558069</v>
      </c>
      <c r="Z308" s="31">
        <v>883.21197113394703</v>
      </c>
      <c r="AA308" s="27">
        <f>Table1[[#This Row],[Raw Freshwater Score]]/Table1[[#This Row],[Summed Raw Scores]]</f>
        <v>0.80933344764419302</v>
      </c>
      <c r="AB308" s="27">
        <f>Table1[[#This Row],[Raw Terrestrial Score]]+Table1[[#This Row],[Raw Freshwater Score]]</f>
        <v>1091.2831709906461</v>
      </c>
      <c r="AC308" s="28">
        <f>Table1[[#This Row],[Terrestrial % of Summed Score]]*Table1[[#This Row],[Scaled Summed Score]]</f>
        <v>1.2337448993844939E-3</v>
      </c>
      <c r="AD308" s="28">
        <f>Table1[[#This Row],[Freshwater % of Summed Score]]*Table1[[#This Row],[Scaled Summed Score]]</f>
        <v>5.2369490117435379E-3</v>
      </c>
      <c r="AE308" s="29">
        <f>Table1[[#This Row],[Summed Raw Scores]]/MAX(Table1[Summed Raw Scores])</f>
        <v>6.470693911128032E-3</v>
      </c>
    </row>
    <row r="309" spans="1:31" hidden="1" x14ac:dyDescent="0.3">
      <c r="A309" s="26" t="s">
        <v>264</v>
      </c>
      <c r="B309" s="26" t="s">
        <v>58</v>
      </c>
      <c r="C309" s="26" t="s">
        <v>21</v>
      </c>
      <c r="D309" s="26"/>
      <c r="E309" s="18">
        <v>48.469565289999998</v>
      </c>
      <c r="F309" s="18">
        <v>-123.5527506</v>
      </c>
      <c r="G309" s="18">
        <v>14.555076919999999</v>
      </c>
      <c r="H309" s="26" t="s">
        <v>22</v>
      </c>
      <c r="I309" s="26" t="s">
        <v>22</v>
      </c>
      <c r="J309" s="18">
        <v>25.070261110000001</v>
      </c>
      <c r="K309" s="18">
        <v>121.10794249999999</v>
      </c>
      <c r="L309" s="6" t="s">
        <v>22</v>
      </c>
      <c r="M309" s="18">
        <v>0.3</v>
      </c>
      <c r="N309" s="18">
        <v>4.9000000000000004</v>
      </c>
      <c r="O309" s="6">
        <f>Table1[[#This Row],[R1 Length (km)]]+Table1[[#This Row],[T1 Length (km)]]</f>
        <v>5.2</v>
      </c>
      <c r="P309" s="25">
        <v>25</v>
      </c>
      <c r="Q309" s="6">
        <f>(Table1[[#This Row],[Linear Features (km)]]*1)*100</f>
        <v>520</v>
      </c>
      <c r="R309" s="18">
        <v>59.13</v>
      </c>
      <c r="S309" s="8">
        <f>Table1[[#This Row],[ATG (ha)]]/Table1[[#This Row],[Linear Area (ha)]]</f>
        <v>0.11371153846153846</v>
      </c>
      <c r="T309" s="9" t="s">
        <v>22</v>
      </c>
      <c r="U309" s="9" t="s">
        <v>22</v>
      </c>
      <c r="V309" s="18">
        <v>59.13</v>
      </c>
      <c r="W309" s="18">
        <v>23.652000000000001</v>
      </c>
      <c r="X309" s="31">
        <v>6560.6214694976798</v>
      </c>
      <c r="Y309" s="27">
        <f>Table1[[#This Row],[Raw Terrestrial Score]]/Table1[[#This Row],[Summed Raw Scores]]</f>
        <v>0.66049568897989619</v>
      </c>
      <c r="Z309" s="31">
        <v>3372.2540646791499</v>
      </c>
      <c r="AA309" s="27">
        <f>Table1[[#This Row],[Raw Freshwater Score]]/Table1[[#This Row],[Summed Raw Scores]]</f>
        <v>0.33950431102010376</v>
      </c>
      <c r="AB309" s="27">
        <f>Table1[[#This Row],[Raw Terrestrial Score]]+Table1[[#This Row],[Raw Freshwater Score]]</f>
        <v>9932.8755341768301</v>
      </c>
      <c r="AC309" s="28">
        <f>Table1[[#This Row],[Terrestrial % of Summed Score]]*Table1[[#This Row],[Scaled Summed Score]]</f>
        <v>3.8900786271044173E-2</v>
      </c>
      <c r="AD309" s="28">
        <f>Table1[[#This Row],[Freshwater % of Summed Score]]*Table1[[#This Row],[Scaled Summed Score]]</f>
        <v>1.9995565242051337E-2</v>
      </c>
      <c r="AE309" s="29">
        <f>Table1[[#This Row],[Summed Raw Scores]]/MAX(Table1[Summed Raw Scores])</f>
        <v>5.889635151309551E-2</v>
      </c>
    </row>
    <row r="310" spans="1:31" hidden="1" x14ac:dyDescent="0.3">
      <c r="A310" s="26" t="s">
        <v>406</v>
      </c>
      <c r="B310" s="26" t="s">
        <v>58</v>
      </c>
      <c r="C310" s="26" t="s">
        <v>40</v>
      </c>
      <c r="D310" s="26"/>
      <c r="E310" s="18">
        <v>49.339973819999997</v>
      </c>
      <c r="F310" s="18">
        <v>-117.66531380000001</v>
      </c>
      <c r="G310" s="18">
        <v>26.71753846</v>
      </c>
      <c r="H310" s="26" t="s">
        <v>22</v>
      </c>
      <c r="I310" s="26" t="s">
        <v>22</v>
      </c>
      <c r="J310" s="18">
        <v>44.439266430000004</v>
      </c>
      <c r="K310" s="18">
        <v>190.42225400000001</v>
      </c>
      <c r="L310" s="6" t="s">
        <v>22</v>
      </c>
      <c r="M310" s="18">
        <v>0</v>
      </c>
      <c r="N310" s="18">
        <v>35.799999999999997</v>
      </c>
      <c r="O310" s="6">
        <f>Table1[[#This Row],[R1 Length (km)]]+Table1[[#This Row],[T1 Length (km)]]</f>
        <v>35.799999999999997</v>
      </c>
      <c r="P310" s="25">
        <v>69</v>
      </c>
      <c r="Q310" s="6">
        <f>(Table1[[#This Row],[Linear Features (km)]]*1)*100</f>
        <v>3579.9999999999995</v>
      </c>
      <c r="R310" s="18">
        <v>108.54</v>
      </c>
      <c r="S310" s="8">
        <f>Table1[[#This Row],[ATG (ha)]]/Table1[[#This Row],[Linear Area (ha)]]</f>
        <v>3.0318435754189951E-2</v>
      </c>
      <c r="T310" s="9" t="s">
        <v>22</v>
      </c>
      <c r="U310" s="9" t="s">
        <v>22</v>
      </c>
      <c r="V310" s="18">
        <v>108.54</v>
      </c>
      <c r="W310" s="18">
        <v>43.415999999999997</v>
      </c>
      <c r="X310" s="31">
        <v>19585.267319023598</v>
      </c>
      <c r="Y310" s="27">
        <f>Table1[[#This Row],[Raw Terrestrial Score]]/Table1[[#This Row],[Summed Raw Scores]]</f>
        <v>0.87501360488190583</v>
      </c>
      <c r="Z310" s="31">
        <v>2797.54731351789</v>
      </c>
      <c r="AA310" s="27">
        <f>Table1[[#This Row],[Raw Freshwater Score]]/Table1[[#This Row],[Summed Raw Scores]]</f>
        <v>0.12498639511809416</v>
      </c>
      <c r="AB310" s="27">
        <f>Table1[[#This Row],[Raw Terrestrial Score]]+Table1[[#This Row],[Raw Freshwater Score]]</f>
        <v>22382.814632541489</v>
      </c>
      <c r="AC310" s="28">
        <f>Table1[[#This Row],[Terrestrial % of Summed Score]]*Table1[[#This Row],[Scaled Summed Score]]</f>
        <v>0.11612959253644266</v>
      </c>
      <c r="AD310" s="28">
        <f>Table1[[#This Row],[Freshwater % of Summed Score]]*Table1[[#This Row],[Scaled Summed Score]]</f>
        <v>1.6587878241758346E-2</v>
      </c>
      <c r="AE310" s="29">
        <f>Table1[[#This Row],[Summed Raw Scores]]/MAX(Table1[Summed Raw Scores])</f>
        <v>0.13271747077820101</v>
      </c>
    </row>
    <row r="311" spans="1:31" hidden="1" x14ac:dyDescent="0.3">
      <c r="A311" s="26" t="s">
        <v>312</v>
      </c>
      <c r="B311" s="26" t="s">
        <v>58</v>
      </c>
      <c r="C311" s="26" t="s">
        <v>95</v>
      </c>
      <c r="D311" s="26"/>
      <c r="E311" s="18">
        <v>49.574248390000001</v>
      </c>
      <c r="F311" s="18">
        <v>-115.8622891</v>
      </c>
      <c r="G311" s="18">
        <v>28.113230770000001</v>
      </c>
      <c r="H311" s="26" t="s">
        <v>22</v>
      </c>
      <c r="I311" s="26" t="s">
        <v>22</v>
      </c>
      <c r="J311" s="18">
        <v>49.920582590000002</v>
      </c>
      <c r="K311" s="18">
        <v>130.6943167</v>
      </c>
      <c r="L311" s="6" t="s">
        <v>22</v>
      </c>
      <c r="M311" s="18">
        <v>0.4</v>
      </c>
      <c r="N311" s="18">
        <v>9</v>
      </c>
      <c r="O311" s="6">
        <f>Table1[[#This Row],[R1 Length (km)]]+Table1[[#This Row],[T1 Length (km)]]</f>
        <v>9.4</v>
      </c>
      <c r="P311" s="25">
        <v>69</v>
      </c>
      <c r="Q311" s="6">
        <f>(Table1[[#This Row],[Linear Features (km)]]*1)*100</f>
        <v>940</v>
      </c>
      <c r="R311" s="18">
        <v>114.21</v>
      </c>
      <c r="S311" s="8">
        <f>Table1[[#This Row],[ATG (ha)]]/Table1[[#This Row],[Linear Area (ha)]]</f>
        <v>0.1215</v>
      </c>
      <c r="T311" s="9" t="s">
        <v>22</v>
      </c>
      <c r="U311" s="9" t="s">
        <v>22</v>
      </c>
      <c r="V311" s="18">
        <v>114.21</v>
      </c>
      <c r="W311" s="18">
        <v>45.683999999999997</v>
      </c>
      <c r="X311" s="31">
        <v>9152.4728295803106</v>
      </c>
      <c r="Y311" s="27">
        <f>Table1[[#This Row],[Raw Terrestrial Score]]/Table1[[#This Row],[Summed Raw Scores]]</f>
        <v>0.81562220875862312</v>
      </c>
      <c r="Z311" s="31">
        <v>2068.9881989397099</v>
      </c>
      <c r="AA311" s="27">
        <f>Table1[[#This Row],[Raw Freshwater Score]]/Table1[[#This Row],[Summed Raw Scores]]</f>
        <v>0.18437779124137679</v>
      </c>
      <c r="AB311" s="27">
        <f>Table1[[#This Row],[Raw Terrestrial Score]]+Table1[[#This Row],[Raw Freshwater Score]]</f>
        <v>11221.461028520022</v>
      </c>
      <c r="AC311" s="28">
        <f>Table1[[#This Row],[Terrestrial % of Summed Score]]*Table1[[#This Row],[Scaled Summed Score]]</f>
        <v>5.4269003485473609E-2</v>
      </c>
      <c r="AD311" s="28">
        <f>Table1[[#This Row],[Freshwater % of Summed Score]]*Table1[[#This Row],[Scaled Summed Score]]</f>
        <v>1.2267933472227701E-2</v>
      </c>
      <c r="AE311" s="29">
        <f>Table1[[#This Row],[Summed Raw Scores]]/MAX(Table1[Summed Raw Scores])</f>
        <v>6.6536936957701312E-2</v>
      </c>
    </row>
    <row r="312" spans="1:31" hidden="1" x14ac:dyDescent="0.3">
      <c r="A312" s="26" t="s">
        <v>409</v>
      </c>
      <c r="B312" s="26" t="s">
        <v>58</v>
      </c>
      <c r="C312" s="26" t="s">
        <v>40</v>
      </c>
      <c r="D312" s="26"/>
      <c r="E312" s="18">
        <v>49.03846231</v>
      </c>
      <c r="F312" s="18">
        <v>-119.4321216</v>
      </c>
      <c r="G312" s="18">
        <v>27.315692309999999</v>
      </c>
      <c r="H312" s="26" t="s">
        <v>22</v>
      </c>
      <c r="I312" s="26" t="s">
        <v>22</v>
      </c>
      <c r="J312" s="18">
        <v>50.403647630000002</v>
      </c>
      <c r="K312" s="18">
        <v>202.4849293</v>
      </c>
      <c r="L312" s="6" t="s">
        <v>22</v>
      </c>
      <c r="M312" s="18">
        <v>0</v>
      </c>
      <c r="N312" s="18">
        <v>27.2</v>
      </c>
      <c r="O312" s="6">
        <f>Table1[[#This Row],[R1 Length (km)]]+Table1[[#This Row],[T1 Length (km)]]</f>
        <v>27.2</v>
      </c>
      <c r="P312" s="25">
        <v>130</v>
      </c>
      <c r="Q312" s="6">
        <f>(Table1[[#This Row],[Linear Features (km)]]*1)*100</f>
        <v>2720</v>
      </c>
      <c r="R312" s="18">
        <v>110.97</v>
      </c>
      <c r="S312" s="8">
        <f>Table1[[#This Row],[ATG (ha)]]/Table1[[#This Row],[Linear Area (ha)]]</f>
        <v>4.0797794117647057E-2</v>
      </c>
      <c r="T312" s="9" t="s">
        <v>22</v>
      </c>
      <c r="U312" s="9" t="s">
        <v>22</v>
      </c>
      <c r="V312" s="18">
        <v>110.97</v>
      </c>
      <c r="W312" s="18">
        <v>44.387999999999998</v>
      </c>
      <c r="X312" s="31">
        <v>27609.915157318101</v>
      </c>
      <c r="Y312" s="27">
        <f>Table1[[#This Row],[Raw Terrestrial Score]]/Table1[[#This Row],[Summed Raw Scores]]</f>
        <v>0.93806142736839759</v>
      </c>
      <c r="Z312" s="31">
        <v>1823.0349158705201</v>
      </c>
      <c r="AA312" s="27">
        <f>Table1[[#This Row],[Raw Freshwater Score]]/Table1[[#This Row],[Summed Raw Scores]]</f>
        <v>6.1938572631602379E-2</v>
      </c>
      <c r="AB312" s="27">
        <f>Table1[[#This Row],[Raw Terrestrial Score]]+Table1[[#This Row],[Raw Freshwater Score]]</f>
        <v>29432.950073188622</v>
      </c>
      <c r="AC312" s="28">
        <f>Table1[[#This Row],[Terrestrial % of Summed Score]]*Table1[[#This Row],[Scaled Summed Score]]</f>
        <v>0.16371122971963353</v>
      </c>
      <c r="AD312" s="28">
        <f>Table1[[#This Row],[Freshwater % of Summed Score]]*Table1[[#This Row],[Scaled Summed Score]]</f>
        <v>1.0809569178262613E-2</v>
      </c>
      <c r="AE312" s="29">
        <f>Table1[[#This Row],[Summed Raw Scores]]/MAX(Table1[Summed Raw Scores])</f>
        <v>0.17452079889789615</v>
      </c>
    </row>
    <row r="313" spans="1:31" hidden="1" x14ac:dyDescent="0.3">
      <c r="A313" s="26" t="s">
        <v>413</v>
      </c>
      <c r="B313" s="26" t="s">
        <v>58</v>
      </c>
      <c r="C313" s="26" t="s">
        <v>40</v>
      </c>
      <c r="D313" s="26"/>
      <c r="E313" s="18">
        <v>49.086061770000001</v>
      </c>
      <c r="F313" s="18">
        <v>-119.1086566</v>
      </c>
      <c r="G313" s="18">
        <v>23.527384619999999</v>
      </c>
      <c r="H313" s="26" t="s">
        <v>22</v>
      </c>
      <c r="I313" s="26" t="s">
        <v>22</v>
      </c>
      <c r="J313" s="18">
        <v>42.918905299999999</v>
      </c>
      <c r="K313" s="18">
        <v>240.89373699999999</v>
      </c>
      <c r="L313" s="6" t="s">
        <v>22</v>
      </c>
      <c r="M313" s="18">
        <v>0</v>
      </c>
      <c r="N313" s="18">
        <v>40.6</v>
      </c>
      <c r="O313" s="6">
        <f>Table1[[#This Row],[R1 Length (km)]]+Table1[[#This Row],[T1 Length (km)]]</f>
        <v>40.6</v>
      </c>
      <c r="P313" s="25">
        <v>130</v>
      </c>
      <c r="Q313" s="6">
        <f>(Table1[[#This Row],[Linear Features (km)]]*1)*100</f>
        <v>4060</v>
      </c>
      <c r="R313" s="18">
        <v>95.58</v>
      </c>
      <c r="S313" s="8">
        <f>Table1[[#This Row],[ATG (ha)]]/Table1[[#This Row],[Linear Area (ha)]]</f>
        <v>2.3541871921182265E-2</v>
      </c>
      <c r="T313" s="9" t="s">
        <v>22</v>
      </c>
      <c r="U313" s="9" t="s">
        <v>22</v>
      </c>
      <c r="V313" s="18">
        <v>95.58</v>
      </c>
      <c r="W313" s="18">
        <v>38.231999999999999</v>
      </c>
      <c r="X313" s="31">
        <v>29990.845163524202</v>
      </c>
      <c r="Y313" s="27">
        <f>Table1[[#This Row],[Raw Terrestrial Score]]/Table1[[#This Row],[Summed Raw Scores]]</f>
        <v>0.9579919478993002</v>
      </c>
      <c r="Z313" s="31">
        <v>1315.1018533464501</v>
      </c>
      <c r="AA313" s="27">
        <f>Table1[[#This Row],[Raw Freshwater Score]]/Table1[[#This Row],[Summed Raw Scores]]</f>
        <v>4.2008052100699807E-2</v>
      </c>
      <c r="AB313" s="27">
        <f>Table1[[#This Row],[Raw Terrestrial Score]]+Table1[[#This Row],[Raw Freshwater Score]]</f>
        <v>31305.94701687065</v>
      </c>
      <c r="AC313" s="28">
        <f>Table1[[#This Row],[Terrestrial % of Summed Score]]*Table1[[#This Row],[Scaled Summed Score]]</f>
        <v>0.17782880222832925</v>
      </c>
      <c r="AD313" s="28">
        <f>Table1[[#This Row],[Freshwater % of Summed Score]]*Table1[[#This Row],[Scaled Summed Score]]</f>
        <v>7.7978125029062716E-3</v>
      </c>
      <c r="AE313" s="29">
        <f>Table1[[#This Row],[Summed Raw Scores]]/MAX(Table1[Summed Raw Scores])</f>
        <v>0.18562661473123551</v>
      </c>
    </row>
    <row r="314" spans="1:31" hidden="1" x14ac:dyDescent="0.3">
      <c r="A314" s="26" t="s">
        <v>408</v>
      </c>
      <c r="B314" s="26" t="s">
        <v>58</v>
      </c>
      <c r="C314" s="26" t="s">
        <v>40</v>
      </c>
      <c r="D314" s="26"/>
      <c r="E314" s="18">
        <v>49.236297530000002</v>
      </c>
      <c r="F314" s="18">
        <v>-118.0536295</v>
      </c>
      <c r="G314" s="18">
        <v>24.524307690000001</v>
      </c>
      <c r="H314" s="26" t="s">
        <v>22</v>
      </c>
      <c r="I314" s="26" t="s">
        <v>22</v>
      </c>
      <c r="J314" s="18">
        <v>42.714905270000003</v>
      </c>
      <c r="K314" s="18">
        <v>200.18533529999999</v>
      </c>
      <c r="L314" s="6" t="s">
        <v>22</v>
      </c>
      <c r="M314" s="18">
        <v>0.3</v>
      </c>
      <c r="N314" s="18">
        <v>47.6</v>
      </c>
      <c r="O314" s="6">
        <f>Table1[[#This Row],[R1 Length (km)]]+Table1[[#This Row],[T1 Length (km)]]</f>
        <v>47.9</v>
      </c>
      <c r="P314" s="25">
        <v>69</v>
      </c>
      <c r="Q314" s="6">
        <f>(Table1[[#This Row],[Linear Features (km)]]*1)*100</f>
        <v>4790</v>
      </c>
      <c r="R314" s="18">
        <v>99.63</v>
      </c>
      <c r="S314" s="8">
        <f>Table1[[#This Row],[ATG (ha)]]/Table1[[#This Row],[Linear Area (ha)]]</f>
        <v>2.0799582463465551E-2</v>
      </c>
      <c r="T314" s="9" t="s">
        <v>22</v>
      </c>
      <c r="U314" s="9" t="s">
        <v>22</v>
      </c>
      <c r="V314" s="18">
        <v>99.63</v>
      </c>
      <c r="W314" s="18">
        <v>39.851999999999997</v>
      </c>
      <c r="X314" s="31">
        <v>29361.412938475602</v>
      </c>
      <c r="Y314" s="27">
        <f>Table1[[#This Row],[Raw Terrestrial Score]]/Table1[[#This Row],[Summed Raw Scores]]</f>
        <v>0.88383331786288788</v>
      </c>
      <c r="Z314" s="31">
        <v>3859.1189707214899</v>
      </c>
      <c r="AA314" s="27">
        <f>Table1[[#This Row],[Raw Freshwater Score]]/Table1[[#This Row],[Summed Raw Scores]]</f>
        <v>0.11616668213711216</v>
      </c>
      <c r="AB314" s="27">
        <f>Table1[[#This Row],[Raw Terrestrial Score]]+Table1[[#This Row],[Raw Freshwater Score]]</f>
        <v>33220.531909197089</v>
      </c>
      <c r="AC314" s="28">
        <f>Table1[[#This Row],[Terrestrial % of Summed Score]]*Table1[[#This Row],[Scaled Summed Score]]</f>
        <v>0.17409662402348028</v>
      </c>
      <c r="AD314" s="28">
        <f>Table1[[#This Row],[Freshwater % of Summed Score]]*Table1[[#This Row],[Scaled Summed Score]]</f>
        <v>2.2882399628226524E-2</v>
      </c>
      <c r="AE314" s="29">
        <f>Table1[[#This Row],[Summed Raw Scores]]/MAX(Table1[Summed Raw Scores])</f>
        <v>0.1969790236517068</v>
      </c>
    </row>
    <row r="315" spans="1:31" hidden="1" x14ac:dyDescent="0.3">
      <c r="A315" s="26" t="s">
        <v>378</v>
      </c>
      <c r="B315" s="26" t="s">
        <v>58</v>
      </c>
      <c r="C315" s="26" t="s">
        <v>40</v>
      </c>
      <c r="D315" s="26"/>
      <c r="E315" s="18">
        <v>49.292254130000003</v>
      </c>
      <c r="F315" s="18">
        <v>-117.6463486</v>
      </c>
      <c r="G315" s="18">
        <v>64.8</v>
      </c>
      <c r="H315" s="26" t="s">
        <v>22</v>
      </c>
      <c r="I315" s="26" t="s">
        <v>22</v>
      </c>
      <c r="J315" s="18">
        <v>107.23228450000001</v>
      </c>
      <c r="K315" s="18">
        <v>152.60262230000001</v>
      </c>
      <c r="L315" s="6" t="s">
        <v>22</v>
      </c>
      <c r="M315" s="18">
        <v>0.3</v>
      </c>
      <c r="N315" s="18">
        <v>29.8</v>
      </c>
      <c r="O315" s="6">
        <f>Table1[[#This Row],[R1 Length (km)]]+Table1[[#This Row],[T1 Length (km)]]</f>
        <v>30.1</v>
      </c>
      <c r="P315" s="25">
        <v>230</v>
      </c>
      <c r="Q315" s="6">
        <f>(Table1[[#This Row],[Linear Features (km)]]*1)*100</f>
        <v>3010</v>
      </c>
      <c r="R315" s="18">
        <v>263.25</v>
      </c>
      <c r="S315" s="8">
        <f>Table1[[#This Row],[ATG (ha)]]/Table1[[#This Row],[Linear Area (ha)]]</f>
        <v>8.7458471760797338E-2</v>
      </c>
      <c r="T315" s="9" t="s">
        <v>22</v>
      </c>
      <c r="U315" s="9" t="s">
        <v>22</v>
      </c>
      <c r="V315" s="18">
        <v>263.25</v>
      </c>
      <c r="W315" s="18">
        <v>105.3</v>
      </c>
      <c r="X315" s="31">
        <v>17963.744909524899</v>
      </c>
      <c r="Y315" s="27">
        <f>Table1[[#This Row],[Raw Terrestrial Score]]/Table1[[#This Row],[Summed Raw Scores]]</f>
        <v>0.87150799528310618</v>
      </c>
      <c r="Z315" s="31">
        <v>2648.5099484347702</v>
      </c>
      <c r="AA315" s="27">
        <f>Table1[[#This Row],[Raw Freshwater Score]]/Table1[[#This Row],[Summed Raw Scores]]</f>
        <v>0.12849200471689376</v>
      </c>
      <c r="AB315" s="27">
        <f>Table1[[#This Row],[Raw Terrestrial Score]]+Table1[[#This Row],[Raw Freshwater Score]]</f>
        <v>20612.25485795967</v>
      </c>
      <c r="AC315" s="28">
        <f>Table1[[#This Row],[Terrestrial % of Summed Score]]*Table1[[#This Row],[Scaled Summed Score]]</f>
        <v>0.10651487890315524</v>
      </c>
      <c r="AD315" s="28">
        <f>Table1[[#This Row],[Freshwater % of Summed Score]]*Table1[[#This Row],[Scaled Summed Score]]</f>
        <v>1.5704170697823195E-2</v>
      </c>
      <c r="AE315" s="29">
        <f>Table1[[#This Row],[Summed Raw Scores]]/MAX(Table1[Summed Raw Scores])</f>
        <v>0.12221904960097844</v>
      </c>
    </row>
    <row r="316" spans="1:31" hidden="1" x14ac:dyDescent="0.3">
      <c r="A316" s="26" t="s">
        <v>276</v>
      </c>
      <c r="B316" s="26" t="s">
        <v>58</v>
      </c>
      <c r="C316" s="26" t="s">
        <v>95</v>
      </c>
      <c r="D316" s="26"/>
      <c r="E316" s="18">
        <v>49.478360520000003</v>
      </c>
      <c r="F316" s="18">
        <v>-115.82734960000001</v>
      </c>
      <c r="G316" s="18">
        <v>31.103999999999999</v>
      </c>
      <c r="H316" s="26" t="s">
        <v>22</v>
      </c>
      <c r="I316" s="26" t="s">
        <v>22</v>
      </c>
      <c r="J316" s="10">
        <v>56.30024616</v>
      </c>
      <c r="K316" s="10">
        <v>123.52039379999999</v>
      </c>
      <c r="L316" s="6" t="s">
        <v>22</v>
      </c>
      <c r="M316" s="18">
        <v>0.3</v>
      </c>
      <c r="N316" s="18">
        <v>6.8</v>
      </c>
      <c r="O316" s="6">
        <f>Table1[[#This Row],[R1 Length (km)]]+Table1[[#This Row],[T1 Length (km)]]</f>
        <v>7.1</v>
      </c>
      <c r="P316" s="25">
        <v>69</v>
      </c>
      <c r="Q316" s="6">
        <f>(Table1[[#This Row],[Linear Features (km)]]*1)*100</f>
        <v>710</v>
      </c>
      <c r="R316" s="18">
        <v>126.36</v>
      </c>
      <c r="S316" s="8">
        <f>Table1[[#This Row],[ATG (ha)]]/Table1[[#This Row],[Linear Area (ha)]]</f>
        <v>0.17797183098591549</v>
      </c>
      <c r="T316" s="9" t="s">
        <v>22</v>
      </c>
      <c r="U316" s="9" t="s">
        <v>22</v>
      </c>
      <c r="V316" s="18">
        <v>126.36</v>
      </c>
      <c r="W316" s="18">
        <v>50.543999999999997</v>
      </c>
      <c r="X316" s="31">
        <v>4352.1231555938703</v>
      </c>
      <c r="Y316" s="27">
        <f>Table1[[#This Row],[Raw Terrestrial Score]]/Table1[[#This Row],[Summed Raw Scores]]</f>
        <v>0.80619993774507082</v>
      </c>
      <c r="Z316" s="31">
        <v>1046.1942491019099</v>
      </c>
      <c r="AA316" s="27">
        <f>Table1[[#This Row],[Raw Freshwater Score]]/Table1[[#This Row],[Summed Raw Scores]]</f>
        <v>0.19380006225492918</v>
      </c>
      <c r="AB316" s="27">
        <f>Table1[[#This Row],[Raw Terrestrial Score]]+Table1[[#This Row],[Raw Freshwater Score]]</f>
        <v>5398.3174046957802</v>
      </c>
      <c r="AC316" s="28">
        <f>Table1[[#This Row],[Terrestrial % of Summed Score]]*Table1[[#This Row],[Scaled Summed Score]]</f>
        <v>2.5805636476384324E-2</v>
      </c>
      <c r="AD316" s="28">
        <f>Table1[[#This Row],[Freshwater % of Summed Score]]*Table1[[#This Row],[Scaled Summed Score]]</f>
        <v>6.2033420265938622E-3</v>
      </c>
      <c r="AE316" s="29">
        <f>Table1[[#This Row],[Summed Raw Scores]]/MAX(Table1[Summed Raw Scores])</f>
        <v>3.2008978502978187E-2</v>
      </c>
    </row>
    <row r="317" spans="1:31" hidden="1" x14ac:dyDescent="0.3">
      <c r="A317" s="26" t="s">
        <v>94</v>
      </c>
      <c r="B317" s="26" t="s">
        <v>58</v>
      </c>
      <c r="C317" s="26" t="s">
        <v>95</v>
      </c>
      <c r="D317" s="26"/>
      <c r="E317" s="30">
        <v>49.546591419999999</v>
      </c>
      <c r="F317" s="30">
        <v>-115.68028320000001</v>
      </c>
      <c r="G317" s="30">
        <v>82.146461538500006</v>
      </c>
      <c r="H317" s="6" t="s">
        <v>22</v>
      </c>
      <c r="I317" s="6" t="s">
        <v>22</v>
      </c>
      <c r="J317" s="30">
        <v>145.58409507610833</v>
      </c>
      <c r="K317" s="30">
        <v>103.70798631766935</v>
      </c>
      <c r="L317" s="6" t="s">
        <v>22</v>
      </c>
      <c r="M317" s="30">
        <v>1.8</v>
      </c>
      <c r="N317" s="30">
        <v>9.4</v>
      </c>
      <c r="O317" s="6">
        <f>Table1[[#This Row],[R1 Length (km)]]+Table1[[#This Row],[T1 Length (km)]]</f>
        <v>11.200000000000001</v>
      </c>
      <c r="P317" s="31">
        <v>230</v>
      </c>
      <c r="Q317" s="6">
        <f>(Table1[[#This Row],[Linear Features (km)]]*1)*100</f>
        <v>1120</v>
      </c>
      <c r="R317" s="30">
        <v>845.64</v>
      </c>
      <c r="S317" s="29">
        <f>Table1[[#This Row],[ATG (ha)]]/Table1[[#This Row],[Linear Area (ha)]]</f>
        <v>0.75503571428571425</v>
      </c>
      <c r="T317" s="9" t="s">
        <v>22</v>
      </c>
      <c r="U317" s="9" t="s">
        <v>22</v>
      </c>
      <c r="V317" s="30">
        <v>845.64</v>
      </c>
      <c r="W317" s="30">
        <v>338.25600000000003</v>
      </c>
      <c r="X317" s="31">
        <v>12631.5129681528</v>
      </c>
      <c r="Y317" s="27">
        <f>Table1[[#This Row],[Raw Terrestrial Score]]/Table1[[#This Row],[Summed Raw Scores]]</f>
        <v>0.85365870954293488</v>
      </c>
      <c r="Z317" s="31">
        <v>2165.3992251474401</v>
      </c>
      <c r="AA317" s="27">
        <f>Table1[[#This Row],[Raw Freshwater Score]]/Table1[[#This Row],[Summed Raw Scores]]</f>
        <v>0.1463412904570652</v>
      </c>
      <c r="AB317" s="27">
        <f>Table1[[#This Row],[Raw Terrestrial Score]]+Table1[[#This Row],[Raw Freshwater Score]]</f>
        <v>14796.912193300239</v>
      </c>
      <c r="AC317" s="28">
        <f>Table1[[#This Row],[Terrestrial % of Summed Score]]*Table1[[#This Row],[Scaled Summed Score]]</f>
        <v>7.4897749937043318E-2</v>
      </c>
      <c r="AD317" s="28">
        <f>Table1[[#This Row],[Freshwater % of Summed Score]]*Table1[[#This Row],[Scaled Summed Score]]</f>
        <v>1.2839596498682739E-2</v>
      </c>
      <c r="AE317" s="29">
        <f>Table1[[#This Row],[Summed Raw Scores]]/MAX(Table1[Summed Raw Scores])</f>
        <v>8.7737346435726046E-2</v>
      </c>
    </row>
    <row r="318" spans="1:31" hidden="1" x14ac:dyDescent="0.3">
      <c r="A318" s="26" t="s">
        <v>328</v>
      </c>
      <c r="B318" s="26" t="s">
        <v>58</v>
      </c>
      <c r="C318" s="26" t="s">
        <v>95</v>
      </c>
      <c r="D318" s="26"/>
      <c r="E318" s="18">
        <v>49.528722129999998</v>
      </c>
      <c r="F318" s="18">
        <v>-115.4161629</v>
      </c>
      <c r="G318" s="18">
        <v>12.162461540000001</v>
      </c>
      <c r="H318" s="26" t="s">
        <v>22</v>
      </c>
      <c r="I318" s="26" t="s">
        <v>22</v>
      </c>
      <c r="J318" s="18">
        <v>20.61246491</v>
      </c>
      <c r="K318" s="18">
        <v>133.9561937</v>
      </c>
      <c r="L318" s="6" t="s">
        <v>22</v>
      </c>
      <c r="M318" s="18">
        <v>3.4</v>
      </c>
      <c r="N318" s="18">
        <v>5.4</v>
      </c>
      <c r="O318" s="6">
        <f>Table1[[#This Row],[R1 Length (km)]]+Table1[[#This Row],[T1 Length (km)]]</f>
        <v>8.8000000000000007</v>
      </c>
      <c r="P318" s="25">
        <v>25</v>
      </c>
      <c r="Q318" s="6">
        <f>(Table1[[#This Row],[Linear Features (km)]]*1)*100</f>
        <v>880.00000000000011</v>
      </c>
      <c r="R318" s="18">
        <v>49.41</v>
      </c>
      <c r="S318" s="8">
        <f>Table1[[#This Row],[ATG (ha)]]/Table1[[#This Row],[Linear Area (ha)]]</f>
        <v>5.6147727272727259E-2</v>
      </c>
      <c r="T318" s="9" t="s">
        <v>22</v>
      </c>
      <c r="U318" s="9" t="s">
        <v>22</v>
      </c>
      <c r="V318" s="18">
        <v>49.41</v>
      </c>
      <c r="W318" s="18">
        <v>19.763999999999999</v>
      </c>
      <c r="X318" s="31">
        <v>7189.3204091489297</v>
      </c>
      <c r="Y318" s="27">
        <f>Table1[[#This Row],[Raw Terrestrial Score]]/Table1[[#This Row],[Summed Raw Scores]]</f>
        <v>0.8891900867275383</v>
      </c>
      <c r="Z318" s="31">
        <v>895.925385265611</v>
      </c>
      <c r="AA318" s="27">
        <f>Table1[[#This Row],[Raw Freshwater Score]]/Table1[[#This Row],[Summed Raw Scores]]</f>
        <v>0.1108099132724617</v>
      </c>
      <c r="AB318" s="27">
        <f>Table1[[#This Row],[Raw Terrestrial Score]]+Table1[[#This Row],[Raw Freshwater Score]]</f>
        <v>8085.2457944145408</v>
      </c>
      <c r="AC318" s="28">
        <f>Table1[[#This Row],[Terrestrial % of Summed Score]]*Table1[[#This Row],[Scaled Summed Score]]</f>
        <v>4.2628616506931553E-2</v>
      </c>
      <c r="AD318" s="28">
        <f>Table1[[#This Row],[Freshwater % of Summed Score]]*Table1[[#This Row],[Scaled Summed Score]]</f>
        <v>5.3123323894022694E-3</v>
      </c>
      <c r="AE318" s="29">
        <f>Table1[[#This Row],[Summed Raw Scores]]/MAX(Table1[Summed Raw Scores])</f>
        <v>4.7940948896333824E-2</v>
      </c>
    </row>
    <row r="319" spans="1:31" hidden="1" x14ac:dyDescent="0.3">
      <c r="A319" s="26" t="s">
        <v>331</v>
      </c>
      <c r="B319" s="26" t="s">
        <v>58</v>
      </c>
      <c r="C319" s="26" t="s">
        <v>95</v>
      </c>
      <c r="D319" s="26"/>
      <c r="E319" s="18">
        <v>49.42023451</v>
      </c>
      <c r="F319" s="18">
        <v>-115.8920045</v>
      </c>
      <c r="G319" s="18">
        <v>25.12246154</v>
      </c>
      <c r="H319" s="26" t="s">
        <v>22</v>
      </c>
      <c r="I319" s="26" t="s">
        <v>22</v>
      </c>
      <c r="J319" s="18">
        <v>46.020053150000003</v>
      </c>
      <c r="K319" s="18">
        <v>135.1440547</v>
      </c>
      <c r="L319" s="6" t="s">
        <v>22</v>
      </c>
      <c r="M319" s="18">
        <v>0.6</v>
      </c>
      <c r="N319" s="18">
        <v>14.8</v>
      </c>
      <c r="O319" s="6">
        <f>Table1[[#This Row],[R1 Length (km)]]+Table1[[#This Row],[T1 Length (km)]]</f>
        <v>15.4</v>
      </c>
      <c r="P319" s="25">
        <v>69</v>
      </c>
      <c r="Q319" s="6">
        <f>(Table1[[#This Row],[Linear Features (km)]]*1)*100</f>
        <v>1540</v>
      </c>
      <c r="R319" s="18">
        <v>102.06</v>
      </c>
      <c r="S319" s="8">
        <f>Table1[[#This Row],[ATG (ha)]]/Table1[[#This Row],[Linear Area (ha)]]</f>
        <v>6.6272727272727275E-2</v>
      </c>
      <c r="T319" s="9" t="s">
        <v>22</v>
      </c>
      <c r="U319" s="9" t="s">
        <v>22</v>
      </c>
      <c r="V319" s="18">
        <v>102.06</v>
      </c>
      <c r="W319" s="18">
        <v>40.823999999999998</v>
      </c>
      <c r="X319" s="31">
        <v>11148.2867101133</v>
      </c>
      <c r="Y319" s="27">
        <f>Table1[[#This Row],[Raw Terrestrial Score]]/Table1[[#This Row],[Summed Raw Scores]]</f>
        <v>0.8299046412644473</v>
      </c>
      <c r="Z319" s="31">
        <v>2284.9273675037498</v>
      </c>
      <c r="AA319" s="27">
        <f>Table1[[#This Row],[Raw Freshwater Score]]/Table1[[#This Row],[Summed Raw Scores]]</f>
        <v>0.17009535873555279</v>
      </c>
      <c r="AB319" s="27">
        <f>Table1[[#This Row],[Raw Terrestrial Score]]+Table1[[#This Row],[Raw Freshwater Score]]</f>
        <v>13433.214077617049</v>
      </c>
      <c r="AC319" s="28">
        <f>Table1[[#This Row],[Terrestrial % of Summed Score]]*Table1[[#This Row],[Scaled Summed Score]]</f>
        <v>6.6103054507067091E-2</v>
      </c>
      <c r="AD319" s="28">
        <f>Table1[[#This Row],[Freshwater % of Summed Score]]*Table1[[#This Row],[Scaled Summed Score]]</f>
        <v>1.3548330989888458E-2</v>
      </c>
      <c r="AE319" s="29">
        <f>Table1[[#This Row],[Summed Raw Scores]]/MAX(Table1[Summed Raw Scores])</f>
        <v>7.9651385496955537E-2</v>
      </c>
    </row>
    <row r="320" spans="1:31" hidden="1" x14ac:dyDescent="0.3">
      <c r="A320" s="26" t="s">
        <v>375</v>
      </c>
      <c r="B320" s="26" t="s">
        <v>58</v>
      </c>
      <c r="C320" s="26" t="s">
        <v>40</v>
      </c>
      <c r="D320" s="26"/>
      <c r="E320" s="18">
        <v>49.042633840000001</v>
      </c>
      <c r="F320" s="18">
        <v>-117.6332014</v>
      </c>
      <c r="G320" s="18">
        <v>36.287999999999997</v>
      </c>
      <c r="H320" s="26" t="s">
        <v>22</v>
      </c>
      <c r="I320" s="26" t="s">
        <v>22</v>
      </c>
      <c r="J320" s="18">
        <v>61.39926131</v>
      </c>
      <c r="K320" s="18">
        <v>151.9266222</v>
      </c>
      <c r="L320" s="6" t="s">
        <v>22</v>
      </c>
      <c r="M320" s="18">
        <v>2.2000000000000002</v>
      </c>
      <c r="N320" s="18">
        <v>10</v>
      </c>
      <c r="O320" s="6">
        <f>Table1[[#This Row],[R1 Length (km)]]+Table1[[#This Row],[T1 Length (km)]]</f>
        <v>12.2</v>
      </c>
      <c r="P320" s="25">
        <v>69</v>
      </c>
      <c r="Q320" s="6">
        <f>(Table1[[#This Row],[Linear Features (km)]]*1)*100</f>
        <v>1220</v>
      </c>
      <c r="R320" s="18">
        <v>147.41999999999999</v>
      </c>
      <c r="S320" s="8">
        <f>Table1[[#This Row],[ATG (ha)]]/Table1[[#This Row],[Linear Area (ha)]]</f>
        <v>0.12083606557377048</v>
      </c>
      <c r="T320" s="9" t="s">
        <v>22</v>
      </c>
      <c r="U320" s="9" t="s">
        <v>22</v>
      </c>
      <c r="V320" s="10">
        <v>147.41999999999999</v>
      </c>
      <c r="W320" s="10">
        <v>58.968000000000004</v>
      </c>
      <c r="X320" s="31">
        <v>10435.266090691101</v>
      </c>
      <c r="Y320" s="27">
        <f>Table1[[#This Row],[Raw Terrestrial Score]]/Table1[[#This Row],[Summed Raw Scores]]</f>
        <v>0.82671554614654796</v>
      </c>
      <c r="Z320" s="31">
        <v>2187.2933123968501</v>
      </c>
      <c r="AA320" s="27">
        <f>Table1[[#This Row],[Raw Freshwater Score]]/Table1[[#This Row],[Summed Raw Scores]]</f>
        <v>0.17328445385345195</v>
      </c>
      <c r="AB320" s="27">
        <f>Table1[[#This Row],[Raw Terrestrial Score]]+Table1[[#This Row],[Raw Freshwater Score]]</f>
        <v>12622.559403087951</v>
      </c>
      <c r="AC320" s="28">
        <f>Table1[[#This Row],[Terrestrial % of Summed Score]]*Table1[[#This Row],[Scaled Summed Score]]</f>
        <v>6.1875244252817756E-2</v>
      </c>
      <c r="AD320" s="28">
        <f>Table1[[#This Row],[Freshwater % of Summed Score]]*Table1[[#This Row],[Scaled Summed Score]]</f>
        <v>1.2969416091635738E-2</v>
      </c>
      <c r="AE320" s="29">
        <f>Table1[[#This Row],[Summed Raw Scores]]/MAX(Table1[Summed Raw Scores])</f>
        <v>7.4844660344453501E-2</v>
      </c>
    </row>
    <row r="321" spans="1:31" hidden="1" x14ac:dyDescent="0.3">
      <c r="A321" s="26" t="s">
        <v>346</v>
      </c>
      <c r="B321" s="26" t="s">
        <v>58</v>
      </c>
      <c r="C321" s="26" t="s">
        <v>40</v>
      </c>
      <c r="D321" s="26"/>
      <c r="E321" s="18">
        <v>49.145262299999999</v>
      </c>
      <c r="F321" s="18">
        <v>-117.24546170000001</v>
      </c>
      <c r="G321" s="18">
        <v>49.84615385</v>
      </c>
      <c r="H321" s="26" t="s">
        <v>22</v>
      </c>
      <c r="I321" s="26" t="s">
        <v>22</v>
      </c>
      <c r="J321" s="18">
        <v>83.972166369999997</v>
      </c>
      <c r="K321" s="18">
        <v>140.4407076</v>
      </c>
      <c r="L321" s="6" t="s">
        <v>22</v>
      </c>
      <c r="M321" s="18">
        <v>0.3</v>
      </c>
      <c r="N321" s="18">
        <v>18.3</v>
      </c>
      <c r="O321" s="6">
        <f>Table1[[#This Row],[R1 Length (km)]]+Table1[[#This Row],[T1 Length (km)]]</f>
        <v>18.600000000000001</v>
      </c>
      <c r="P321" s="25">
        <v>69</v>
      </c>
      <c r="Q321" s="6">
        <f>(Table1[[#This Row],[Linear Features (km)]]*1)*100</f>
        <v>1860.0000000000002</v>
      </c>
      <c r="R321" s="18">
        <v>202.5</v>
      </c>
      <c r="S321" s="8">
        <f>Table1[[#This Row],[ATG (ha)]]/Table1[[#This Row],[Linear Area (ha)]]</f>
        <v>0.10887096774193547</v>
      </c>
      <c r="T321" s="9" t="s">
        <v>22</v>
      </c>
      <c r="U321" s="9" t="s">
        <v>22</v>
      </c>
      <c r="V321" s="10">
        <v>202.5</v>
      </c>
      <c r="W321" s="10">
        <v>81</v>
      </c>
      <c r="X321" s="31">
        <v>11849.0217132568</v>
      </c>
      <c r="Y321" s="27">
        <f>Table1[[#This Row],[Raw Terrestrial Score]]/Table1[[#This Row],[Summed Raw Scores]]</f>
        <v>0.93951359600625972</v>
      </c>
      <c r="Z321" s="31">
        <v>762.84655945934401</v>
      </c>
      <c r="AA321" s="27">
        <f>Table1[[#This Row],[Raw Freshwater Score]]/Table1[[#This Row],[Summed Raw Scores]]</f>
        <v>6.0486403993740279E-2</v>
      </c>
      <c r="AB321" s="27">
        <f>Table1[[#This Row],[Raw Terrestrial Score]]+Table1[[#This Row],[Raw Freshwater Score]]</f>
        <v>12611.868272716143</v>
      </c>
      <c r="AC321" s="28">
        <f>Table1[[#This Row],[Terrestrial % of Summed Score]]*Table1[[#This Row],[Scaled Summed Score]]</f>
        <v>7.0258017983722568E-2</v>
      </c>
      <c r="AD321" s="28">
        <f>Table1[[#This Row],[Freshwater % of Summed Score]]*Table1[[#This Row],[Scaled Summed Score]]</f>
        <v>4.5232499855538E-3</v>
      </c>
      <c r="AE321" s="29">
        <f>Table1[[#This Row],[Summed Raw Scores]]/MAX(Table1[Summed Raw Scores])</f>
        <v>7.4781267969276366E-2</v>
      </c>
    </row>
    <row r="322" spans="1:31" hidden="1" x14ac:dyDescent="0.3">
      <c r="A322" s="26" t="s">
        <v>392</v>
      </c>
      <c r="B322" s="26" t="s">
        <v>58</v>
      </c>
      <c r="C322" s="26" t="s">
        <v>40</v>
      </c>
      <c r="D322" s="26"/>
      <c r="E322" s="18">
        <v>49.097512539999997</v>
      </c>
      <c r="F322" s="18">
        <v>-117.22692290000001</v>
      </c>
      <c r="G322" s="18">
        <v>12.56123077</v>
      </c>
      <c r="H322" s="26" t="s">
        <v>22</v>
      </c>
      <c r="I322" s="26" t="s">
        <v>22</v>
      </c>
      <c r="J322" s="18">
        <v>21.13956245</v>
      </c>
      <c r="K322" s="18">
        <v>159.00699689999999</v>
      </c>
      <c r="L322" s="6" t="s">
        <v>22</v>
      </c>
      <c r="M322" s="18">
        <v>2.8</v>
      </c>
      <c r="N322" s="18">
        <v>14.1</v>
      </c>
      <c r="O322" s="6">
        <f>Table1[[#This Row],[R1 Length (km)]]+Table1[[#This Row],[T1 Length (km)]]</f>
        <v>16.899999999999999</v>
      </c>
      <c r="P322" s="25">
        <v>25</v>
      </c>
      <c r="Q322" s="6">
        <f>(Table1[[#This Row],[Linear Features (km)]]*1)*100</f>
        <v>1689.9999999999998</v>
      </c>
      <c r="R322" s="18">
        <v>51.03</v>
      </c>
      <c r="S322" s="8">
        <f>Table1[[#This Row],[ATG (ha)]]/Table1[[#This Row],[Linear Area (ha)]]</f>
        <v>3.0195266272189353E-2</v>
      </c>
      <c r="T322" s="9" t="s">
        <v>22</v>
      </c>
      <c r="U322" s="9" t="s">
        <v>22</v>
      </c>
      <c r="V322" s="10">
        <v>51.03</v>
      </c>
      <c r="W322" s="10">
        <v>20.411999999999999</v>
      </c>
      <c r="X322" s="31">
        <v>9829.2794855237007</v>
      </c>
      <c r="Y322" s="27">
        <f>Table1[[#This Row],[Raw Terrestrial Score]]/Table1[[#This Row],[Summed Raw Scores]]</f>
        <v>0.95468828625664348</v>
      </c>
      <c r="Z322" s="31">
        <v>466.52033418975799</v>
      </c>
      <c r="AA322" s="27">
        <f>Table1[[#This Row],[Raw Freshwater Score]]/Table1[[#This Row],[Summed Raw Scores]]</f>
        <v>4.5311713743356533E-2</v>
      </c>
      <c r="AB322" s="27">
        <f>Table1[[#This Row],[Raw Terrestrial Score]]+Table1[[#This Row],[Raw Freshwater Score]]</f>
        <v>10295.799819713458</v>
      </c>
      <c r="AC322" s="28">
        <f>Table1[[#This Row],[Terrestrial % of Summed Score]]*Table1[[#This Row],[Scaled Summed Score]]</f>
        <v>5.8282085354635277E-2</v>
      </c>
      <c r="AD322" s="28">
        <f>Table1[[#This Row],[Freshwater % of Summed Score]]*Table1[[#This Row],[Scaled Summed Score]]</f>
        <v>2.7662025458696977E-3</v>
      </c>
      <c r="AE322" s="29">
        <f>Table1[[#This Row],[Summed Raw Scores]]/MAX(Table1[Summed Raw Scores])</f>
        <v>6.1048287900504976E-2</v>
      </c>
    </row>
    <row r="323" spans="1:31" hidden="1" x14ac:dyDescent="0.3">
      <c r="A323" s="26" t="s">
        <v>109</v>
      </c>
      <c r="B323" s="26" t="s">
        <v>97</v>
      </c>
      <c r="C323" s="26" t="s">
        <v>32</v>
      </c>
      <c r="D323" s="26" t="s">
        <v>250</v>
      </c>
      <c r="E323" s="10">
        <v>50.52</v>
      </c>
      <c r="F323" s="10">
        <v>-123.24</v>
      </c>
      <c r="G323" s="6">
        <v>45.1</v>
      </c>
      <c r="H323" s="6">
        <v>40</v>
      </c>
      <c r="I323" s="6">
        <v>7</v>
      </c>
      <c r="J323" s="11">
        <v>231</v>
      </c>
      <c r="K323" s="11">
        <v>72.571789578361177</v>
      </c>
      <c r="L323" s="6" t="s">
        <v>22</v>
      </c>
      <c r="M323" s="10">
        <v>0.3</v>
      </c>
      <c r="N323" s="7">
        <v>61.883766184071128</v>
      </c>
      <c r="O323" s="7">
        <f>Table1[[#This Row],[R1 Length (km)]]+Table1[[#This Row],[T1 Length (km)]]</f>
        <v>62.183766184071125</v>
      </c>
      <c r="P323" s="17">
        <v>230</v>
      </c>
      <c r="Q323" s="7">
        <f>(Table1[[#This Row],[Linear Features (km)]]*1)*100</f>
        <v>6218.3766184071128</v>
      </c>
      <c r="R323" s="7">
        <v>61.88</v>
      </c>
      <c r="S323" s="8">
        <f>Table1[[#This Row],[ATG (ha)]]/Table1[[#This Row],[Linear Area (ha)]]</f>
        <v>9.9511502434297822E-3</v>
      </c>
      <c r="T323" s="9" t="s">
        <v>22</v>
      </c>
      <c r="U323" s="9" t="s">
        <v>22</v>
      </c>
      <c r="V323" s="9" t="s">
        <v>22</v>
      </c>
      <c r="W323" s="9" t="s">
        <v>22</v>
      </c>
      <c r="X323" s="31">
        <v>34848.934613320002</v>
      </c>
      <c r="Y323" s="27">
        <f>Table1[[#This Row],[Raw Terrestrial Score]]/Table1[[#This Row],[Summed Raw Scores]]</f>
        <v>0.51078904466471398</v>
      </c>
      <c r="Z323" s="31">
        <v>33376.754596978397</v>
      </c>
      <c r="AA323" s="27">
        <f>Table1[[#This Row],[Raw Freshwater Score]]/Table1[[#This Row],[Summed Raw Scores]]</f>
        <v>0.48921095533528602</v>
      </c>
      <c r="AB323" s="27">
        <f>Table1[[#This Row],[Raw Terrestrial Score]]+Table1[[#This Row],[Raw Freshwater Score]]</f>
        <v>68225.689210298398</v>
      </c>
      <c r="AC323" s="28">
        <f>Table1[[#This Row],[Terrestrial % of Summed Score]]*Table1[[#This Row],[Scaled Summed Score]]</f>
        <v>0.20663453355283301</v>
      </c>
      <c r="AD323" s="28">
        <f>Table1[[#This Row],[Freshwater % of Summed Score]]*Table1[[#This Row],[Scaled Summed Score]]</f>
        <v>0.19790533610797689</v>
      </c>
      <c r="AE323" s="29">
        <f>Table1[[#This Row],[Summed Raw Scores]]/MAX(Table1[Summed Raw Scores])</f>
        <v>0.4045398696608099</v>
      </c>
    </row>
    <row r="324" spans="1:31" hidden="1" x14ac:dyDescent="0.3">
      <c r="A324" s="26" t="s">
        <v>110</v>
      </c>
      <c r="B324" s="26" t="s">
        <v>97</v>
      </c>
      <c r="C324" s="26" t="s">
        <v>32</v>
      </c>
      <c r="D324" s="26" t="s">
        <v>250</v>
      </c>
      <c r="E324" s="12">
        <v>49.68</v>
      </c>
      <c r="F324" s="12">
        <v>-121.53</v>
      </c>
      <c r="G324" s="6">
        <v>40.4</v>
      </c>
      <c r="H324" s="6">
        <v>40</v>
      </c>
      <c r="I324" s="6">
        <v>8</v>
      </c>
      <c r="J324" s="11">
        <v>134.80000000000001</v>
      </c>
      <c r="K324" s="11">
        <v>88.061461448598124</v>
      </c>
      <c r="L324" s="6" t="s">
        <v>22</v>
      </c>
      <c r="M324" s="12">
        <v>0</v>
      </c>
      <c r="N324" s="7">
        <v>9.6941125496967455</v>
      </c>
      <c r="O324" s="7">
        <f>Table1[[#This Row],[R1 Length (km)]]+Table1[[#This Row],[T1 Length (km)]]</f>
        <v>9.6941125496967455</v>
      </c>
      <c r="P324" s="17">
        <v>69</v>
      </c>
      <c r="Q324" s="7">
        <f>(Table1[[#This Row],[Linear Features (km)]]*1)*100</f>
        <v>969.41125496967459</v>
      </c>
      <c r="R324" s="7">
        <v>9.02</v>
      </c>
      <c r="S324" s="8">
        <f>Table1[[#This Row],[ATG (ha)]]/Table1[[#This Row],[Linear Area (ha)]]</f>
        <v>9.3046165430399983E-3</v>
      </c>
      <c r="T324" s="9" t="s">
        <v>22</v>
      </c>
      <c r="U324" s="9" t="s">
        <v>22</v>
      </c>
      <c r="V324" s="9" t="s">
        <v>22</v>
      </c>
      <c r="W324" s="9" t="s">
        <v>22</v>
      </c>
      <c r="X324" s="31">
        <v>742.18461885303304</v>
      </c>
      <c r="Y324" s="27">
        <f>Table1[[#This Row],[Raw Terrestrial Score]]/Table1[[#This Row],[Summed Raw Scores]]</f>
        <v>0.46490451527320353</v>
      </c>
      <c r="Z324" s="31">
        <v>854.23915091157005</v>
      </c>
      <c r="AA324" s="27">
        <f>Table1[[#This Row],[Raw Freshwater Score]]/Table1[[#This Row],[Summed Raw Scores]]</f>
        <v>0.53509548472679647</v>
      </c>
      <c r="AB324" s="27">
        <f>Table1[[#This Row],[Raw Terrestrial Score]]+Table1[[#This Row],[Raw Freshwater Score]]</f>
        <v>1596.4237697646031</v>
      </c>
      <c r="AC324" s="28">
        <f>Table1[[#This Row],[Terrestrial % of Summed Score]]*Table1[[#This Row],[Scaled Summed Score]]</f>
        <v>4.4007363274791702E-3</v>
      </c>
      <c r="AD324" s="28">
        <f>Table1[[#This Row],[Freshwater % of Summed Score]]*Table1[[#This Row],[Scaled Summed Score]]</f>
        <v>5.0651565234281935E-3</v>
      </c>
      <c r="AE324" s="29">
        <f>Table1[[#This Row],[Summed Raw Scores]]/MAX(Table1[Summed Raw Scores])</f>
        <v>9.4658928509073637E-3</v>
      </c>
    </row>
    <row r="325" spans="1:31" hidden="1" x14ac:dyDescent="0.3">
      <c r="A325" s="26" t="s">
        <v>111</v>
      </c>
      <c r="B325" s="26" t="s">
        <v>97</v>
      </c>
      <c r="C325" s="26" t="s">
        <v>32</v>
      </c>
      <c r="D325" s="26" t="s">
        <v>250</v>
      </c>
      <c r="E325" s="6">
        <v>50.08</v>
      </c>
      <c r="F325" s="6">
        <v>-123.36</v>
      </c>
      <c r="G325" s="6">
        <v>67.7</v>
      </c>
      <c r="H325" s="6">
        <v>40</v>
      </c>
      <c r="I325" s="6">
        <v>10</v>
      </c>
      <c r="J325" s="6">
        <v>345</v>
      </c>
      <c r="K325" s="6">
        <v>92.74</v>
      </c>
      <c r="L325" s="6" t="s">
        <v>22</v>
      </c>
      <c r="M325" s="6">
        <f>299.999999998137/1000</f>
        <v>0.29999999999813703</v>
      </c>
      <c r="N325" s="6">
        <v>38.788899999999998</v>
      </c>
      <c r="O325" s="6">
        <f>Table1[[#This Row],[R1 Length (km)]]+Table1[[#This Row],[T1 Length (km)]]</f>
        <v>39.088899999998134</v>
      </c>
      <c r="P325" s="31">
        <v>130</v>
      </c>
      <c r="Q325" s="6">
        <f>(Table1[[#This Row],[Linear Features (km)]]*1)*100</f>
        <v>3908.8899999998134</v>
      </c>
      <c r="R325" s="7">
        <v>133.80000000000001</v>
      </c>
      <c r="S325" s="8">
        <f>Table1[[#This Row],[ATG (ha)]]/Table1[[#This Row],[Linear Area (ha)]]</f>
        <v>3.4229666222381903E-2</v>
      </c>
      <c r="T325" s="9" t="s">
        <v>22</v>
      </c>
      <c r="U325" s="9" t="s">
        <v>22</v>
      </c>
      <c r="V325" s="9" t="s">
        <v>22</v>
      </c>
      <c r="W325" s="9" t="s">
        <v>22</v>
      </c>
      <c r="X325" s="31">
        <v>15461.472368091299</v>
      </c>
      <c r="Y325" s="27">
        <f>Table1[[#This Row],[Raw Terrestrial Score]]/Table1[[#This Row],[Summed Raw Scores]]</f>
        <v>0.31472291483684767</v>
      </c>
      <c r="Z325" s="31">
        <v>33665.780968725703</v>
      </c>
      <c r="AA325" s="27">
        <f>Table1[[#This Row],[Raw Freshwater Score]]/Table1[[#This Row],[Summed Raw Scores]]</f>
        <v>0.68527708516315222</v>
      </c>
      <c r="AB325" s="27">
        <f>Table1[[#This Row],[Raw Terrestrial Score]]+Table1[[#This Row],[Raw Freshwater Score]]</f>
        <v>49127.253336817004</v>
      </c>
      <c r="AC325" s="28">
        <f>Table1[[#This Row],[Terrestrial % of Summed Score]]*Table1[[#This Row],[Scaled Summed Score]]</f>
        <v>9.1677813576527906E-2</v>
      </c>
      <c r="AD325" s="28">
        <f>Table1[[#This Row],[Freshwater % of Summed Score]]*Table1[[#This Row],[Scaled Summed Score]]</f>
        <v>0.19961909953211454</v>
      </c>
      <c r="AE325" s="29">
        <f>Table1[[#This Row],[Summed Raw Scores]]/MAX(Table1[Summed Raw Scores])</f>
        <v>0.29129691310864247</v>
      </c>
    </row>
    <row r="326" spans="1:31" hidden="1" x14ac:dyDescent="0.3">
      <c r="A326" s="26" t="s">
        <v>251</v>
      </c>
      <c r="B326" s="26" t="s">
        <v>259</v>
      </c>
      <c r="C326" s="26" t="s">
        <v>417</v>
      </c>
      <c r="D326" s="26" t="s">
        <v>250</v>
      </c>
      <c r="E326" s="26" t="s">
        <v>22</v>
      </c>
      <c r="F326" s="26" t="s">
        <v>22</v>
      </c>
      <c r="G326" s="26" t="s">
        <v>22</v>
      </c>
      <c r="H326" s="26" t="s">
        <v>22</v>
      </c>
      <c r="I326" s="26" t="s">
        <v>22</v>
      </c>
      <c r="J326" s="26" t="s">
        <v>22</v>
      </c>
      <c r="K326" s="26" t="s">
        <v>22</v>
      </c>
      <c r="L326" s="26" t="s">
        <v>22</v>
      </c>
      <c r="M326" s="26" t="s">
        <v>22</v>
      </c>
      <c r="N326" s="26" t="s">
        <v>22</v>
      </c>
      <c r="O326" s="6">
        <f>67236.2659153/1000</f>
        <v>67.236265915299995</v>
      </c>
      <c r="P326" s="31">
        <v>230</v>
      </c>
      <c r="Q326" s="6">
        <f>(Table1[[#This Row],[Linear Features (km)]]*1)*100</f>
        <v>6723.6265915299991</v>
      </c>
      <c r="R326" s="26" t="s">
        <v>22</v>
      </c>
      <c r="S326" s="26" t="s">
        <v>22</v>
      </c>
      <c r="T326" s="9" t="s">
        <v>22</v>
      </c>
      <c r="U326" s="9" t="s">
        <v>22</v>
      </c>
      <c r="V326" s="9" t="s">
        <v>22</v>
      </c>
      <c r="W326" s="9" t="s">
        <v>22</v>
      </c>
      <c r="X326" s="31">
        <v>3352.87654186692</v>
      </c>
      <c r="Y326" s="27">
        <f>Table1[[#This Row],[Raw Terrestrial Score]]/Table1[[#This Row],[Summed Raw Scores]]</f>
        <v>0.74745695484056474</v>
      </c>
      <c r="Z326" s="31">
        <v>1132.83533779858</v>
      </c>
      <c r="AA326" s="27">
        <f>Table1[[#This Row],[Raw Freshwater Score]]/Table1[[#This Row],[Summed Raw Scores]]</f>
        <v>0.25254304515943538</v>
      </c>
      <c r="AB326" s="27">
        <f>Table1[[#This Row],[Raw Terrestrial Score]]+Table1[[#This Row],[Raw Freshwater Score]]</f>
        <v>4485.7118796654995</v>
      </c>
      <c r="AC326" s="28">
        <f>Table1[[#This Row],[Terrestrial % of Summed Score]]*Table1[[#This Row],[Scaled Summed Score]]</f>
        <v>1.9880667457308612E-2</v>
      </c>
      <c r="AD326" s="28">
        <f>Table1[[#This Row],[Freshwater % of Summed Score]]*Table1[[#This Row],[Scaled Summed Score]]</f>
        <v>6.7170748321443412E-3</v>
      </c>
      <c r="AE326" s="29">
        <f>Table1[[#This Row],[Summed Raw Scores]]/MAX(Table1[Summed Raw Scores])</f>
        <v>2.6597742289452952E-2</v>
      </c>
    </row>
    <row r="327" spans="1:31" hidden="1" x14ac:dyDescent="0.3">
      <c r="A327" s="26" t="s">
        <v>252</v>
      </c>
      <c r="B327" s="26" t="s">
        <v>259</v>
      </c>
      <c r="C327" s="26" t="s">
        <v>418</v>
      </c>
      <c r="D327" s="26" t="s">
        <v>250</v>
      </c>
      <c r="E327" s="26" t="s">
        <v>22</v>
      </c>
      <c r="F327" s="26" t="s">
        <v>22</v>
      </c>
      <c r="G327" s="26" t="s">
        <v>22</v>
      </c>
      <c r="H327" s="26" t="s">
        <v>22</v>
      </c>
      <c r="I327" s="26" t="s">
        <v>22</v>
      </c>
      <c r="J327" s="26" t="s">
        <v>22</v>
      </c>
      <c r="K327" s="26" t="s">
        <v>22</v>
      </c>
      <c r="L327" s="26" t="s">
        <v>22</v>
      </c>
      <c r="M327" s="26" t="s">
        <v>22</v>
      </c>
      <c r="N327" s="26" t="s">
        <v>22</v>
      </c>
      <c r="O327" s="6">
        <f>138413.826987/1000</f>
        <v>138.41382698700002</v>
      </c>
      <c r="P327" s="31">
        <v>500</v>
      </c>
      <c r="Q327" s="6">
        <f>(Table1[[#This Row],[Linear Features (km)]]*1)*100</f>
        <v>13841.382698700003</v>
      </c>
      <c r="R327" s="26" t="s">
        <v>22</v>
      </c>
      <c r="S327" s="26" t="s">
        <v>22</v>
      </c>
      <c r="T327" s="9" t="s">
        <v>22</v>
      </c>
      <c r="U327" s="9" t="s">
        <v>22</v>
      </c>
      <c r="V327" s="9" t="s">
        <v>22</v>
      </c>
      <c r="W327" s="9" t="s">
        <v>22</v>
      </c>
      <c r="X327" s="31">
        <v>7176.7939989008</v>
      </c>
      <c r="Y327" s="27">
        <f>Table1[[#This Row],[Raw Terrestrial Score]]/Table1[[#This Row],[Summed Raw Scores]]</f>
        <v>0.56877995608075871</v>
      </c>
      <c r="Z327" s="31">
        <v>5441.0803164201798</v>
      </c>
      <c r="AA327" s="27">
        <f>Table1[[#This Row],[Raw Freshwater Score]]/Table1[[#This Row],[Summed Raw Scores]]</f>
        <v>0.43122004391924129</v>
      </c>
      <c r="AB327" s="27">
        <f>Table1[[#This Row],[Raw Terrestrial Score]]+Table1[[#This Row],[Raw Freshwater Score]]</f>
        <v>12617.87431532098</v>
      </c>
      <c r="AC327" s="28">
        <f>Table1[[#This Row],[Terrestrial % of Summed Score]]*Table1[[#This Row],[Scaled Summed Score]]</f>
        <v>4.2554341956864701E-2</v>
      </c>
      <c r="AD327" s="28">
        <f>Table1[[#This Row],[Freshwater % of Summed Score]]*Table1[[#This Row],[Scaled Summed Score]]</f>
        <v>3.2262538458700758E-2</v>
      </c>
      <c r="AE327" s="29">
        <f>Table1[[#This Row],[Summed Raw Scores]]/MAX(Table1[Summed Raw Scores])</f>
        <v>7.4816880415565459E-2</v>
      </c>
    </row>
    <row r="328" spans="1:31" hidden="1" x14ac:dyDescent="0.3">
      <c r="A328" s="26" t="s">
        <v>253</v>
      </c>
      <c r="B328" s="26" t="s">
        <v>259</v>
      </c>
      <c r="C328" s="26" t="s">
        <v>419</v>
      </c>
      <c r="D328" s="26" t="s">
        <v>250</v>
      </c>
      <c r="E328" s="26" t="s">
        <v>22</v>
      </c>
      <c r="F328" s="26" t="s">
        <v>22</v>
      </c>
      <c r="G328" s="26" t="s">
        <v>22</v>
      </c>
      <c r="H328" s="26" t="s">
        <v>22</v>
      </c>
      <c r="I328" s="26" t="s">
        <v>22</v>
      </c>
      <c r="J328" s="26" t="s">
        <v>22</v>
      </c>
      <c r="K328" s="26" t="s">
        <v>22</v>
      </c>
      <c r="L328" s="26" t="s">
        <v>22</v>
      </c>
      <c r="M328" s="26" t="s">
        <v>22</v>
      </c>
      <c r="N328" s="26" t="s">
        <v>22</v>
      </c>
      <c r="O328" s="6">
        <f>138747.847713/1000</f>
        <v>138.747847713</v>
      </c>
      <c r="P328" s="31">
        <v>500</v>
      </c>
      <c r="Q328" s="6">
        <f>(Table1[[#This Row],[Linear Features (km)]]*1)*100</f>
        <v>13874.784771299999</v>
      </c>
      <c r="R328" s="26" t="s">
        <v>22</v>
      </c>
      <c r="S328" s="26" t="s">
        <v>22</v>
      </c>
      <c r="T328" s="9" t="s">
        <v>22</v>
      </c>
      <c r="U328" s="9" t="s">
        <v>22</v>
      </c>
      <c r="V328" s="9" t="s">
        <v>22</v>
      </c>
      <c r="W328" s="9" t="s">
        <v>22</v>
      </c>
      <c r="X328" s="31">
        <v>3156.5709381699598</v>
      </c>
      <c r="Y328" s="27">
        <f>Table1[[#This Row],[Raw Terrestrial Score]]/Table1[[#This Row],[Summed Raw Scores]]</f>
        <v>0.7020760578414279</v>
      </c>
      <c r="Z328" s="31">
        <v>1339.4817371983099</v>
      </c>
      <c r="AA328" s="27">
        <f>Table1[[#This Row],[Raw Freshwater Score]]/Table1[[#This Row],[Summed Raw Scores]]</f>
        <v>0.29792394215857215</v>
      </c>
      <c r="AB328" s="27">
        <f>Table1[[#This Row],[Raw Terrestrial Score]]+Table1[[#This Row],[Raw Freshwater Score]]</f>
        <v>4496.0526753682698</v>
      </c>
      <c r="AC328" s="28">
        <f>Table1[[#This Row],[Terrestrial % of Summed Score]]*Table1[[#This Row],[Scaled Summed Score]]</f>
        <v>1.8716685909412903E-2</v>
      </c>
      <c r="AD328" s="28">
        <f>Table1[[#This Row],[Freshwater % of Summed Score]]*Table1[[#This Row],[Scaled Summed Score]]</f>
        <v>7.9423714681572735E-3</v>
      </c>
      <c r="AE328" s="29">
        <f>Table1[[#This Row],[Summed Raw Scores]]/MAX(Table1[Summed Raw Scores])</f>
        <v>2.6659057377570176E-2</v>
      </c>
    </row>
    <row r="329" spans="1:31" hidden="1" x14ac:dyDescent="0.3">
      <c r="A329" s="26" t="s">
        <v>254</v>
      </c>
      <c r="B329" s="26" t="s">
        <v>259</v>
      </c>
      <c r="C329" s="26" t="s">
        <v>420</v>
      </c>
      <c r="D329" s="26" t="s">
        <v>250</v>
      </c>
      <c r="E329" s="26" t="s">
        <v>22</v>
      </c>
      <c r="F329" s="26" t="s">
        <v>22</v>
      </c>
      <c r="G329" s="26" t="s">
        <v>22</v>
      </c>
      <c r="H329" s="26" t="s">
        <v>22</v>
      </c>
      <c r="I329" s="26" t="s">
        <v>22</v>
      </c>
      <c r="J329" s="26" t="s">
        <v>22</v>
      </c>
      <c r="K329" s="26" t="s">
        <v>22</v>
      </c>
      <c r="L329" s="26" t="s">
        <v>22</v>
      </c>
      <c r="M329" s="26" t="s">
        <v>22</v>
      </c>
      <c r="N329" s="26" t="s">
        <v>22</v>
      </c>
      <c r="O329" s="6">
        <f>330138.916532/1000</f>
        <v>330.138916532</v>
      </c>
      <c r="P329" s="31">
        <v>500</v>
      </c>
      <c r="Q329" s="6">
        <f>(Table1[[#This Row],[Linear Features (km)]]*1)*100</f>
        <v>33013.8916532</v>
      </c>
      <c r="R329" s="26" t="s">
        <v>22</v>
      </c>
      <c r="S329" s="26" t="s">
        <v>22</v>
      </c>
      <c r="T329" s="9" t="s">
        <v>22</v>
      </c>
      <c r="U329" s="9" t="s">
        <v>22</v>
      </c>
      <c r="V329" s="9" t="s">
        <v>22</v>
      </c>
      <c r="W329" s="9" t="s">
        <v>22</v>
      </c>
      <c r="X329" s="31">
        <v>16212.382481873001</v>
      </c>
      <c r="Y329" s="27">
        <f>Table1[[#This Row],[Raw Terrestrial Score]]/Table1[[#This Row],[Summed Raw Scores]]</f>
        <v>0.6441001394994843</v>
      </c>
      <c r="Z329" s="31">
        <v>8958.2105480730497</v>
      </c>
      <c r="AA329" s="27">
        <f>Table1[[#This Row],[Raw Freshwater Score]]/Table1[[#This Row],[Summed Raw Scores]]</f>
        <v>0.35589986050051559</v>
      </c>
      <c r="AB329" s="27">
        <f>Table1[[#This Row],[Raw Terrestrial Score]]+Table1[[#This Row],[Raw Freshwater Score]]</f>
        <v>25170.593029946052</v>
      </c>
      <c r="AC329" s="28">
        <f>Table1[[#This Row],[Terrestrial % of Summed Score]]*Table1[[#This Row],[Scaled Summed Score]]</f>
        <v>9.6130287169281001E-2</v>
      </c>
      <c r="AD329" s="28">
        <f>Table1[[#This Row],[Freshwater % of Summed Score]]*Table1[[#This Row],[Scaled Summed Score]]</f>
        <v>5.3117137686086474E-2</v>
      </c>
      <c r="AE329" s="29">
        <f>Table1[[#This Row],[Summed Raw Scores]]/MAX(Table1[Summed Raw Scores])</f>
        <v>0.14924742485536749</v>
      </c>
    </row>
    <row r="330" spans="1:31" hidden="1" x14ac:dyDescent="0.3">
      <c r="A330" s="26" t="s">
        <v>255</v>
      </c>
      <c r="B330" s="26" t="s">
        <v>259</v>
      </c>
      <c r="C330" s="26" t="s">
        <v>421</v>
      </c>
      <c r="D330" s="26" t="s">
        <v>250</v>
      </c>
      <c r="E330" s="26" t="s">
        <v>22</v>
      </c>
      <c r="F330" s="26" t="s">
        <v>22</v>
      </c>
      <c r="G330" s="26" t="s">
        <v>22</v>
      </c>
      <c r="H330" s="26" t="s">
        <v>22</v>
      </c>
      <c r="I330" s="26" t="s">
        <v>22</v>
      </c>
      <c r="J330" s="26" t="s">
        <v>22</v>
      </c>
      <c r="K330" s="26" t="s">
        <v>22</v>
      </c>
      <c r="L330" s="26" t="s">
        <v>22</v>
      </c>
      <c r="M330" s="26" t="s">
        <v>22</v>
      </c>
      <c r="N330" s="26" t="s">
        <v>22</v>
      </c>
      <c r="O330" s="6">
        <f>196893.054937999/1000</f>
        <v>196.89305493799901</v>
      </c>
      <c r="P330" s="31">
        <v>500</v>
      </c>
      <c r="Q330" s="6">
        <f>(Table1[[#This Row],[Linear Features (km)]]*1)*100</f>
        <v>19689.3054937999</v>
      </c>
      <c r="R330" s="26" t="s">
        <v>22</v>
      </c>
      <c r="S330" s="26" t="s">
        <v>22</v>
      </c>
      <c r="T330" s="9" t="s">
        <v>22</v>
      </c>
      <c r="U330" s="9" t="s">
        <v>22</v>
      </c>
      <c r="V330" s="9" t="s">
        <v>22</v>
      </c>
      <c r="W330" s="9" t="s">
        <v>22</v>
      </c>
      <c r="X330" s="31">
        <v>8458.5650108009595</v>
      </c>
      <c r="Y330" s="27">
        <f>Table1[[#This Row],[Raw Terrestrial Score]]/Table1[[#This Row],[Summed Raw Scores]]</f>
        <v>0.46358786060327384</v>
      </c>
      <c r="Z330" s="31">
        <v>9787.3075187206305</v>
      </c>
      <c r="AA330" s="27">
        <f>Table1[[#This Row],[Raw Freshwater Score]]/Table1[[#This Row],[Summed Raw Scores]]</f>
        <v>0.53641213939672605</v>
      </c>
      <c r="AB330" s="27">
        <f>Table1[[#This Row],[Raw Terrestrial Score]]+Table1[[#This Row],[Raw Freshwater Score]]</f>
        <v>18245.872529521592</v>
      </c>
      <c r="AC330" s="28">
        <f>Table1[[#This Row],[Terrestrial % of Summed Score]]*Table1[[#This Row],[Scaled Summed Score]]</f>
        <v>5.015452136275958E-2</v>
      </c>
      <c r="AD330" s="28">
        <f>Table1[[#This Row],[Freshwater % of Summed Score]]*Table1[[#This Row],[Scaled Summed Score]]</f>
        <v>5.8033215256341586E-2</v>
      </c>
      <c r="AE330" s="29">
        <f>Table1[[#This Row],[Summed Raw Scores]]/MAX(Table1[Summed Raw Scores])</f>
        <v>0.10818773661910118</v>
      </c>
    </row>
    <row r="331" spans="1:31" hidden="1" x14ac:dyDescent="0.3">
      <c r="A331" s="26" t="s">
        <v>256</v>
      </c>
      <c r="B331" s="26" t="s">
        <v>259</v>
      </c>
      <c r="C331" s="26" t="s">
        <v>422</v>
      </c>
      <c r="D331" s="26" t="s">
        <v>250</v>
      </c>
      <c r="E331" s="31" t="s">
        <v>22</v>
      </c>
      <c r="F331" s="31" t="s">
        <v>22</v>
      </c>
      <c r="G331" s="31" t="s">
        <v>22</v>
      </c>
      <c r="H331" s="26" t="s">
        <v>22</v>
      </c>
      <c r="I331" s="26" t="s">
        <v>22</v>
      </c>
      <c r="J331" s="26" t="s">
        <v>22</v>
      </c>
      <c r="K331" s="26" t="s">
        <v>22</v>
      </c>
      <c r="L331" s="26" t="s">
        <v>22</v>
      </c>
      <c r="M331" s="31" t="s">
        <v>22</v>
      </c>
      <c r="N331" s="31" t="s">
        <v>22</v>
      </c>
      <c r="O331" s="6">
        <f>174721.972977/1000</f>
        <v>174.72197297700001</v>
      </c>
      <c r="P331" s="31">
        <v>500</v>
      </c>
      <c r="Q331" s="6">
        <f>(Table1[[#This Row],[Linear Features (km)]]*1)*100</f>
        <v>17472.1972977</v>
      </c>
      <c r="R331" s="31" t="s">
        <v>22</v>
      </c>
      <c r="S331" s="26" t="s">
        <v>22</v>
      </c>
      <c r="T331" s="9" t="s">
        <v>22</v>
      </c>
      <c r="U331" s="9" t="s">
        <v>22</v>
      </c>
      <c r="V331" s="9" t="s">
        <v>22</v>
      </c>
      <c r="W331" s="9" t="s">
        <v>22</v>
      </c>
      <c r="X331" s="31">
        <v>7143.5492487847796</v>
      </c>
      <c r="Y331" s="27">
        <f>Table1[[#This Row],[Raw Terrestrial Score]]/Table1[[#This Row],[Summed Raw Scores]]</f>
        <v>0.56147414234883342</v>
      </c>
      <c r="Z331" s="31">
        <v>5579.2971122264898</v>
      </c>
      <c r="AA331" s="27">
        <f>Table1[[#This Row],[Raw Freshwater Score]]/Table1[[#This Row],[Summed Raw Scores]]</f>
        <v>0.43852585765116647</v>
      </c>
      <c r="AB331" s="27">
        <f>Table1[[#This Row],[Raw Terrestrial Score]]+Table1[[#This Row],[Raw Freshwater Score]]</f>
        <v>12722.84636101127</v>
      </c>
      <c r="AC331" s="28">
        <f>Table1[[#This Row],[Terrestrial % of Summed Score]]*Table1[[#This Row],[Scaled Summed Score]]</f>
        <v>4.2357219332901361E-2</v>
      </c>
      <c r="AD331" s="28">
        <f>Table1[[#This Row],[Freshwater % of Summed Score]]*Table1[[#This Row],[Scaled Summed Score]]</f>
        <v>3.3082086127733022E-2</v>
      </c>
      <c r="AE331" s="29">
        <f>Table1[[#This Row],[Summed Raw Scores]]/MAX(Table1[Summed Raw Scores])</f>
        <v>7.543930546063439E-2</v>
      </c>
    </row>
    <row r="332" spans="1:31" hidden="1" x14ac:dyDescent="0.3">
      <c r="A332" s="26" t="s">
        <v>257</v>
      </c>
      <c r="B332" s="26" t="s">
        <v>259</v>
      </c>
      <c r="C332" s="26" t="s">
        <v>423</v>
      </c>
      <c r="D332" s="26" t="s">
        <v>250</v>
      </c>
      <c r="E332" s="31" t="s">
        <v>22</v>
      </c>
      <c r="F332" s="31" t="s">
        <v>22</v>
      </c>
      <c r="G332" s="31" t="s">
        <v>22</v>
      </c>
      <c r="H332" s="26" t="s">
        <v>22</v>
      </c>
      <c r="I332" s="26" t="s">
        <v>22</v>
      </c>
      <c r="J332" s="26" t="s">
        <v>22</v>
      </c>
      <c r="K332" s="26" t="s">
        <v>22</v>
      </c>
      <c r="L332" s="26" t="s">
        <v>22</v>
      </c>
      <c r="M332" s="31" t="s">
        <v>22</v>
      </c>
      <c r="N332" s="31" t="s">
        <v>22</v>
      </c>
      <c r="O332" s="6">
        <f>130726.193069/1000</f>
        <v>130.726193069</v>
      </c>
      <c r="P332" s="31">
        <v>500</v>
      </c>
      <c r="Q332" s="6">
        <f>(Table1[[#This Row],[Linear Features (km)]]*1)*100</f>
        <v>13072.6193069</v>
      </c>
      <c r="R332" s="31" t="s">
        <v>22</v>
      </c>
      <c r="S332" s="26" t="s">
        <v>22</v>
      </c>
      <c r="T332" s="9" t="s">
        <v>22</v>
      </c>
      <c r="U332" s="9" t="s">
        <v>22</v>
      </c>
      <c r="V332" s="9" t="s">
        <v>22</v>
      </c>
      <c r="W332" s="9" t="s">
        <v>22</v>
      </c>
      <c r="X332" s="31">
        <v>2068.5840468108699</v>
      </c>
      <c r="Y332" s="27">
        <f>Table1[[#This Row],[Raw Terrestrial Score]]/Table1[[#This Row],[Summed Raw Scores]]</f>
        <v>0.34154889392250148</v>
      </c>
      <c r="Z332" s="31">
        <v>3987.8959583044102</v>
      </c>
      <c r="AA332" s="27">
        <f>Table1[[#This Row],[Raw Freshwater Score]]/Table1[[#This Row],[Summed Raw Scores]]</f>
        <v>0.65845110607749857</v>
      </c>
      <c r="AB332" s="27">
        <f>Table1[[#This Row],[Raw Terrestrial Score]]+Table1[[#This Row],[Raw Freshwater Score]]</f>
        <v>6056.4800051152797</v>
      </c>
      <c r="AC332" s="28">
        <f>Table1[[#This Row],[Terrestrial % of Summed Score]]*Table1[[#This Row],[Scaled Summed Score]]</f>
        <v>1.2265537077974795E-2</v>
      </c>
      <c r="AD332" s="28">
        <f>Table1[[#This Row],[Freshwater % of Summed Score]]*Table1[[#This Row],[Scaled Summed Score]]</f>
        <v>2.3645974556894926E-2</v>
      </c>
      <c r="AE332" s="29">
        <f>Table1[[#This Row],[Summed Raw Scores]]/MAX(Table1[Summed Raw Scores])</f>
        <v>3.5911511634869719E-2</v>
      </c>
    </row>
    <row r="333" spans="1:31" hidden="1" x14ac:dyDescent="0.3">
      <c r="A333" s="26" t="s">
        <v>258</v>
      </c>
      <c r="B333" s="26" t="s">
        <v>259</v>
      </c>
      <c r="C333" s="26" t="s">
        <v>424</v>
      </c>
      <c r="D333" s="26" t="s">
        <v>250</v>
      </c>
      <c r="E333" s="31" t="s">
        <v>22</v>
      </c>
      <c r="F333" s="31" t="s">
        <v>22</v>
      </c>
      <c r="G333" s="31" t="s">
        <v>22</v>
      </c>
      <c r="H333" s="26" t="s">
        <v>22</v>
      </c>
      <c r="I333" s="26" t="s">
        <v>22</v>
      </c>
      <c r="J333" s="26" t="s">
        <v>22</v>
      </c>
      <c r="K333" s="26" t="s">
        <v>22</v>
      </c>
      <c r="L333" s="26" t="s">
        <v>22</v>
      </c>
      <c r="M333" s="31" t="s">
        <v>22</v>
      </c>
      <c r="N333" s="31" t="s">
        <v>22</v>
      </c>
      <c r="O333" s="6">
        <f>142790.050594/1000</f>
        <v>142.79005059400001</v>
      </c>
      <c r="P333" s="31">
        <v>500</v>
      </c>
      <c r="Q333" s="6">
        <f>(Table1[[#This Row],[Linear Features (km)]]*1)*100</f>
        <v>14279.0050594</v>
      </c>
      <c r="R333" s="31" t="s">
        <v>22</v>
      </c>
      <c r="S333" s="26" t="s">
        <v>22</v>
      </c>
      <c r="T333" s="9" t="s">
        <v>22</v>
      </c>
      <c r="U333" s="9" t="s">
        <v>22</v>
      </c>
      <c r="V333" s="9" t="s">
        <v>22</v>
      </c>
      <c r="W333" s="9" t="s">
        <v>22</v>
      </c>
      <c r="X333" s="31">
        <v>4743.3463712632702</v>
      </c>
      <c r="Y333" s="27">
        <f>Table1[[#This Row],[Raw Terrestrial Score]]/Table1[[#This Row],[Summed Raw Scores]]</f>
        <v>0.44885209591680419</v>
      </c>
      <c r="Z333" s="31">
        <v>5824.3805356919802</v>
      </c>
      <c r="AA333" s="27">
        <f>Table1[[#This Row],[Raw Freshwater Score]]/Table1[[#This Row],[Summed Raw Scores]]</f>
        <v>0.55114790408319592</v>
      </c>
      <c r="AB333" s="27">
        <f>Table1[[#This Row],[Raw Terrestrial Score]]+Table1[[#This Row],[Raw Freshwater Score]]</f>
        <v>10567.726906955249</v>
      </c>
      <c r="AC333" s="28">
        <f>Table1[[#This Row],[Terrestrial % of Summed Score]]*Table1[[#This Row],[Scaled Summed Score]]</f>
        <v>2.8125369563833921E-2</v>
      </c>
      <c r="AD333" s="28">
        <f>Table1[[#This Row],[Freshwater % of Summed Score]]*Table1[[#This Row],[Scaled Summed Score]]</f>
        <v>3.4535292644696854E-2</v>
      </c>
      <c r="AE333" s="29">
        <f>Table1[[#This Row],[Summed Raw Scores]]/MAX(Table1[Summed Raw Scores])</f>
        <v>6.2660662208530768E-2</v>
      </c>
    </row>
    <row r="334" spans="1:31" hidden="1" x14ac:dyDescent="0.3">
      <c r="A334" s="26" t="s">
        <v>48</v>
      </c>
      <c r="B334" s="26" t="s">
        <v>42</v>
      </c>
      <c r="C334" s="26" t="s">
        <v>30</v>
      </c>
      <c r="D334" s="26" t="s">
        <v>250</v>
      </c>
      <c r="E334" s="30">
        <v>54.183812750400001</v>
      </c>
      <c r="F334" s="30">
        <v>-127.97489492699999</v>
      </c>
      <c r="G334" s="30">
        <v>1000</v>
      </c>
      <c r="H334" s="6" t="s">
        <v>22</v>
      </c>
      <c r="I334" s="6">
        <v>1000</v>
      </c>
      <c r="J334" s="26" t="s">
        <v>22</v>
      </c>
      <c r="K334" s="26" t="s">
        <v>22</v>
      </c>
      <c r="L334" s="11">
        <v>182.65150565656566</v>
      </c>
      <c r="M334" s="18">
        <v>3.0727922061400563</v>
      </c>
      <c r="N334" s="19">
        <v>55.326406871194145</v>
      </c>
      <c r="O334" s="7">
        <f>Table1[[#This Row],[R1 Length (km)]]+Table1[[#This Row],[T1 Length (km)]]</f>
        <v>58.399199077334202</v>
      </c>
      <c r="P334" s="17">
        <v>500</v>
      </c>
      <c r="Q334" s="7">
        <f>(Table1[[#This Row],[Linear Features (km)]]*1)*100</f>
        <v>5839.9199077334206</v>
      </c>
      <c r="R334" s="19">
        <v>55.33</v>
      </c>
      <c r="S334" s="8">
        <f>Table1[[#This Row],[ATG (ha)]]/Table1[[#This Row],[Linear Area (ha)]]</f>
        <v>9.4744450050984648E-3</v>
      </c>
      <c r="T334" s="9" t="s">
        <v>22</v>
      </c>
      <c r="U334" s="9" t="s">
        <v>22</v>
      </c>
      <c r="V334" s="9" t="s">
        <v>22</v>
      </c>
      <c r="W334" s="9" t="s">
        <v>22</v>
      </c>
      <c r="X334" s="31">
        <v>27891.098421514002</v>
      </c>
      <c r="Y334" s="27">
        <f>Table1[[#This Row],[Raw Terrestrial Score]]/Table1[[#This Row],[Summed Raw Scores]]</f>
        <v>0.59217771720923484</v>
      </c>
      <c r="Z334" s="31">
        <v>19208.104420762498</v>
      </c>
      <c r="AA334" s="27">
        <f>Table1[[#This Row],[Raw Freshwater Score]]/Table1[[#This Row],[Summed Raw Scores]]</f>
        <v>0.40782228279076521</v>
      </c>
      <c r="AB334" s="27">
        <f>Table1[[#This Row],[Raw Terrestrial Score]]+Table1[[#This Row],[Raw Freshwater Score]]</f>
        <v>47099.2028422765</v>
      </c>
      <c r="AC334" s="28">
        <f>Table1[[#This Row],[Terrestrial % of Summed Score]]*Table1[[#This Row],[Scaled Summed Score]]</f>
        <v>0.16537848793813228</v>
      </c>
      <c r="AD334" s="28">
        <f>Table1[[#This Row],[Freshwater % of Summed Score]]*Table1[[#This Row],[Scaled Summed Score]]</f>
        <v>0.11389322920366439</v>
      </c>
      <c r="AE334" s="29">
        <f>Table1[[#This Row],[Summed Raw Scores]]/MAX(Table1[Summed Raw Scores])</f>
        <v>0.27927171714179666</v>
      </c>
    </row>
    <row r="335" spans="1:31" hidden="1" x14ac:dyDescent="0.3">
      <c r="A335" s="26" t="s">
        <v>49</v>
      </c>
      <c r="B335" s="26" t="s">
        <v>42</v>
      </c>
      <c r="C335" s="26" t="s">
        <v>32</v>
      </c>
      <c r="D335" s="26" t="s">
        <v>250</v>
      </c>
      <c r="E335" s="18">
        <v>50.1539637132</v>
      </c>
      <c r="F335" s="18">
        <v>-123.68430182500001</v>
      </c>
      <c r="G335" s="30">
        <v>1000</v>
      </c>
      <c r="H335" s="6" t="s">
        <v>22</v>
      </c>
      <c r="I335" s="7">
        <v>495</v>
      </c>
      <c r="J335" s="26" t="s">
        <v>22</v>
      </c>
      <c r="K335" s="26" t="s">
        <v>22</v>
      </c>
      <c r="L335" s="11">
        <v>171.27576141414141</v>
      </c>
      <c r="M335" s="18">
        <v>1.9313709716799998</v>
      </c>
      <c r="N335" s="19">
        <v>64.098070312499999</v>
      </c>
      <c r="O335" s="7">
        <f>Table1[[#This Row],[R1 Length (km)]]+Table1[[#This Row],[T1 Length (km)]]</f>
        <v>66.029441284179995</v>
      </c>
      <c r="P335" s="17">
        <v>500</v>
      </c>
      <c r="Q335" s="7">
        <f>(Table1[[#This Row],[Linear Features (km)]]*1)*100</f>
        <v>6602.9441284179993</v>
      </c>
      <c r="R335" s="19">
        <v>65.650000000000006</v>
      </c>
      <c r="S335" s="8">
        <f>Table1[[#This Row],[ATG (ha)]]/Table1[[#This Row],[Linear Area (ha)]]</f>
        <v>9.9425345305366227E-3</v>
      </c>
      <c r="T335" s="9" t="s">
        <v>22</v>
      </c>
      <c r="U335" s="9" t="s">
        <v>22</v>
      </c>
      <c r="V335" s="9" t="s">
        <v>22</v>
      </c>
      <c r="W335" s="9" t="s">
        <v>22</v>
      </c>
      <c r="X335" s="31">
        <v>23633.703540563602</v>
      </c>
      <c r="Y335" s="27">
        <f>Table1[[#This Row],[Raw Terrestrial Score]]/Table1[[#This Row],[Summed Raw Scores]]</f>
        <v>0.39122232525938516</v>
      </c>
      <c r="Z335" s="31">
        <v>36776.201555967302</v>
      </c>
      <c r="AA335" s="27">
        <f>Table1[[#This Row],[Raw Freshwater Score]]/Table1[[#This Row],[Summed Raw Scores]]</f>
        <v>0.60877767474061484</v>
      </c>
      <c r="AB335" s="27">
        <f>Table1[[#This Row],[Raw Terrestrial Score]]+Table1[[#This Row],[Raw Freshwater Score]]</f>
        <v>60409.9050965309</v>
      </c>
      <c r="AC335" s="28">
        <f>Table1[[#This Row],[Terrestrial % of Summed Score]]*Table1[[#This Row],[Scaled Summed Score]]</f>
        <v>0.14013453672020448</v>
      </c>
      <c r="AD335" s="28">
        <f>Table1[[#This Row],[Freshwater % of Summed Score]]*Table1[[#This Row],[Scaled Summed Score]]</f>
        <v>0.21806213988124862</v>
      </c>
      <c r="AE335" s="29">
        <f>Table1[[#This Row],[Summed Raw Scores]]/MAX(Table1[Summed Raw Scores])</f>
        <v>0.3581966766014531</v>
      </c>
    </row>
    <row r="336" spans="1:31" hidden="1" x14ac:dyDescent="0.3">
      <c r="A336" s="26" t="s">
        <v>50</v>
      </c>
      <c r="B336" s="26" t="s">
        <v>42</v>
      </c>
      <c r="C336" s="26" t="s">
        <v>32</v>
      </c>
      <c r="D336" s="26" t="s">
        <v>250</v>
      </c>
      <c r="E336" s="18">
        <v>49.755810000899999</v>
      </c>
      <c r="F336" s="18">
        <v>-123.601969999</v>
      </c>
      <c r="G336" s="30">
        <v>1000</v>
      </c>
      <c r="H336" s="6" t="s">
        <v>22</v>
      </c>
      <c r="I336" s="7">
        <v>495</v>
      </c>
      <c r="J336" s="31" t="s">
        <v>22</v>
      </c>
      <c r="K336" s="31" t="s">
        <v>22</v>
      </c>
      <c r="L336" s="11">
        <v>170.55434646464647</v>
      </c>
      <c r="M336" s="18">
        <v>0.42426406860400001</v>
      </c>
      <c r="N336" s="19">
        <v>31.430865786513319</v>
      </c>
      <c r="O336" s="7">
        <f>Table1[[#This Row],[R1 Length (km)]]+Table1[[#This Row],[T1 Length (km)]]</f>
        <v>31.855129855117319</v>
      </c>
      <c r="P336" s="17">
        <v>500</v>
      </c>
      <c r="Q336" s="7">
        <f>(Table1[[#This Row],[Linear Features (km)]]*1)*100</f>
        <v>3185.512985511732</v>
      </c>
      <c r="R336" s="19">
        <v>31.43</v>
      </c>
      <c r="S336" s="8">
        <f>Table1[[#This Row],[ATG (ha)]]/Table1[[#This Row],[Linear Area (ha)]]</f>
        <v>9.8665427336033836E-3</v>
      </c>
      <c r="T336" s="9" t="s">
        <v>22</v>
      </c>
      <c r="U336" s="9" t="s">
        <v>22</v>
      </c>
      <c r="V336" s="9" t="s">
        <v>22</v>
      </c>
      <c r="W336" s="9" t="s">
        <v>22</v>
      </c>
      <c r="X336" s="31">
        <v>11055.049885667901</v>
      </c>
      <c r="Y336" s="27">
        <f>Table1[[#This Row],[Raw Terrestrial Score]]/Table1[[#This Row],[Summed Raw Scores]]</f>
        <v>0.39779671302591502</v>
      </c>
      <c r="Z336" s="31">
        <v>16735.652057481901</v>
      </c>
      <c r="AA336" s="27">
        <f>Table1[[#This Row],[Raw Freshwater Score]]/Table1[[#This Row],[Summed Raw Scores]]</f>
        <v>0.60220328697408498</v>
      </c>
      <c r="AB336" s="27">
        <f>Table1[[#This Row],[Raw Terrestrial Score]]+Table1[[#This Row],[Raw Freshwater Score]]</f>
        <v>27790.701943149801</v>
      </c>
      <c r="AC336" s="28">
        <f>Table1[[#This Row],[Terrestrial % of Summed Score]]*Table1[[#This Row],[Scaled Summed Score]]</f>
        <v>6.5550212707368036E-2</v>
      </c>
      <c r="AD336" s="28">
        <f>Table1[[#This Row],[Freshwater % of Summed Score]]*Table1[[#This Row],[Scaled Summed Score]]</f>
        <v>9.923298072011931E-2</v>
      </c>
      <c r="AE336" s="29">
        <f>Table1[[#This Row],[Summed Raw Scores]]/MAX(Table1[Summed Raw Scores])</f>
        <v>0.16478319342748735</v>
      </c>
    </row>
    <row r="337" spans="1:31" hidden="1" x14ac:dyDescent="0.3">
      <c r="A337" s="26" t="s">
        <v>51</v>
      </c>
      <c r="B337" s="26" t="s">
        <v>42</v>
      </c>
      <c r="C337" s="26" t="s">
        <v>32</v>
      </c>
      <c r="D337" s="26" t="s">
        <v>250</v>
      </c>
      <c r="E337" s="18">
        <v>49.912636246700004</v>
      </c>
      <c r="F337" s="18">
        <v>-123.731816256</v>
      </c>
      <c r="G337" s="30">
        <v>1000</v>
      </c>
      <c r="H337" s="6" t="s">
        <v>22</v>
      </c>
      <c r="I337" s="7">
        <v>495</v>
      </c>
      <c r="J337" s="31" t="s">
        <v>22</v>
      </c>
      <c r="K337" s="31" t="s">
        <v>22</v>
      </c>
      <c r="L337" s="11">
        <v>170.62377878787873</v>
      </c>
      <c r="M337" s="18">
        <v>10.0225371094</v>
      </c>
      <c r="N337" s="19">
        <v>34.413203435597197</v>
      </c>
      <c r="O337" s="7">
        <f>Table1[[#This Row],[R1 Length (km)]]+Table1[[#This Row],[T1 Length (km)]]</f>
        <v>44.435740544997195</v>
      </c>
      <c r="P337" s="17">
        <v>500</v>
      </c>
      <c r="Q337" s="7">
        <f>(Table1[[#This Row],[Linear Features (km)]]*1)*100</f>
        <v>4443.5740544997198</v>
      </c>
      <c r="R337" s="19">
        <v>11.75</v>
      </c>
      <c r="S337" s="8">
        <f>Table1[[#This Row],[ATG (ha)]]/Table1[[#This Row],[Linear Area (ha)]]</f>
        <v>2.6442678474327521E-3</v>
      </c>
      <c r="T337" s="9" t="s">
        <v>22</v>
      </c>
      <c r="U337" s="9" t="s">
        <v>22</v>
      </c>
      <c r="V337" s="9" t="s">
        <v>22</v>
      </c>
      <c r="W337" s="9" t="s">
        <v>22</v>
      </c>
      <c r="X337" s="31">
        <v>19433.806762345099</v>
      </c>
      <c r="Y337" s="27">
        <f>Table1[[#This Row],[Raw Terrestrial Score]]/Table1[[#This Row],[Summed Raw Scores]]</f>
        <v>0.50271253232654867</v>
      </c>
      <c r="Z337" s="31">
        <v>19224.085199101799</v>
      </c>
      <c r="AA337" s="27">
        <f>Table1[[#This Row],[Raw Freshwater Score]]/Table1[[#This Row],[Summed Raw Scores]]</f>
        <v>0.49728746767345133</v>
      </c>
      <c r="AB337" s="27">
        <f>Table1[[#This Row],[Raw Terrestrial Score]]+Table1[[#This Row],[Raw Freshwater Score]]</f>
        <v>38657.891961446898</v>
      </c>
      <c r="AC337" s="28">
        <f>Table1[[#This Row],[Terrestrial % of Summed Score]]*Table1[[#This Row],[Scaled Summed Score]]</f>
        <v>0.11523151683260317</v>
      </c>
      <c r="AD337" s="28">
        <f>Table1[[#This Row],[Freshwater % of Summed Score]]*Table1[[#This Row],[Scaled Summed Score]]</f>
        <v>0.11398798620885243</v>
      </c>
      <c r="AE337" s="29">
        <f>Table1[[#This Row],[Summed Raw Scores]]/MAX(Table1[Summed Raw Scores])</f>
        <v>0.22921950304145561</v>
      </c>
    </row>
    <row r="338" spans="1:31" x14ac:dyDescent="0.3">
      <c r="A338" s="26" t="s">
        <v>212</v>
      </c>
      <c r="B338" s="26" t="s">
        <v>114</v>
      </c>
      <c r="C338" s="26" t="s">
        <v>21</v>
      </c>
      <c r="D338" s="26" t="s">
        <v>250</v>
      </c>
      <c r="E338" s="30">
        <v>50.806605189999999</v>
      </c>
      <c r="F338" s="30">
        <v>-128.13496689999999</v>
      </c>
      <c r="G338" s="30">
        <v>147</v>
      </c>
      <c r="H338" s="26" t="s">
        <v>22</v>
      </c>
      <c r="I338" s="6">
        <v>42</v>
      </c>
      <c r="J338" s="30">
        <v>514.16819999999996</v>
      </c>
      <c r="K338" s="30">
        <v>77.965470085587228</v>
      </c>
      <c r="L338" s="6" t="s">
        <v>22</v>
      </c>
      <c r="M338" s="30">
        <v>3.5</v>
      </c>
      <c r="N338" s="30">
        <v>69</v>
      </c>
      <c r="O338" s="6">
        <f>Table1[[#This Row],[R1 Length (km)]]+Table1[[#This Row],[T1 Length (km)]]</f>
        <v>72.5</v>
      </c>
      <c r="P338" s="31">
        <v>130</v>
      </c>
      <c r="Q338" s="6">
        <f>(Table1[[#This Row],[Linear Features (km)]]*1)*100</f>
        <v>7250</v>
      </c>
      <c r="R338" s="19">
        <f>((PI()*(45^2))*Table1[[#This Row],[Number of Turbines - WIND]])/10000</f>
        <v>22.266037932317658</v>
      </c>
      <c r="S338" s="8">
        <f>Table1[[#This Row],[ATG (ha)]]/Table1[[#This Row],[Linear Area (ha)]]</f>
        <v>3.0711776458369183E-3</v>
      </c>
      <c r="T338" s="26" t="s">
        <v>115</v>
      </c>
      <c r="U338" s="26">
        <v>35</v>
      </c>
      <c r="V338" s="9" t="s">
        <v>22</v>
      </c>
      <c r="W338" s="9" t="s">
        <v>22</v>
      </c>
      <c r="X338" s="31">
        <f>31535.4188838385+[1]plateau_average_sums!$B$51</f>
        <v>31595.256104349985</v>
      </c>
      <c r="Y338" s="27">
        <f>Table1[[#This Row],[Raw Terrestrial Score]]/Table1[[#This Row],[Summed Raw Scores]]</f>
        <v>0.23699381587767535</v>
      </c>
      <c r="Z338" s="31">
        <f>101570.928064702+[2]plateau_average_sums!$B$51</f>
        <v>101721.53947253511</v>
      </c>
      <c r="AA338" s="27">
        <f>Table1[[#This Row],[Raw Freshwater Score]]/Table1[[#This Row],[Summed Raw Scores]]</f>
        <v>0.76300618412232479</v>
      </c>
      <c r="AB338" s="27">
        <f>Table1[[#This Row],[Raw Terrestrial Score]]+Table1[[#This Row],[Raw Freshwater Score]]</f>
        <v>133316.79557688508</v>
      </c>
      <c r="AC338" s="28">
        <f>Table1[[#This Row],[Terrestrial % of Summed Score]]*Table1[[#This Row],[Scaled Summed Score]]</f>
        <v>0.18734205450026187</v>
      </c>
      <c r="AD338" s="28">
        <f>Table1[[#This Row],[Freshwater % of Summed Score]]*Table1[[#This Row],[Scaled Summed Score]]</f>
        <v>0.60315137591464285</v>
      </c>
      <c r="AE338" s="29">
        <f>Table1[[#This Row],[Summed Raw Scores]]/MAX(Table1[Summed Raw Scores])</f>
        <v>0.79049343041490461</v>
      </c>
    </row>
    <row r="339" spans="1:31" x14ac:dyDescent="0.3">
      <c r="A339" s="26" t="s">
        <v>213</v>
      </c>
      <c r="B339" s="26" t="s">
        <v>114</v>
      </c>
      <c r="C339" s="26" t="s">
        <v>21</v>
      </c>
      <c r="D339" s="26" t="s">
        <v>250</v>
      </c>
      <c r="E339" s="30">
        <v>50.776845999999999</v>
      </c>
      <c r="F339" s="30">
        <v>-127.8682787</v>
      </c>
      <c r="G339" s="30">
        <v>60</v>
      </c>
      <c r="H339" s="26" t="s">
        <v>22</v>
      </c>
      <c r="I339" s="6">
        <v>14.399999999999999</v>
      </c>
      <c r="J339" s="30">
        <v>188.21735999999999</v>
      </c>
      <c r="K339" s="30">
        <v>101.1195555834226</v>
      </c>
      <c r="L339" s="6" t="s">
        <v>22</v>
      </c>
      <c r="M339" s="30">
        <v>2.1798991699200001</v>
      </c>
      <c r="N339" s="30">
        <v>48.825691406250002</v>
      </c>
      <c r="O339" s="6">
        <f>Table1[[#This Row],[R1 Length (km)]]+Table1[[#This Row],[T1 Length (km)]]</f>
        <v>51.00559057617</v>
      </c>
      <c r="P339" s="31">
        <v>130</v>
      </c>
      <c r="Q339" s="6">
        <f>(Table1[[#This Row],[Linear Features (km)]]*1)*100</f>
        <v>5100.5590576169998</v>
      </c>
      <c r="R339" s="19">
        <f>((PI()*(45^2))*Table1[[#This Row],[Number of Turbines - WIND]])/10000</f>
        <v>7.6340701482231959</v>
      </c>
      <c r="S339" s="8">
        <f>Table1[[#This Row],[ATG (ha)]]/Table1[[#This Row],[Linear Area (ha)]]</f>
        <v>1.4967124313211779E-3</v>
      </c>
      <c r="T339" s="26" t="s">
        <v>115</v>
      </c>
      <c r="U339" s="26">
        <v>12</v>
      </c>
      <c r="V339" s="9" t="s">
        <v>22</v>
      </c>
      <c r="W339" s="9" t="s">
        <v>22</v>
      </c>
      <c r="X339" s="31">
        <f>26086.0385035279+[1]plateau_average_sums!$B$52</f>
        <v>26095.146844195555</v>
      </c>
      <c r="Y339" s="27">
        <f>Table1[[#This Row],[Raw Terrestrial Score]]/Table1[[#This Row],[Summed Raw Scores]]</f>
        <v>0.21403290632323149</v>
      </c>
      <c r="Z339" s="31">
        <f>95793.779839424+[2]plateau_average_sums!$B$52</f>
        <v>95826.04411878089</v>
      </c>
      <c r="AA339" s="27">
        <f>Table1[[#This Row],[Raw Freshwater Score]]/Table1[[#This Row],[Summed Raw Scores]]</f>
        <v>0.78596709367676854</v>
      </c>
      <c r="AB339" s="27">
        <f>Table1[[#This Row],[Raw Terrestrial Score]]+Table1[[#This Row],[Raw Freshwater Score]]</f>
        <v>121921.19096297644</v>
      </c>
      <c r="AC339" s="28">
        <f>Table1[[#This Row],[Terrestrial % of Summed Score]]*Table1[[#This Row],[Scaled Summed Score]]</f>
        <v>0.1547295076872173</v>
      </c>
      <c r="AD339" s="28">
        <f>Table1[[#This Row],[Freshwater % of Summed Score]]*Table1[[#This Row],[Scaled Summed Score]]</f>
        <v>0.56819441249515656</v>
      </c>
      <c r="AE339" s="29">
        <f>Table1[[#This Row],[Summed Raw Scores]]/MAX(Table1[Summed Raw Scores])</f>
        <v>0.72292392018237384</v>
      </c>
    </row>
    <row r="340" spans="1:31" x14ac:dyDescent="0.3">
      <c r="A340" s="26" t="s">
        <v>214</v>
      </c>
      <c r="B340" s="26" t="s">
        <v>114</v>
      </c>
      <c r="C340" s="26" t="s">
        <v>21</v>
      </c>
      <c r="D340" s="26" t="s">
        <v>250</v>
      </c>
      <c r="E340" s="30">
        <v>50.739074709999997</v>
      </c>
      <c r="F340" s="30">
        <v>-127.770989</v>
      </c>
      <c r="G340" s="30">
        <v>255</v>
      </c>
      <c r="H340" s="26" t="s">
        <v>22</v>
      </c>
      <c r="I340" s="6">
        <v>61.199999999999996</v>
      </c>
      <c r="J340" s="30">
        <v>786.74436000000003</v>
      </c>
      <c r="K340" s="30">
        <v>93.499766923626581</v>
      </c>
      <c r="L340" s="6" t="s">
        <v>22</v>
      </c>
      <c r="M340" s="30">
        <v>0.7</v>
      </c>
      <c r="N340" s="30">
        <v>173.4</v>
      </c>
      <c r="O340" s="6">
        <f>Table1[[#This Row],[R1 Length (km)]]+Table1[[#This Row],[T1 Length (km)]]</f>
        <v>174.1</v>
      </c>
      <c r="P340" s="31">
        <v>230</v>
      </c>
      <c r="Q340" s="6">
        <f>(Table1[[#This Row],[Linear Features (km)]]*1)*100</f>
        <v>17410</v>
      </c>
      <c r="R340" s="19">
        <f>((PI()*(45^2))*Table1[[#This Row],[Number of Turbines - WIND]])/10000</f>
        <v>32.444798129948587</v>
      </c>
      <c r="S340" s="8">
        <f>Table1[[#This Row],[ATG (ha)]]/Table1[[#This Row],[Linear Area (ha)]]</f>
        <v>1.8635725519786667E-3</v>
      </c>
      <c r="T340" s="26" t="s">
        <v>115</v>
      </c>
      <c r="U340" s="26">
        <v>51</v>
      </c>
      <c r="V340" s="9" t="s">
        <v>22</v>
      </c>
      <c r="W340" s="9" t="s">
        <v>22</v>
      </c>
      <c r="X340" s="31">
        <f>26642.6258350119+[1]plateau_average_sums!$B$53</f>
        <v>26743.018026242142</v>
      </c>
      <c r="Y340" s="27">
        <f>Table1[[#This Row],[Raw Terrestrial Score]]/Table1[[#This Row],[Summed Raw Scores]]</f>
        <v>0.22545033224412053</v>
      </c>
      <c r="Z340" s="31">
        <f>91655.6167195714+[2]plateau_average_sums!$B$53</f>
        <v>91877.423824712678</v>
      </c>
      <c r="AA340" s="27">
        <f>Table1[[#This Row],[Raw Freshwater Score]]/Table1[[#This Row],[Summed Raw Scores]]</f>
        <v>0.77454966775587952</v>
      </c>
      <c r="AB340" s="27">
        <f>Table1[[#This Row],[Raw Terrestrial Score]]+Table1[[#This Row],[Raw Freshwater Score]]</f>
        <v>118620.44185095481</v>
      </c>
      <c r="AC340" s="28">
        <f>Table1[[#This Row],[Terrestrial % of Summed Score]]*Table1[[#This Row],[Scaled Summed Score]]</f>
        <v>0.1585710185107175</v>
      </c>
      <c r="AD340" s="28">
        <f>Table1[[#This Row],[Freshwater % of Summed Score]]*Table1[[#This Row],[Scaled Summed Score]]</f>
        <v>0.54478132048257688</v>
      </c>
      <c r="AE340" s="29">
        <f>Table1[[#This Row],[Summed Raw Scores]]/MAX(Table1[Summed Raw Scores])</f>
        <v>0.7033523389932943</v>
      </c>
    </row>
    <row r="341" spans="1:31" x14ac:dyDescent="0.3">
      <c r="A341" s="26" t="s">
        <v>215</v>
      </c>
      <c r="B341" s="26" t="s">
        <v>114</v>
      </c>
      <c r="C341" s="26" t="s">
        <v>21</v>
      </c>
      <c r="D341" s="26" t="s">
        <v>250</v>
      </c>
      <c r="E341" s="30">
        <v>50.78142433</v>
      </c>
      <c r="F341" s="30">
        <v>-127.6862897</v>
      </c>
      <c r="G341" s="30">
        <v>117</v>
      </c>
      <c r="H341" s="26" t="s">
        <v>22</v>
      </c>
      <c r="I341" s="6">
        <v>27.599999999999998</v>
      </c>
      <c r="J341" s="30">
        <v>358.53366</v>
      </c>
      <c r="K341" s="30">
        <v>83.915463409001291</v>
      </c>
      <c r="L341" s="6" t="s">
        <v>22</v>
      </c>
      <c r="M341" s="30">
        <v>1.7</v>
      </c>
      <c r="N341" s="30">
        <v>36</v>
      </c>
      <c r="O341" s="6">
        <f>Table1[[#This Row],[R1 Length (km)]]+Table1[[#This Row],[T1 Length (km)]]</f>
        <v>37.700000000000003</v>
      </c>
      <c r="P341" s="31">
        <v>130</v>
      </c>
      <c r="Q341" s="6">
        <f>(Table1[[#This Row],[Linear Features (km)]]*1)*100</f>
        <v>3770.0000000000005</v>
      </c>
      <c r="R341" s="19">
        <f>((PI()*(45^2))*Table1[[#This Row],[Number of Turbines - WIND]])/10000</f>
        <v>14.631967784094462</v>
      </c>
      <c r="S341" s="8">
        <f>Table1[[#This Row],[ATG (ha)]]/Table1[[#This Row],[Linear Area (ha)]]</f>
        <v>3.8811585634202814E-3</v>
      </c>
      <c r="T341" s="26" t="s">
        <v>115</v>
      </c>
      <c r="U341" s="26">
        <v>23</v>
      </c>
      <c r="V341" s="9" t="s">
        <v>22</v>
      </c>
      <c r="W341" s="9" t="s">
        <v>22</v>
      </c>
      <c r="X341" s="31">
        <f>24780.3788669866+[1]plateau_average_sums!$B$54</f>
        <v>24820.107196738809</v>
      </c>
      <c r="Y341" s="27">
        <f>Table1[[#This Row],[Raw Terrestrial Score]]/Table1[[#This Row],[Summed Raw Scores]]</f>
        <v>0.21520943037608523</v>
      </c>
      <c r="Z341" s="31">
        <f>90424.794461397+[2]plateau_average_sums!$B$54</f>
        <v>90509.909491493177</v>
      </c>
      <c r="AA341" s="27">
        <f>Table1[[#This Row],[Raw Freshwater Score]]/Table1[[#This Row],[Summed Raw Scores]]</f>
        <v>0.7847905696239148</v>
      </c>
      <c r="AB341" s="27">
        <f>Table1[[#This Row],[Raw Terrestrial Score]]+Table1[[#This Row],[Raw Freshwater Score]]</f>
        <v>115330.01668823199</v>
      </c>
      <c r="AC341" s="28">
        <f>Table1[[#This Row],[Terrestrial % of Summed Score]]*Table1[[#This Row],[Scaled Summed Score]]</f>
        <v>0.1471692414771596</v>
      </c>
      <c r="AD341" s="28">
        <f>Table1[[#This Row],[Freshwater % of Summed Score]]*Table1[[#This Row],[Scaled Summed Score]]</f>
        <v>0.53667273152549522</v>
      </c>
      <c r="AE341" s="29">
        <f>Table1[[#This Row],[Summed Raw Scores]]/MAX(Table1[Summed Raw Scores])</f>
        <v>0.68384197300265481</v>
      </c>
    </row>
    <row r="342" spans="1:31" x14ac:dyDescent="0.3">
      <c r="A342" s="26" t="s">
        <v>216</v>
      </c>
      <c r="B342" s="26" t="s">
        <v>114</v>
      </c>
      <c r="C342" s="26" t="s">
        <v>21</v>
      </c>
      <c r="D342" s="26" t="s">
        <v>250</v>
      </c>
      <c r="E342" s="30">
        <v>50.644801700000002</v>
      </c>
      <c r="F342" s="30">
        <v>-126.9632505</v>
      </c>
      <c r="G342" s="30">
        <v>165</v>
      </c>
      <c r="H342" s="26" t="s">
        <v>22</v>
      </c>
      <c r="I342" s="6">
        <v>39.6</v>
      </c>
      <c r="J342" s="30">
        <v>522.07848000000001</v>
      </c>
      <c r="K342" s="30">
        <v>88.642968937247929</v>
      </c>
      <c r="L342" s="6" t="s">
        <v>22</v>
      </c>
      <c r="M342" s="30">
        <v>0.2</v>
      </c>
      <c r="N342" s="30">
        <v>122.2</v>
      </c>
      <c r="O342" s="6">
        <f>Table1[[#This Row],[R1 Length (km)]]+Table1[[#This Row],[T1 Length (km)]]</f>
        <v>122.4</v>
      </c>
      <c r="P342" s="31">
        <v>230</v>
      </c>
      <c r="Q342" s="6">
        <f>(Table1[[#This Row],[Linear Features (km)]]*1)*100</f>
        <v>12240</v>
      </c>
      <c r="R342" s="19">
        <f>((PI()*(45^2))*Table1[[#This Row],[Number of Turbines - WIND]])/10000</f>
        <v>20.993692907613791</v>
      </c>
      <c r="S342" s="8">
        <f>Table1[[#This Row],[ATG (ha)]]/Table1[[#This Row],[Linear Area (ha)]]</f>
        <v>1.7151709891841333E-3</v>
      </c>
      <c r="T342" s="26" t="s">
        <v>115</v>
      </c>
      <c r="U342" s="26">
        <v>33</v>
      </c>
      <c r="V342" s="9" t="s">
        <v>22</v>
      </c>
      <c r="W342" s="9" t="s">
        <v>22</v>
      </c>
      <c r="X342" s="31">
        <f>21638.7400010326+[1]plateau_average_sums!$B$55</f>
        <v>21674.866870126531</v>
      </c>
      <c r="Y342" s="27">
        <f>Table1[[#This Row],[Raw Terrestrial Score]]/Table1[[#This Row],[Summed Raw Scores]]</f>
        <v>0.2221041892892372</v>
      </c>
      <c r="Z342" s="31">
        <f>75802.3468276777+[2]plateau_average_sums!$B$55</f>
        <v>75913.86812622349</v>
      </c>
      <c r="AA342" s="27">
        <f>Table1[[#This Row],[Raw Freshwater Score]]/Table1[[#This Row],[Summed Raw Scores]]</f>
        <v>0.77789581071076286</v>
      </c>
      <c r="AB342" s="27">
        <f>Table1[[#This Row],[Raw Terrestrial Score]]+Table1[[#This Row],[Raw Freshwater Score]]</f>
        <v>97588.734996350016</v>
      </c>
      <c r="AC342" s="28">
        <f>Table1[[#This Row],[Terrestrial % of Summed Score]]*Table1[[#This Row],[Scaled Summed Score]]</f>
        <v>0.12851973970580052</v>
      </c>
      <c r="AD342" s="28">
        <f>Table1[[#This Row],[Freshwater % of Summed Score]]*Table1[[#This Row],[Scaled Summed Score]]</f>
        <v>0.45012643584397499</v>
      </c>
      <c r="AE342" s="29">
        <f>Table1[[#This Row],[Summed Raw Scores]]/MAX(Table1[Summed Raw Scores])</f>
        <v>0.57864617554977549</v>
      </c>
    </row>
    <row r="343" spans="1:31" x14ac:dyDescent="0.3">
      <c r="A343" s="26" t="s">
        <v>217</v>
      </c>
      <c r="B343" s="26" t="s">
        <v>114</v>
      </c>
      <c r="C343" s="26" t="s">
        <v>21</v>
      </c>
      <c r="D343" s="26"/>
      <c r="E343" s="30">
        <v>50.655786939999999</v>
      </c>
      <c r="F343" s="30">
        <v>-127.75765079999999</v>
      </c>
      <c r="G343" s="30">
        <v>39</v>
      </c>
      <c r="H343" s="26" t="s">
        <v>22</v>
      </c>
      <c r="I343" s="6">
        <v>9.6</v>
      </c>
      <c r="J343" s="30">
        <v>119.73168000000001</v>
      </c>
      <c r="K343" s="30">
        <v>108.76961582803685</v>
      </c>
      <c r="L343" s="6" t="s">
        <v>22</v>
      </c>
      <c r="M343" s="30">
        <v>1.2242640380900001</v>
      </c>
      <c r="N343" s="30">
        <v>21.085281250000001</v>
      </c>
      <c r="O343" s="6">
        <f>Table1[[#This Row],[R1 Length (km)]]+Table1[[#This Row],[T1 Length (km)]]</f>
        <v>22.30954528809</v>
      </c>
      <c r="P343" s="31">
        <v>69</v>
      </c>
      <c r="Q343" s="6">
        <f>(Table1[[#This Row],[Linear Features (km)]]*1)*100</f>
        <v>2230.9545288089998</v>
      </c>
      <c r="R343" s="19">
        <f>((PI()*(45^2))*Table1[[#This Row],[Number of Turbines - WIND]])/10000</f>
        <v>5.0893800988154645</v>
      </c>
      <c r="S343" s="8">
        <f>Table1[[#This Row],[ATG (ha)]]/Table1[[#This Row],[Linear Area (ha)]]</f>
        <v>2.281256759425053E-3</v>
      </c>
      <c r="T343" s="26" t="s">
        <v>115</v>
      </c>
      <c r="U343" s="26">
        <v>8</v>
      </c>
      <c r="V343" s="9" t="s">
        <v>22</v>
      </c>
      <c r="W343" s="9" t="s">
        <v>22</v>
      </c>
      <c r="X343" s="31">
        <f>3605.32077372819+[1]plateau_average_sums!$B$56</f>
        <v>3613.4405775629152</v>
      </c>
      <c r="Y343" s="27">
        <f>Table1[[#This Row],[Raw Terrestrial Score]]/Table1[[#This Row],[Summed Raw Scores]]</f>
        <v>0.35977184310717281</v>
      </c>
      <c r="Z343" s="31">
        <f>6413.92566043139+[2]plateau_average_sums!$B$56</f>
        <v>6430.2597474969971</v>
      </c>
      <c r="AA343" s="27">
        <f>Table1[[#This Row],[Raw Freshwater Score]]/Table1[[#This Row],[Summed Raw Scores]]</f>
        <v>0.64022815689282719</v>
      </c>
      <c r="AB343" s="27">
        <f>Table1[[#This Row],[Raw Terrestrial Score]]+Table1[[#This Row],[Raw Freshwater Score]]</f>
        <v>10043.700325059912</v>
      </c>
      <c r="AC343" s="28">
        <f>Table1[[#This Row],[Terrestrial % of Summed Score]]*Table1[[#This Row],[Scaled Summed Score]]</f>
        <v>2.142566527644155E-2</v>
      </c>
      <c r="AD343" s="28">
        <f>Table1[[#This Row],[Freshwater % of Summed Score]]*Table1[[#This Row],[Scaled Summed Score]]</f>
        <v>3.8127814760791481E-2</v>
      </c>
      <c r="AE343" s="29">
        <f>Table1[[#This Row],[Summed Raw Scores]]/MAX(Table1[Summed Raw Scores])</f>
        <v>5.9553480037233028E-2</v>
      </c>
    </row>
    <row r="344" spans="1:31" x14ac:dyDescent="0.3">
      <c r="A344" s="26" t="s">
        <v>218</v>
      </c>
      <c r="B344" s="26" t="s">
        <v>114</v>
      </c>
      <c r="C344" s="26" t="s">
        <v>21</v>
      </c>
      <c r="D344" s="26" t="s">
        <v>250</v>
      </c>
      <c r="E344" s="30">
        <v>50.587989550000003</v>
      </c>
      <c r="F344" s="30">
        <v>-128.2024973</v>
      </c>
      <c r="G344" s="30">
        <v>54</v>
      </c>
      <c r="H344" s="26" t="s">
        <v>22</v>
      </c>
      <c r="I344" s="6">
        <v>13.2</v>
      </c>
      <c r="J344" s="30">
        <v>168.34091999999998</v>
      </c>
      <c r="K344" s="30">
        <v>94.726775014035169</v>
      </c>
      <c r="L344" s="6" t="s">
        <v>22</v>
      </c>
      <c r="M344" s="30">
        <v>0.68284271240200001</v>
      </c>
      <c r="N344" s="30">
        <v>211</v>
      </c>
      <c r="O344" s="6">
        <f>Table1[[#This Row],[R1 Length (km)]]+Table1[[#This Row],[T1 Length (km)]]</f>
        <v>211.68284271240199</v>
      </c>
      <c r="P344" s="31">
        <v>69</v>
      </c>
      <c r="Q344" s="6">
        <f>(Table1[[#This Row],[Linear Features (km)]]*1)*100</f>
        <v>21168.284271240198</v>
      </c>
      <c r="R344" s="19">
        <f>((PI()*(45^2))*Table1[[#This Row],[Number of Turbines - WIND]])/10000</f>
        <v>4.453207586463531</v>
      </c>
      <c r="S344" s="8">
        <f>Table1[[#This Row],[ATG (ha)]]/Table1[[#This Row],[Linear Area (ha)]]</f>
        <v>2.1037168291025734E-4</v>
      </c>
      <c r="T344" s="26" t="s">
        <v>115</v>
      </c>
      <c r="U344" s="26">
        <v>7</v>
      </c>
      <c r="V344" s="9" t="s">
        <v>22</v>
      </c>
      <c r="W344" s="9" t="s">
        <v>22</v>
      </c>
      <c r="X344" s="31">
        <f>34896.8840855721+[1]plateau_average_sums!$B$57</f>
        <v>34918.57175803803</v>
      </c>
      <c r="Y344" s="27">
        <f>Table1[[#This Row],[Raw Terrestrial Score]]/Table1[[#This Row],[Summed Raw Scores]]</f>
        <v>0.28077456048348021</v>
      </c>
      <c r="Z344" s="31">
        <f>89429.6217951144+[2]plateau_average_sums!$B$57</f>
        <v>89446.583325492116</v>
      </c>
      <c r="AA344" s="27">
        <f>Table1[[#This Row],[Raw Freshwater Score]]/Table1[[#This Row],[Summed Raw Scores]]</f>
        <v>0.71922543951651985</v>
      </c>
      <c r="AB344" s="27">
        <f>Table1[[#This Row],[Raw Terrestrial Score]]+Table1[[#This Row],[Raw Freshwater Score]]</f>
        <v>124365.15508353015</v>
      </c>
      <c r="AC344" s="28">
        <f>Table1[[#This Row],[Terrestrial % of Summed Score]]*Table1[[#This Row],[Scaled Summed Score]]</f>
        <v>0.20704744255784058</v>
      </c>
      <c r="AD344" s="28">
        <f>Table1[[#This Row],[Freshwater % of Summed Score]]*Table1[[#This Row],[Scaled Summed Score]]</f>
        <v>0.5303678068910942</v>
      </c>
      <c r="AE344" s="29">
        <f>Table1[[#This Row],[Summed Raw Scores]]/MAX(Table1[Summed Raw Scores])</f>
        <v>0.73741524944893477</v>
      </c>
    </row>
    <row r="345" spans="1:31" hidden="1" x14ac:dyDescent="0.3">
      <c r="A345" s="26" t="s">
        <v>219</v>
      </c>
      <c r="B345" s="26" t="s">
        <v>114</v>
      </c>
      <c r="C345" s="26" t="s">
        <v>21</v>
      </c>
      <c r="D345" s="26"/>
      <c r="E345" s="30">
        <v>50.701239829999999</v>
      </c>
      <c r="F345" s="30">
        <v>-128.19938149999999</v>
      </c>
      <c r="G345" s="30">
        <v>33</v>
      </c>
      <c r="H345" s="26" t="s">
        <v>22</v>
      </c>
      <c r="I345" s="6">
        <v>8.4</v>
      </c>
      <c r="J345" s="30">
        <v>100.50348</v>
      </c>
      <c r="K345" s="30">
        <v>115.04631020901492</v>
      </c>
      <c r="L345" s="6" t="s">
        <v>22</v>
      </c>
      <c r="M345" s="30">
        <v>0.14142135620100002</v>
      </c>
      <c r="N345" s="30">
        <v>50.245585937500003</v>
      </c>
      <c r="O345" s="6">
        <f>Table1[[#This Row],[R1 Length (km)]]+Table1[[#This Row],[T1 Length (km)]]</f>
        <v>50.387007293701004</v>
      </c>
      <c r="P345" s="31">
        <v>69</v>
      </c>
      <c r="Q345" s="6">
        <f>(Table1[[#This Row],[Linear Features (km)]]*1)*100</f>
        <v>5038.7007293701008</v>
      </c>
      <c r="R345" s="19">
        <f>145718.9/10000</f>
        <v>14.57189</v>
      </c>
      <c r="S345" s="8">
        <f>Table1[[#This Row],[ATG (ha)]]/Table1[[#This Row],[Linear Area (ha)]]</f>
        <v>2.8919935480712037E-3</v>
      </c>
      <c r="T345" s="26" t="s">
        <v>136</v>
      </c>
      <c r="U345" s="9" t="s">
        <v>22</v>
      </c>
      <c r="V345" s="9" t="s">
        <v>22</v>
      </c>
      <c r="W345" s="9" t="s">
        <v>22</v>
      </c>
      <c r="X345" s="31">
        <v>6214.99756955262</v>
      </c>
      <c r="Y345" s="27">
        <f>Table1[[#This Row],[Raw Terrestrial Score]]/Table1[[#This Row],[Summed Raw Scores]]</f>
        <v>0.25495444368473097</v>
      </c>
      <c r="Z345" s="31">
        <v>18161.896905124198</v>
      </c>
      <c r="AA345" s="27">
        <f>Table1[[#This Row],[Raw Freshwater Score]]/Table1[[#This Row],[Summed Raw Scores]]</f>
        <v>0.74504555631526903</v>
      </c>
      <c r="AB345" s="27">
        <f>Table1[[#This Row],[Raw Terrestrial Score]]+Table1[[#This Row],[Raw Freshwater Score]]</f>
        <v>24376.894474676817</v>
      </c>
      <c r="AC345" s="28">
        <f>Table1[[#This Row],[Terrestrial % of Summed Score]]*Table1[[#This Row],[Scaled Summed Score]]</f>
        <v>3.6851431415801016E-2</v>
      </c>
      <c r="AD345" s="28">
        <f>Table1[[#This Row],[Freshwater % of Summed Score]]*Table1[[#This Row],[Scaled Summed Score]]</f>
        <v>0.10768980851398971</v>
      </c>
      <c r="AE345" s="29">
        <f>Table1[[#This Row],[Summed Raw Scores]]/MAX(Table1[Summed Raw Scores])</f>
        <v>0.14454123992979073</v>
      </c>
    </row>
    <row r="346" spans="1:31" hidden="1" x14ac:dyDescent="0.3">
      <c r="A346" s="26" t="s">
        <v>220</v>
      </c>
      <c r="B346" s="26" t="s">
        <v>114</v>
      </c>
      <c r="C346" s="26" t="s">
        <v>21</v>
      </c>
      <c r="D346" s="26" t="s">
        <v>250</v>
      </c>
      <c r="E346" s="30">
        <v>48.524384269999999</v>
      </c>
      <c r="F346" s="30">
        <v>-124.04424469999999</v>
      </c>
      <c r="G346" s="30">
        <v>48</v>
      </c>
      <c r="H346" s="26" t="s">
        <v>22</v>
      </c>
      <c r="I346" s="6">
        <v>12</v>
      </c>
      <c r="J346" s="30">
        <v>127.8522</v>
      </c>
      <c r="K346" s="30">
        <v>102.72014729515422</v>
      </c>
      <c r="L346" s="6" t="s">
        <v>22</v>
      </c>
      <c r="M346" s="30">
        <v>0.68284277343800004</v>
      </c>
      <c r="N346" s="30">
        <v>34.066906250000002</v>
      </c>
      <c r="O346" s="6">
        <f>Table1[[#This Row],[R1 Length (km)]]+Table1[[#This Row],[T1 Length (km)]]</f>
        <v>34.749749023438</v>
      </c>
      <c r="P346" s="31">
        <v>69</v>
      </c>
      <c r="Q346" s="6">
        <f>(Table1[[#This Row],[Linear Features (km)]]*1)*100</f>
        <v>3474.9749023437998</v>
      </c>
      <c r="R346" s="19">
        <v>6.36</v>
      </c>
      <c r="S346" s="8">
        <f>Table1[[#This Row],[ATG (ha)]]/Table1[[#This Row],[Linear Area (ha)]]</f>
        <v>1.8302290458875861E-3</v>
      </c>
      <c r="T346" s="26" t="s">
        <v>136</v>
      </c>
      <c r="U346" s="9" t="s">
        <v>22</v>
      </c>
      <c r="V346" s="9" t="s">
        <v>22</v>
      </c>
      <c r="W346" s="9" t="s">
        <v>22</v>
      </c>
      <c r="X346" s="31">
        <v>1206.0551179535701</v>
      </c>
      <c r="Y346" s="27">
        <f>Table1[[#This Row],[Raw Terrestrial Score]]/Table1[[#This Row],[Summed Raw Scores]]</f>
        <v>0.2719964399753248</v>
      </c>
      <c r="Z346" s="31">
        <v>3228.0290857330001</v>
      </c>
      <c r="AA346" s="27">
        <f>Table1[[#This Row],[Raw Freshwater Score]]/Table1[[#This Row],[Summed Raw Scores]]</f>
        <v>0.72800356002467514</v>
      </c>
      <c r="AB346" s="27">
        <f>Table1[[#This Row],[Raw Terrestrial Score]]+Table1[[#This Row],[Raw Freshwater Score]]</f>
        <v>4434.0842036865706</v>
      </c>
      <c r="AC346" s="28">
        <f>Table1[[#This Row],[Terrestrial % of Summed Score]]*Table1[[#This Row],[Scaled Summed Score]]</f>
        <v>7.1512268453133307E-3</v>
      </c>
      <c r="AD346" s="28">
        <f>Table1[[#This Row],[Freshwater % of Summed Score]]*Table1[[#This Row],[Scaled Summed Score]]</f>
        <v>1.9140392434564307E-2</v>
      </c>
      <c r="AE346" s="29">
        <f>Table1[[#This Row],[Summed Raw Scores]]/MAX(Table1[Summed Raw Scores])</f>
        <v>2.6291619279877641E-2</v>
      </c>
    </row>
    <row r="347" spans="1:31" hidden="1" x14ac:dyDescent="0.3">
      <c r="A347" s="26" t="s">
        <v>221</v>
      </c>
      <c r="B347" s="26" t="s">
        <v>114</v>
      </c>
      <c r="C347" s="26" t="s">
        <v>21</v>
      </c>
      <c r="D347" s="26" t="s">
        <v>250</v>
      </c>
      <c r="E347" s="30">
        <v>50.496697820000001</v>
      </c>
      <c r="F347" s="30">
        <v>-126.76762239999999</v>
      </c>
      <c r="G347" s="30">
        <v>48</v>
      </c>
      <c r="H347" s="26" t="s">
        <v>22</v>
      </c>
      <c r="I347" s="6">
        <v>12</v>
      </c>
      <c r="J347" s="30">
        <v>164.90700000000001</v>
      </c>
      <c r="K347" s="30">
        <v>88.165206651257805</v>
      </c>
      <c r="L347" s="6" t="s">
        <v>22</v>
      </c>
      <c r="M347" s="30">
        <v>0.7</v>
      </c>
      <c r="N347" s="30">
        <v>9.1999999999999993</v>
      </c>
      <c r="O347" s="6">
        <f>Table1[[#This Row],[R1 Length (km)]]+Table1[[#This Row],[T1 Length (km)]]</f>
        <v>9.8999999999999986</v>
      </c>
      <c r="P347" s="31">
        <v>130</v>
      </c>
      <c r="Q347" s="6">
        <f>(Table1[[#This Row],[Linear Features (km)]]*1)*100</f>
        <v>989.99999999999989</v>
      </c>
      <c r="R347" s="19">
        <v>6.36</v>
      </c>
      <c r="S347" s="8">
        <f>Table1[[#This Row],[ATG (ha)]]/Table1[[#This Row],[Linear Area (ha)]]</f>
        <v>6.4242424242424252E-3</v>
      </c>
      <c r="T347" s="26" t="s">
        <v>136</v>
      </c>
      <c r="U347" s="26" t="s">
        <v>22</v>
      </c>
      <c r="V347" s="9" t="s">
        <v>22</v>
      </c>
      <c r="W347" s="9" t="s">
        <v>22</v>
      </c>
      <c r="X347" s="31">
        <v>1351.5401507271499</v>
      </c>
      <c r="Y347" s="27">
        <f>Table1[[#This Row],[Raw Terrestrial Score]]/Table1[[#This Row],[Summed Raw Scores]]</f>
        <v>0.24432324392061097</v>
      </c>
      <c r="Z347" s="31">
        <v>4180.2305029332601</v>
      </c>
      <c r="AA347" s="27">
        <f>Table1[[#This Row],[Raw Freshwater Score]]/Table1[[#This Row],[Summed Raw Scores]]</f>
        <v>0.755676756079389</v>
      </c>
      <c r="AB347" s="27">
        <f>Table1[[#This Row],[Raw Terrestrial Score]]+Table1[[#This Row],[Raw Freshwater Score]]</f>
        <v>5531.7706536604101</v>
      </c>
      <c r="AC347" s="28">
        <f>Table1[[#This Row],[Terrestrial % of Summed Score]]*Table1[[#This Row],[Scaled Summed Score]]</f>
        <v>8.0138710615470423E-3</v>
      </c>
      <c r="AD347" s="28">
        <f>Table1[[#This Row],[Freshwater % of Summed Score]]*Table1[[#This Row],[Scaled Summed Score]]</f>
        <v>2.4786409963499532E-2</v>
      </c>
      <c r="AE347" s="29">
        <f>Table1[[#This Row],[Summed Raw Scores]]/MAX(Table1[Summed Raw Scores])</f>
        <v>3.2800281025046576E-2</v>
      </c>
    </row>
    <row r="348" spans="1:31" x14ac:dyDescent="0.3">
      <c r="A348" s="26" t="s">
        <v>222</v>
      </c>
      <c r="B348" s="26" t="s">
        <v>114</v>
      </c>
      <c r="C348" s="26" t="s">
        <v>21</v>
      </c>
      <c r="D348" s="26" t="s">
        <v>250</v>
      </c>
      <c r="E348" s="30">
        <v>50.494692499999999</v>
      </c>
      <c r="F348" s="30">
        <v>-127.07283200000001</v>
      </c>
      <c r="G348" s="30">
        <v>33</v>
      </c>
      <c r="H348" s="26" t="s">
        <v>22</v>
      </c>
      <c r="I348" s="6">
        <v>8.4</v>
      </c>
      <c r="J348" s="30">
        <v>113.50331999999999</v>
      </c>
      <c r="K348" s="30">
        <v>87.113135229108053</v>
      </c>
      <c r="L348" s="6" t="s">
        <v>22</v>
      </c>
      <c r="M348" s="30">
        <v>1</v>
      </c>
      <c r="N348" s="30">
        <v>8.8000000000000007</v>
      </c>
      <c r="O348" s="6">
        <f>Table1[[#This Row],[R1 Length (km)]]+Table1[[#This Row],[T1 Length (km)]]</f>
        <v>9.8000000000000007</v>
      </c>
      <c r="P348" s="31">
        <v>130</v>
      </c>
      <c r="Q348" s="6">
        <f>(Table1[[#This Row],[Linear Features (km)]]*1)*100</f>
        <v>980.00000000000011</v>
      </c>
      <c r="R348" s="19">
        <f>((PI()*(45^2))*Table1[[#This Row],[Number of Turbines - WIND]])/10000</f>
        <v>4.453207586463531</v>
      </c>
      <c r="S348" s="8">
        <f>Table1[[#This Row],[ATG (ha)]]/Table1[[#This Row],[Linear Area (ha)]]</f>
        <v>4.5440893739423782E-3</v>
      </c>
      <c r="T348" s="26" t="s">
        <v>115</v>
      </c>
      <c r="U348" s="26">
        <v>7</v>
      </c>
      <c r="V348" s="9" t="s">
        <v>22</v>
      </c>
      <c r="W348" s="9" t="s">
        <v>22</v>
      </c>
      <c r="X348" s="31">
        <f>1666.69051776361+[1]plateau_average_sums!$B$58</f>
        <v>1680.8904603531425</v>
      </c>
      <c r="Y348" s="27">
        <f>Table1[[#This Row],[Raw Terrestrial Score]]/Table1[[#This Row],[Summed Raw Scores]]</f>
        <v>0.34681619832774419</v>
      </c>
      <c r="Z348" s="31">
        <f>3136.74402120709+[2]plateau_average_sums!$B$58</f>
        <v>3165.741468772288</v>
      </c>
      <c r="AA348" s="27">
        <f>Table1[[#This Row],[Raw Freshwater Score]]/Table1[[#This Row],[Summed Raw Scores]]</f>
        <v>0.65318380167225587</v>
      </c>
      <c r="AB348" s="27">
        <f>Table1[[#This Row],[Raw Terrestrial Score]]+Table1[[#This Row],[Raw Freshwater Score]]</f>
        <v>4846.6319291254304</v>
      </c>
      <c r="AC348" s="28">
        <f>Table1[[#This Row],[Terrestrial % of Summed Score]]*Table1[[#This Row],[Scaled Summed Score]]</f>
        <v>9.966732701656867E-3</v>
      </c>
      <c r="AD348" s="28">
        <f>Table1[[#This Row],[Freshwater % of Summed Score]]*Table1[[#This Row],[Scaled Summed Score]]</f>
        <v>1.8771061985309347E-2</v>
      </c>
      <c r="AE348" s="29">
        <f>Table1[[#This Row],[Summed Raw Scores]]/MAX(Table1[Summed Raw Scores])</f>
        <v>2.873779468696621E-2</v>
      </c>
    </row>
    <row r="349" spans="1:31" hidden="1" x14ac:dyDescent="0.3">
      <c r="A349" s="26" t="s">
        <v>223</v>
      </c>
      <c r="B349" s="26" t="s">
        <v>114</v>
      </c>
      <c r="C349" s="26" t="s">
        <v>21</v>
      </c>
      <c r="D349" s="26" t="s">
        <v>250</v>
      </c>
      <c r="E349" s="30">
        <v>50.446005470000003</v>
      </c>
      <c r="F349" s="30">
        <v>-127.2969015</v>
      </c>
      <c r="G349" s="30">
        <v>33</v>
      </c>
      <c r="H349" s="26" t="s">
        <v>22</v>
      </c>
      <c r="I349" s="6">
        <v>8.4</v>
      </c>
      <c r="J349" s="30">
        <v>129.44651999999999</v>
      </c>
      <c r="K349" s="30">
        <v>88.609477321999194</v>
      </c>
      <c r="L349" s="6" t="s">
        <v>22</v>
      </c>
      <c r="M349" s="30">
        <v>0.9</v>
      </c>
      <c r="N349" s="30">
        <v>17.8</v>
      </c>
      <c r="O349" s="6">
        <f>Table1[[#This Row],[R1 Length (km)]]+Table1[[#This Row],[T1 Length (km)]]</f>
        <v>18.7</v>
      </c>
      <c r="P349" s="31">
        <v>130</v>
      </c>
      <c r="Q349" s="6">
        <f>(Table1[[#This Row],[Linear Features (km)]]*1)*100</f>
        <v>1870</v>
      </c>
      <c r="R349" s="19">
        <v>4.45</v>
      </c>
      <c r="S349" s="8">
        <f>Table1[[#This Row],[ATG (ha)]]/Table1[[#This Row],[Linear Area (ha)]]</f>
        <v>2.3796791443850269E-3</v>
      </c>
      <c r="T349" s="26" t="s">
        <v>136</v>
      </c>
      <c r="U349" s="9" t="s">
        <v>22</v>
      </c>
      <c r="V349" s="9" t="s">
        <v>22</v>
      </c>
      <c r="W349" s="9" t="s">
        <v>22</v>
      </c>
      <c r="X349" s="31">
        <v>2368.03378063533</v>
      </c>
      <c r="Y349" s="27">
        <f>Table1[[#This Row],[Raw Terrestrial Score]]/Table1[[#This Row],[Summed Raw Scores]]</f>
        <v>0.40608764958987315</v>
      </c>
      <c r="Z349" s="31">
        <v>3463.3028360456201</v>
      </c>
      <c r="AA349" s="27">
        <f>Table1[[#This Row],[Raw Freshwater Score]]/Table1[[#This Row],[Summed Raw Scores]]</f>
        <v>0.59391235041012691</v>
      </c>
      <c r="AB349" s="27">
        <f>Table1[[#This Row],[Raw Terrestrial Score]]+Table1[[#This Row],[Raw Freshwater Score]]</f>
        <v>5831.3366166809501</v>
      </c>
      <c r="AC349" s="28">
        <f>Table1[[#This Row],[Terrestrial % of Summed Score]]*Table1[[#This Row],[Scaled Summed Score]]</f>
        <v>1.4041105162276768E-2</v>
      </c>
      <c r="AD349" s="28">
        <f>Table1[[#This Row],[Freshwater % of Summed Score]]*Table1[[#This Row],[Scaled Summed Score]]</f>
        <v>2.0535433120671596E-2</v>
      </c>
      <c r="AE349" s="29">
        <f>Table1[[#This Row],[Summed Raw Scores]]/MAX(Table1[Summed Raw Scores])</f>
        <v>3.4576538282948363E-2</v>
      </c>
    </row>
    <row r="350" spans="1:31" hidden="1" x14ac:dyDescent="0.3">
      <c r="A350" s="26" t="s">
        <v>224</v>
      </c>
      <c r="B350" s="26" t="s">
        <v>114</v>
      </c>
      <c r="C350" s="26" t="s">
        <v>21</v>
      </c>
      <c r="D350" s="26" t="s">
        <v>250</v>
      </c>
      <c r="E350" s="30">
        <v>50.563312949999997</v>
      </c>
      <c r="F350" s="30">
        <v>-127.93100939999999</v>
      </c>
      <c r="G350" s="30">
        <v>39</v>
      </c>
      <c r="H350" s="26" t="s">
        <v>22</v>
      </c>
      <c r="I350" s="6">
        <v>9.6</v>
      </c>
      <c r="J350" s="30">
        <v>131.15472</v>
      </c>
      <c r="K350" s="30">
        <v>103.77850274255869</v>
      </c>
      <c r="L350" s="6" t="s">
        <v>22</v>
      </c>
      <c r="M350" s="30">
        <v>0.44142135620099998</v>
      </c>
      <c r="N350" s="30">
        <v>37.785996093750001</v>
      </c>
      <c r="O350" s="6">
        <f>Table1[[#This Row],[R1 Length (km)]]+Table1[[#This Row],[T1 Length (km)]]</f>
        <v>38.227417449950998</v>
      </c>
      <c r="P350" s="31">
        <v>69</v>
      </c>
      <c r="Q350" s="6">
        <f>(Table1[[#This Row],[Linear Features (km)]]*1)*100</f>
        <v>3822.7417449950999</v>
      </c>
      <c r="R350" s="19">
        <v>5.08</v>
      </c>
      <c r="S350" s="8">
        <f>Table1[[#This Row],[ATG (ha)]]/Table1[[#This Row],[Linear Area (ha)]]</f>
        <v>1.3288891426293595E-3</v>
      </c>
      <c r="T350" s="26" t="s">
        <v>136</v>
      </c>
      <c r="U350" s="9" t="s">
        <v>22</v>
      </c>
      <c r="V350" s="9" t="s">
        <v>22</v>
      </c>
      <c r="W350" s="9" t="s">
        <v>22</v>
      </c>
      <c r="X350" s="31">
        <v>8138.8109589871001</v>
      </c>
      <c r="Y350" s="27">
        <f>Table1[[#This Row],[Raw Terrestrial Score]]/Table1[[#This Row],[Summed Raw Scores]]</f>
        <v>0.50738125412108703</v>
      </c>
      <c r="Z350" s="31">
        <v>7902.0082334475601</v>
      </c>
      <c r="AA350" s="27">
        <f>Table1[[#This Row],[Raw Freshwater Score]]/Table1[[#This Row],[Summed Raw Scores]]</f>
        <v>0.49261874587891297</v>
      </c>
      <c r="AB350" s="27">
        <f>Table1[[#This Row],[Raw Terrestrial Score]]+Table1[[#This Row],[Raw Freshwater Score]]</f>
        <v>16040.819192434661</v>
      </c>
      <c r="AC350" s="28">
        <f>Table1[[#This Row],[Terrestrial % of Summed Score]]*Table1[[#This Row],[Scaled Summed Score]]</f>
        <v>4.8258560120864664E-2</v>
      </c>
      <c r="AD350" s="28">
        <f>Table1[[#This Row],[Freshwater % of Summed Score]]*Table1[[#This Row],[Scaled Summed Score]]</f>
        <v>4.6854453473736353E-2</v>
      </c>
      <c r="AE350" s="29">
        <f>Table1[[#This Row],[Summed Raw Scores]]/MAX(Table1[Summed Raw Scores])</f>
        <v>9.5113013594601017E-2</v>
      </c>
    </row>
    <row r="351" spans="1:31" hidden="1" x14ac:dyDescent="0.3">
      <c r="A351" s="26" t="s">
        <v>225</v>
      </c>
      <c r="B351" s="26" t="s">
        <v>37</v>
      </c>
      <c r="C351" s="26" t="s">
        <v>59</v>
      </c>
      <c r="D351" s="26" t="s">
        <v>250</v>
      </c>
      <c r="E351" s="30">
        <v>51.936409428200001</v>
      </c>
      <c r="F351" s="30">
        <v>-122.97709502799999</v>
      </c>
      <c r="G351" s="30">
        <v>11.4920585116</v>
      </c>
      <c r="H351" s="6">
        <v>11</v>
      </c>
      <c r="I351" s="6" t="s">
        <v>22</v>
      </c>
      <c r="J351" s="30">
        <v>92</v>
      </c>
      <c r="K351" s="30">
        <v>132.65</v>
      </c>
      <c r="L351" s="6" t="s">
        <v>22</v>
      </c>
      <c r="M351" s="30">
        <v>0</v>
      </c>
      <c r="N351" s="30">
        <v>68.169799999999995</v>
      </c>
      <c r="O351" s="6">
        <f>Table1[[#This Row],[R1 Length (km)]]+Table1[[#This Row],[T1 Length (km)]]</f>
        <v>68.169799999999995</v>
      </c>
      <c r="P351" s="31">
        <v>230</v>
      </c>
      <c r="Q351" s="6">
        <f>(Table1[[#This Row],[Linear Features (km)]]*1)*100</f>
        <v>6816.98</v>
      </c>
      <c r="R351" s="19">
        <v>10</v>
      </c>
      <c r="S351" s="8">
        <f>Table1[[#This Row],[ATG (ha)]]/Table1[[#This Row],[Linear Area (ha)]]</f>
        <v>1.466925236688387E-3</v>
      </c>
      <c r="T351" s="26" t="s">
        <v>22</v>
      </c>
      <c r="U351" s="26" t="s">
        <v>22</v>
      </c>
      <c r="V351" s="9" t="s">
        <v>22</v>
      </c>
      <c r="W351" s="9" t="s">
        <v>22</v>
      </c>
      <c r="X351" s="31">
        <v>28124.343757569801</v>
      </c>
      <c r="Y351" s="27">
        <f>Table1[[#This Row],[Raw Terrestrial Score]]/Table1[[#This Row],[Summed Raw Scores]]</f>
        <v>0.52107646396162666</v>
      </c>
      <c r="Z351" s="31">
        <v>25849.200823098399</v>
      </c>
      <c r="AA351" s="27">
        <f>Table1[[#This Row],[Raw Freshwater Score]]/Table1[[#This Row],[Summed Raw Scores]]</f>
        <v>0.4789235360383734</v>
      </c>
      <c r="AB351" s="27">
        <f>Table1[[#This Row],[Raw Terrestrial Score]]+Table1[[#This Row],[Raw Freshwater Score]]</f>
        <v>53973.544580668196</v>
      </c>
      <c r="AC351" s="28">
        <f>Table1[[#This Row],[Terrestrial % of Summed Score]]*Table1[[#This Row],[Scaled Summed Score]]</f>
        <v>0.16676150127136746</v>
      </c>
      <c r="AD351" s="28">
        <f>Table1[[#This Row],[Freshwater % of Summed Score]]*Table1[[#This Row],[Scaled Summed Score]]</f>
        <v>0.15327118645265186</v>
      </c>
      <c r="AE351" s="29">
        <f>Table1[[#This Row],[Summed Raw Scores]]/MAX(Table1[Summed Raw Scores])</f>
        <v>0.32003268772401933</v>
      </c>
    </row>
    <row r="352" spans="1:31" hidden="1" x14ac:dyDescent="0.3">
      <c r="A352" s="26" t="s">
        <v>226</v>
      </c>
      <c r="B352" s="26" t="s">
        <v>37</v>
      </c>
      <c r="C352" s="26" t="s">
        <v>32</v>
      </c>
      <c r="D352" s="26" t="s">
        <v>250</v>
      </c>
      <c r="E352" s="30">
        <v>49.079444444499998</v>
      </c>
      <c r="F352" s="30">
        <v>-122.483055556</v>
      </c>
      <c r="G352" s="30">
        <v>46.954864498399999</v>
      </c>
      <c r="H352" s="6">
        <v>45</v>
      </c>
      <c r="I352" s="6" t="s">
        <v>22</v>
      </c>
      <c r="J352" s="30">
        <v>374</v>
      </c>
      <c r="K352" s="30">
        <v>134.79</v>
      </c>
      <c r="L352" s="6" t="s">
        <v>22</v>
      </c>
      <c r="M352" s="30">
        <f>600/1000</f>
        <v>0.6</v>
      </c>
      <c r="N352" s="30">
        <v>3.67279</v>
      </c>
      <c r="O352" s="6">
        <f>Table1[[#This Row],[R1 Length (km)]]+Table1[[#This Row],[T1 Length (km)]]</f>
        <v>4.2727899999999996</v>
      </c>
      <c r="P352" s="31">
        <v>69</v>
      </c>
      <c r="Q352" s="6">
        <f>(Table1[[#This Row],[Linear Features (km)]]*1)*100</f>
        <v>427.27899999999994</v>
      </c>
      <c r="R352" s="19">
        <v>10</v>
      </c>
      <c r="S352" s="8">
        <f>Table1[[#This Row],[ATG (ha)]]/Table1[[#This Row],[Linear Area (ha)]]</f>
        <v>2.3403911729806524E-2</v>
      </c>
      <c r="T352" s="26" t="s">
        <v>22</v>
      </c>
      <c r="U352" s="26" t="s">
        <v>22</v>
      </c>
      <c r="V352" s="9" t="s">
        <v>22</v>
      </c>
      <c r="W352" s="9" t="s">
        <v>22</v>
      </c>
      <c r="X352" s="31">
        <v>3783.8542617103099</v>
      </c>
      <c r="Y352" s="27">
        <f>Table1[[#This Row],[Raw Terrestrial Score]]/Table1[[#This Row],[Summed Raw Scores]]</f>
        <v>0.5642508288787218</v>
      </c>
      <c r="Z352" s="31">
        <v>2922.1248313635601</v>
      </c>
      <c r="AA352" s="27">
        <f>Table1[[#This Row],[Raw Freshwater Score]]/Table1[[#This Row],[Summed Raw Scores]]</f>
        <v>0.43574917112127826</v>
      </c>
      <c r="AB352" s="27">
        <f>Table1[[#This Row],[Raw Terrestrial Score]]+Table1[[#This Row],[Raw Freshwater Score]]</f>
        <v>6705.97909307387</v>
      </c>
      <c r="AC352" s="28">
        <f>Table1[[#This Row],[Terrestrial % of Summed Score]]*Table1[[#This Row],[Scaled Summed Score]]</f>
        <v>2.2436122339922551E-2</v>
      </c>
      <c r="AD352" s="28">
        <f>Table1[[#This Row],[Freshwater % of Summed Score]]*Table1[[#This Row],[Scaled Summed Score]]</f>
        <v>1.7326552682651316E-2</v>
      </c>
      <c r="AE352" s="29">
        <f>Table1[[#This Row],[Summed Raw Scores]]/MAX(Table1[Summed Raw Scores])</f>
        <v>3.9762675022573864E-2</v>
      </c>
    </row>
    <row r="353" spans="1:31" hidden="1" x14ac:dyDescent="0.3">
      <c r="A353" s="26" t="s">
        <v>227</v>
      </c>
      <c r="B353" s="26" t="s">
        <v>37</v>
      </c>
      <c r="C353" s="26" t="s">
        <v>32</v>
      </c>
      <c r="D353" s="26" t="s">
        <v>250</v>
      </c>
      <c r="E353" s="30">
        <v>49.079444444499998</v>
      </c>
      <c r="F353" s="30">
        <v>-122.483055556</v>
      </c>
      <c r="G353" s="30">
        <v>38.505777818399999</v>
      </c>
      <c r="H353" s="6">
        <v>37</v>
      </c>
      <c r="I353" s="6" t="s">
        <v>22</v>
      </c>
      <c r="J353" s="30">
        <v>307</v>
      </c>
      <c r="K353" s="30">
        <v>104.73</v>
      </c>
      <c r="L353" s="6" t="s">
        <v>22</v>
      </c>
      <c r="M353" s="30">
        <v>0</v>
      </c>
      <c r="N353" s="30">
        <v>3.67279</v>
      </c>
      <c r="O353" s="6">
        <f>Table1[[#This Row],[R1 Length (km)]]+Table1[[#This Row],[T1 Length (km)]]</f>
        <v>3.67279</v>
      </c>
      <c r="P353" s="31">
        <v>69</v>
      </c>
      <c r="Q353" s="6">
        <f>(Table1[[#This Row],[Linear Features (km)]]*1)*100</f>
        <v>367.279</v>
      </c>
      <c r="R353" s="19">
        <v>10</v>
      </c>
      <c r="S353" s="8">
        <f>Table1[[#This Row],[ATG (ha)]]/Table1[[#This Row],[Linear Area (ha)]]</f>
        <v>2.7227257752280964E-2</v>
      </c>
      <c r="T353" s="26" t="s">
        <v>22</v>
      </c>
      <c r="U353" s="26" t="s">
        <v>22</v>
      </c>
      <c r="V353" s="9" t="s">
        <v>22</v>
      </c>
      <c r="W353" s="9" t="s">
        <v>22</v>
      </c>
      <c r="X353" s="31">
        <v>3783.8542617103099</v>
      </c>
      <c r="Y353" s="27">
        <f>Table1[[#This Row],[Raw Terrestrial Score]]/Table1[[#This Row],[Summed Raw Scores]]</f>
        <v>0.5642508288787218</v>
      </c>
      <c r="Z353" s="31">
        <v>2922.1248313635601</v>
      </c>
      <c r="AA353" s="27">
        <f>Table1[[#This Row],[Raw Freshwater Score]]/Table1[[#This Row],[Summed Raw Scores]]</f>
        <v>0.43574917112127826</v>
      </c>
      <c r="AB353" s="27">
        <f>Table1[[#This Row],[Raw Terrestrial Score]]+Table1[[#This Row],[Raw Freshwater Score]]</f>
        <v>6705.97909307387</v>
      </c>
      <c r="AC353" s="28">
        <f>Table1[[#This Row],[Terrestrial % of Summed Score]]*Table1[[#This Row],[Scaled Summed Score]]</f>
        <v>2.2436122339922551E-2</v>
      </c>
      <c r="AD353" s="28">
        <f>Table1[[#This Row],[Freshwater % of Summed Score]]*Table1[[#This Row],[Scaled Summed Score]]</f>
        <v>1.7326552682651316E-2</v>
      </c>
      <c r="AE353" s="29">
        <f>Table1[[#This Row],[Summed Raw Scores]]/MAX(Table1[Summed Raw Scores])</f>
        <v>3.9762675022573864E-2</v>
      </c>
    </row>
    <row r="354" spans="1:31" hidden="1" x14ac:dyDescent="0.3">
      <c r="A354" s="26" t="s">
        <v>228</v>
      </c>
      <c r="B354" s="26" t="s">
        <v>37</v>
      </c>
      <c r="C354" s="26" t="s">
        <v>32</v>
      </c>
      <c r="D354" s="26" t="s">
        <v>250</v>
      </c>
      <c r="E354" s="30">
        <v>49.079444444499998</v>
      </c>
      <c r="F354" s="30">
        <v>-122.483055556</v>
      </c>
      <c r="G354" s="30">
        <v>38.505777818399999</v>
      </c>
      <c r="H354" s="6">
        <v>37</v>
      </c>
      <c r="I354" s="6" t="s">
        <v>22</v>
      </c>
      <c r="J354" s="30">
        <v>307</v>
      </c>
      <c r="K354" s="30">
        <v>104.73</v>
      </c>
      <c r="L354" s="6" t="s">
        <v>22</v>
      </c>
      <c r="M354" s="30">
        <f>600/1000</f>
        <v>0.6</v>
      </c>
      <c r="N354" s="30">
        <v>3.67279</v>
      </c>
      <c r="O354" s="6">
        <f>Table1[[#This Row],[R1 Length (km)]]+Table1[[#This Row],[T1 Length (km)]]</f>
        <v>4.2727899999999996</v>
      </c>
      <c r="P354" s="31">
        <v>69</v>
      </c>
      <c r="Q354" s="6">
        <f>(Table1[[#This Row],[Linear Features (km)]]*1)*100</f>
        <v>427.27899999999994</v>
      </c>
      <c r="R354" s="19">
        <v>10</v>
      </c>
      <c r="S354" s="8">
        <f>Table1[[#This Row],[ATG (ha)]]/Table1[[#This Row],[Linear Area (ha)]]</f>
        <v>2.3403911729806524E-2</v>
      </c>
      <c r="T354" s="26" t="s">
        <v>22</v>
      </c>
      <c r="U354" s="26" t="s">
        <v>22</v>
      </c>
      <c r="V354" s="9" t="s">
        <v>22</v>
      </c>
      <c r="W354" s="9" t="s">
        <v>22</v>
      </c>
      <c r="X354" s="31">
        <v>3783.8542617103099</v>
      </c>
      <c r="Y354" s="27">
        <f>Table1[[#This Row],[Raw Terrestrial Score]]/Table1[[#This Row],[Summed Raw Scores]]</f>
        <v>0.5642508288787218</v>
      </c>
      <c r="Z354" s="31">
        <v>2922.1248313635601</v>
      </c>
      <c r="AA354" s="27">
        <f>Table1[[#This Row],[Raw Freshwater Score]]/Table1[[#This Row],[Summed Raw Scores]]</f>
        <v>0.43574917112127826</v>
      </c>
      <c r="AB354" s="27">
        <f>Table1[[#This Row],[Raw Terrestrial Score]]+Table1[[#This Row],[Raw Freshwater Score]]</f>
        <v>6705.97909307387</v>
      </c>
      <c r="AC354" s="28">
        <f>Table1[[#This Row],[Terrestrial % of Summed Score]]*Table1[[#This Row],[Scaled Summed Score]]</f>
        <v>2.2436122339922551E-2</v>
      </c>
      <c r="AD354" s="28">
        <f>Table1[[#This Row],[Freshwater % of Summed Score]]*Table1[[#This Row],[Scaled Summed Score]]</f>
        <v>1.7326552682651316E-2</v>
      </c>
      <c r="AE354" s="29">
        <f>Table1[[#This Row],[Summed Raw Scores]]/MAX(Table1[Summed Raw Scores])</f>
        <v>3.9762675022573864E-2</v>
      </c>
    </row>
    <row r="355" spans="1:31" hidden="1" x14ac:dyDescent="0.3">
      <c r="A355" s="26" t="s">
        <v>229</v>
      </c>
      <c r="B355" s="26" t="s">
        <v>37</v>
      </c>
      <c r="C355" s="26" t="s">
        <v>27</v>
      </c>
      <c r="D355" s="26" t="s">
        <v>250</v>
      </c>
      <c r="E355" s="30">
        <v>58.805555556500003</v>
      </c>
      <c r="F355" s="30">
        <v>-122.697222223</v>
      </c>
      <c r="G355" s="30">
        <v>38.520155471000002</v>
      </c>
      <c r="H355" s="6">
        <v>37</v>
      </c>
      <c r="I355" s="6" t="s">
        <v>22</v>
      </c>
      <c r="J355" s="30">
        <v>307</v>
      </c>
      <c r="K355" s="30">
        <v>187.48</v>
      </c>
      <c r="L355" s="6" t="s">
        <v>22</v>
      </c>
      <c r="M355" s="30">
        <f>600/1000</f>
        <v>0.6</v>
      </c>
      <c r="N355" s="30">
        <v>351.05200000000002</v>
      </c>
      <c r="O355" s="6">
        <f>Table1[[#This Row],[R1 Length (km)]]+Table1[[#This Row],[T1 Length (km)]]</f>
        <v>351.65200000000004</v>
      </c>
      <c r="P355" s="31">
        <v>230</v>
      </c>
      <c r="Q355" s="6">
        <f>(Table1[[#This Row],[Linear Features (km)]]*1)*100</f>
        <v>35165.200000000004</v>
      </c>
      <c r="R355" s="19">
        <v>10</v>
      </c>
      <c r="S355" s="8">
        <f>Table1[[#This Row],[ATG (ha)]]/Table1[[#This Row],[Linear Area (ha)]]</f>
        <v>2.8437204963998496E-4</v>
      </c>
      <c r="T355" s="26" t="s">
        <v>22</v>
      </c>
      <c r="U355" s="26" t="s">
        <v>22</v>
      </c>
      <c r="V355" s="9" t="s">
        <v>22</v>
      </c>
      <c r="W355" s="9" t="s">
        <v>22</v>
      </c>
      <c r="X355" s="31">
        <v>67824.742805220201</v>
      </c>
      <c r="Y355" s="27">
        <f>Table1[[#This Row],[Raw Terrestrial Score]]/Table1[[#This Row],[Summed Raw Scores]]</f>
        <v>0.54899610275078459</v>
      </c>
      <c r="Z355" s="31">
        <v>55718.470826678902</v>
      </c>
      <c r="AA355" s="27">
        <f>Table1[[#This Row],[Raw Freshwater Score]]/Table1[[#This Row],[Summed Raw Scores]]</f>
        <v>0.45100389724921552</v>
      </c>
      <c r="AB355" s="27">
        <f>Table1[[#This Row],[Raw Terrestrial Score]]+Table1[[#This Row],[Raw Freshwater Score]]</f>
        <v>123543.2136318991</v>
      </c>
      <c r="AC355" s="28">
        <f>Table1[[#This Row],[Terrestrial % of Summed Score]]*Table1[[#This Row],[Scaled Summed Score]]</f>
        <v>0.40216248354234441</v>
      </c>
      <c r="AD355" s="28">
        <f>Table1[[#This Row],[Freshwater % of Summed Score]]*Table1[[#This Row],[Scaled Summed Score]]</f>
        <v>0.33037911652964208</v>
      </c>
      <c r="AE355" s="29">
        <f>Table1[[#This Row],[Summed Raw Scores]]/MAX(Table1[Summed Raw Scores])</f>
        <v>0.73254160007198643</v>
      </c>
    </row>
    <row r="356" spans="1:31" hidden="1" x14ac:dyDescent="0.3">
      <c r="A356" s="26" t="s">
        <v>230</v>
      </c>
      <c r="B356" s="26" t="s">
        <v>37</v>
      </c>
      <c r="C356" s="26" t="s">
        <v>27</v>
      </c>
      <c r="D356" s="26" t="s">
        <v>250</v>
      </c>
      <c r="E356" s="30">
        <v>58.805555556500003</v>
      </c>
      <c r="F356" s="30">
        <v>-122.697222223</v>
      </c>
      <c r="G356" s="30">
        <v>38.520155471000002</v>
      </c>
      <c r="H356" s="6">
        <v>37</v>
      </c>
      <c r="I356" s="6" t="s">
        <v>22</v>
      </c>
      <c r="J356" s="30">
        <v>307</v>
      </c>
      <c r="K356" s="30">
        <v>187.48</v>
      </c>
      <c r="L356" s="6" t="s">
        <v>22</v>
      </c>
      <c r="M356" s="30">
        <v>0</v>
      </c>
      <c r="N356" s="30">
        <v>351.05200000000002</v>
      </c>
      <c r="O356" s="6">
        <f>Table1[[#This Row],[R1 Length (km)]]+Table1[[#This Row],[T1 Length (km)]]</f>
        <v>351.05200000000002</v>
      </c>
      <c r="P356" s="31">
        <v>230</v>
      </c>
      <c r="Q356" s="6">
        <f>(Table1[[#This Row],[Linear Features (km)]]*1)*100</f>
        <v>35105.200000000004</v>
      </c>
      <c r="R356" s="19">
        <v>10</v>
      </c>
      <c r="S356" s="8">
        <f>Table1[[#This Row],[ATG (ha)]]/Table1[[#This Row],[Linear Area (ha)]]</f>
        <v>2.8485808370269926E-4</v>
      </c>
      <c r="T356" s="26" t="s">
        <v>22</v>
      </c>
      <c r="U356" s="26" t="s">
        <v>22</v>
      </c>
      <c r="V356" s="9" t="s">
        <v>22</v>
      </c>
      <c r="W356" s="9" t="s">
        <v>22</v>
      </c>
      <c r="X356" s="31">
        <v>67824.742805220201</v>
      </c>
      <c r="Y356" s="27">
        <f>Table1[[#This Row],[Raw Terrestrial Score]]/Table1[[#This Row],[Summed Raw Scores]]</f>
        <v>0.54899610275078459</v>
      </c>
      <c r="Z356" s="31">
        <v>55718.470826678902</v>
      </c>
      <c r="AA356" s="27">
        <f>Table1[[#This Row],[Raw Freshwater Score]]/Table1[[#This Row],[Summed Raw Scores]]</f>
        <v>0.45100389724921552</v>
      </c>
      <c r="AB356" s="27">
        <f>Table1[[#This Row],[Raw Terrestrial Score]]+Table1[[#This Row],[Raw Freshwater Score]]</f>
        <v>123543.2136318991</v>
      </c>
      <c r="AC356" s="28">
        <f>Table1[[#This Row],[Terrestrial % of Summed Score]]*Table1[[#This Row],[Scaled Summed Score]]</f>
        <v>0.40216248354234441</v>
      </c>
      <c r="AD356" s="28">
        <f>Table1[[#This Row],[Freshwater % of Summed Score]]*Table1[[#This Row],[Scaled Summed Score]]</f>
        <v>0.33037911652964208</v>
      </c>
      <c r="AE356" s="29">
        <f>Table1[[#This Row],[Summed Raw Scores]]/MAX(Table1[Summed Raw Scores])</f>
        <v>0.73254160007198643</v>
      </c>
    </row>
    <row r="357" spans="1:31" hidden="1" x14ac:dyDescent="0.3">
      <c r="A357" s="26" t="s">
        <v>231</v>
      </c>
      <c r="B357" s="26" t="s">
        <v>37</v>
      </c>
      <c r="C357" s="26" t="s">
        <v>27</v>
      </c>
      <c r="D357" s="26" t="s">
        <v>250</v>
      </c>
      <c r="E357" s="30">
        <v>58.805555556500003</v>
      </c>
      <c r="F357" s="30">
        <v>-122.697222223</v>
      </c>
      <c r="G357" s="30">
        <v>38.520155471000002</v>
      </c>
      <c r="H357" s="6">
        <v>37</v>
      </c>
      <c r="I357" s="6" t="s">
        <v>22</v>
      </c>
      <c r="J357" s="30">
        <v>307</v>
      </c>
      <c r="K357" s="30">
        <v>187.48</v>
      </c>
      <c r="L357" s="6" t="s">
        <v>22</v>
      </c>
      <c r="M357" s="30">
        <v>0</v>
      </c>
      <c r="N357" s="30">
        <v>351.05200000000002</v>
      </c>
      <c r="O357" s="6">
        <f>Table1[[#This Row],[R1 Length (km)]]+Table1[[#This Row],[T1 Length (km)]]</f>
        <v>351.05200000000002</v>
      </c>
      <c r="P357" s="31">
        <v>230</v>
      </c>
      <c r="Q357" s="6">
        <f>(Table1[[#This Row],[Linear Features (km)]]*1)*100</f>
        <v>35105.200000000004</v>
      </c>
      <c r="R357" s="19">
        <v>10</v>
      </c>
      <c r="S357" s="8">
        <f>Table1[[#This Row],[ATG (ha)]]/Table1[[#This Row],[Linear Area (ha)]]</f>
        <v>2.8485808370269926E-4</v>
      </c>
      <c r="T357" s="26" t="s">
        <v>22</v>
      </c>
      <c r="U357" s="26" t="s">
        <v>22</v>
      </c>
      <c r="V357" s="9" t="s">
        <v>22</v>
      </c>
      <c r="W357" s="9" t="s">
        <v>22</v>
      </c>
      <c r="X357" s="31">
        <v>67824.742805220201</v>
      </c>
      <c r="Y357" s="27">
        <f>Table1[[#This Row],[Raw Terrestrial Score]]/Table1[[#This Row],[Summed Raw Scores]]</f>
        <v>0.54899610275078459</v>
      </c>
      <c r="Z357" s="31">
        <v>55718.470826678902</v>
      </c>
      <c r="AA357" s="27">
        <f>Table1[[#This Row],[Raw Freshwater Score]]/Table1[[#This Row],[Summed Raw Scores]]</f>
        <v>0.45100389724921552</v>
      </c>
      <c r="AB357" s="27">
        <f>Table1[[#This Row],[Raw Terrestrial Score]]+Table1[[#This Row],[Raw Freshwater Score]]</f>
        <v>123543.2136318991</v>
      </c>
      <c r="AC357" s="28">
        <f>Table1[[#This Row],[Terrestrial % of Summed Score]]*Table1[[#This Row],[Scaled Summed Score]]</f>
        <v>0.40216248354234441</v>
      </c>
      <c r="AD357" s="28">
        <f>Table1[[#This Row],[Freshwater % of Summed Score]]*Table1[[#This Row],[Scaled Summed Score]]</f>
        <v>0.33037911652964208</v>
      </c>
      <c r="AE357" s="29">
        <f>Table1[[#This Row],[Summed Raw Scores]]/MAX(Table1[Summed Raw Scores])</f>
        <v>0.73254160007198643</v>
      </c>
    </row>
    <row r="358" spans="1:31" hidden="1" x14ac:dyDescent="0.3">
      <c r="A358" s="26" t="s">
        <v>232</v>
      </c>
      <c r="B358" s="26" t="s">
        <v>37</v>
      </c>
      <c r="C358" s="26" t="s">
        <v>30</v>
      </c>
      <c r="D358" s="26" t="s">
        <v>250</v>
      </c>
      <c r="E358" s="30">
        <v>58.433333333900002</v>
      </c>
      <c r="F358" s="30">
        <v>-130.024166667</v>
      </c>
      <c r="G358" s="30">
        <v>54</v>
      </c>
      <c r="H358" s="6">
        <v>10</v>
      </c>
      <c r="I358" s="6" t="s">
        <v>22</v>
      </c>
      <c r="J358" s="30">
        <v>86</v>
      </c>
      <c r="K358" s="30">
        <v>205.12</v>
      </c>
      <c r="L358" s="6" t="s">
        <v>22</v>
      </c>
      <c r="M358" s="30">
        <f>473.463877529/1000</f>
        <v>0.47346387752899999</v>
      </c>
      <c r="N358" s="30">
        <v>255.387</v>
      </c>
      <c r="O358" s="6">
        <f>Table1[[#This Row],[R1 Length (km)]]+Table1[[#This Row],[T1 Length (km)]]</f>
        <v>255.86046387752901</v>
      </c>
      <c r="P358" s="31">
        <v>130</v>
      </c>
      <c r="Q358" s="6">
        <f>(Table1[[#This Row],[Linear Features (km)]]*1)*100</f>
        <v>25586.0463877529</v>
      </c>
      <c r="R358" s="19">
        <v>10</v>
      </c>
      <c r="S358" s="8">
        <f>Table1[[#This Row],[ATG (ha)]]/Table1[[#This Row],[Linear Area (ha)]]</f>
        <v>3.9083803134143586E-4</v>
      </c>
      <c r="T358" s="26" t="s">
        <v>22</v>
      </c>
      <c r="U358" s="26" t="s">
        <v>22</v>
      </c>
      <c r="V358" s="9" t="s">
        <v>22</v>
      </c>
      <c r="W358" s="9" t="s">
        <v>22</v>
      </c>
      <c r="X358" s="31">
        <v>26777.453579530102</v>
      </c>
      <c r="Y358" s="27">
        <f>Table1[[#This Row],[Raw Terrestrial Score]]/Table1[[#This Row],[Summed Raw Scores]]</f>
        <v>0.26492190651111513</v>
      </c>
      <c r="Z358" s="31">
        <v>74299.327620542594</v>
      </c>
      <c r="AA358" s="27">
        <f>Table1[[#This Row],[Raw Freshwater Score]]/Table1[[#This Row],[Summed Raw Scores]]</f>
        <v>0.73507809348888475</v>
      </c>
      <c r="AB358" s="27">
        <f>Table1[[#This Row],[Raw Terrestrial Score]]+Table1[[#This Row],[Raw Freshwater Score]]</f>
        <v>101076.7812000727</v>
      </c>
      <c r="AC358" s="28">
        <f>Table1[[#This Row],[Terrestrial % of Summed Score]]*Table1[[#This Row],[Scaled Summed Score]]</f>
        <v>0.15877520192608569</v>
      </c>
      <c r="AD358" s="28">
        <f>Table1[[#This Row],[Freshwater % of Summed Score]]*Table1[[#This Row],[Scaled Summed Score]]</f>
        <v>0.44055312096375454</v>
      </c>
      <c r="AE358" s="29">
        <f>Table1[[#This Row],[Summed Raw Scores]]/MAX(Table1[Summed Raw Scores])</f>
        <v>0.59932832288984028</v>
      </c>
    </row>
    <row r="359" spans="1:31" hidden="1" x14ac:dyDescent="0.3">
      <c r="A359" s="26" t="s">
        <v>233</v>
      </c>
      <c r="B359" s="26" t="s">
        <v>37</v>
      </c>
      <c r="C359" s="26" t="s">
        <v>27</v>
      </c>
      <c r="D359" s="26" t="s">
        <v>250</v>
      </c>
      <c r="E359" s="30">
        <v>55.700000000499998</v>
      </c>
      <c r="F359" s="30">
        <v>-121.633333333</v>
      </c>
      <c r="G359" s="30">
        <v>9.2094357002400002</v>
      </c>
      <c r="H359" s="6">
        <v>9</v>
      </c>
      <c r="I359" s="6" t="s">
        <v>22</v>
      </c>
      <c r="J359" s="30">
        <v>73</v>
      </c>
      <c r="K359" s="30">
        <v>213.94</v>
      </c>
      <c r="L359" s="6" t="s">
        <v>22</v>
      </c>
      <c r="M359" s="30">
        <v>0</v>
      </c>
      <c r="N359" s="30">
        <v>0.42426399999999997</v>
      </c>
      <c r="O359" s="6">
        <f>Table1[[#This Row],[R1 Length (km)]]+Table1[[#This Row],[T1 Length (km)]]</f>
        <v>0.42426399999999997</v>
      </c>
      <c r="P359" s="31">
        <v>25</v>
      </c>
      <c r="Q359" s="6">
        <f>(Table1[[#This Row],[Linear Features (km)]]*1)*100</f>
        <v>42.426400000000001</v>
      </c>
      <c r="R359" s="19">
        <v>10</v>
      </c>
      <c r="S359" s="8">
        <f>Table1[[#This Row],[ATG (ha)]]/Table1[[#This Row],[Linear Area (ha)]]</f>
        <v>0.23570229856881564</v>
      </c>
      <c r="T359" s="26" t="s">
        <v>22</v>
      </c>
      <c r="U359" s="26" t="s">
        <v>22</v>
      </c>
      <c r="V359" s="9" t="s">
        <v>22</v>
      </c>
      <c r="W359" s="9" t="s">
        <v>22</v>
      </c>
      <c r="X359" s="31">
        <v>4.0438675126060799</v>
      </c>
      <c r="Y359" s="27">
        <f>Table1[[#This Row],[Raw Terrestrial Score]]/Table1[[#This Row],[Summed Raw Scores]]</f>
        <v>0.81282596129190954</v>
      </c>
      <c r="Z359" s="31">
        <v>0.93120428035035696</v>
      </c>
      <c r="AA359" s="27">
        <f>Table1[[#This Row],[Raw Freshwater Score]]/Table1[[#This Row],[Summed Raw Scores]]</f>
        <v>0.18717403870809041</v>
      </c>
      <c r="AB359" s="27">
        <f>Table1[[#This Row],[Raw Terrestrial Score]]+Table1[[#This Row],[Raw Freshwater Score]]</f>
        <v>4.9750717929564372</v>
      </c>
      <c r="AC359" s="28">
        <f>Table1[[#This Row],[Terrestrial % of Summed Score]]*Table1[[#This Row],[Scaled Summed Score]]</f>
        <v>2.3977854315736448E-5</v>
      </c>
      <c r="AD359" s="28">
        <f>Table1[[#This Row],[Freshwater % of Summed Score]]*Table1[[#This Row],[Scaled Summed Score]]</f>
        <v>5.5215163461281512E-6</v>
      </c>
      <c r="AE359" s="29">
        <f>Table1[[#This Row],[Summed Raw Scores]]/MAX(Table1[Summed Raw Scores])</f>
        <v>2.9499370661864601E-5</v>
      </c>
    </row>
    <row r="360" spans="1:31" hidden="1" x14ac:dyDescent="0.3">
      <c r="A360" s="26" t="s">
        <v>234</v>
      </c>
      <c r="B360" s="26" t="s">
        <v>37</v>
      </c>
      <c r="C360" s="26" t="s">
        <v>27</v>
      </c>
      <c r="D360" s="26" t="s">
        <v>250</v>
      </c>
      <c r="E360" s="30">
        <v>55.700000000499998</v>
      </c>
      <c r="F360" s="30">
        <v>-121.633333333</v>
      </c>
      <c r="G360" s="30">
        <v>0.92358257850000003</v>
      </c>
      <c r="H360" s="6">
        <v>1</v>
      </c>
      <c r="I360" s="6" t="s">
        <v>22</v>
      </c>
      <c r="J360" s="30">
        <v>7</v>
      </c>
      <c r="K360" s="30">
        <v>213.94</v>
      </c>
      <c r="L360" s="6" t="s">
        <v>22</v>
      </c>
      <c r="M360" s="30">
        <v>0</v>
      </c>
      <c r="N360" s="30">
        <v>0.42426399999999997</v>
      </c>
      <c r="O360" s="6">
        <f>Table1[[#This Row],[R1 Length (km)]]+Table1[[#This Row],[T1 Length (km)]]</f>
        <v>0.42426399999999997</v>
      </c>
      <c r="P360" s="31">
        <v>25</v>
      </c>
      <c r="Q360" s="6">
        <f>(Table1[[#This Row],[Linear Features (km)]]*1)*100</f>
        <v>42.426400000000001</v>
      </c>
      <c r="R360" s="19">
        <v>10</v>
      </c>
      <c r="S360" s="8">
        <f>Table1[[#This Row],[ATG (ha)]]/Table1[[#This Row],[Linear Area (ha)]]</f>
        <v>0.23570229856881564</v>
      </c>
      <c r="T360" s="26" t="s">
        <v>22</v>
      </c>
      <c r="U360" s="26" t="s">
        <v>22</v>
      </c>
      <c r="V360" s="9" t="s">
        <v>22</v>
      </c>
      <c r="W360" s="9" t="s">
        <v>22</v>
      </c>
      <c r="X360" s="31">
        <v>4.0438675126060799</v>
      </c>
      <c r="Y360" s="27">
        <f>Table1[[#This Row],[Raw Terrestrial Score]]/Table1[[#This Row],[Summed Raw Scores]]</f>
        <v>0.81282596129190954</v>
      </c>
      <c r="Z360" s="31">
        <v>0.93120428035035696</v>
      </c>
      <c r="AA360" s="27">
        <f>Table1[[#This Row],[Raw Freshwater Score]]/Table1[[#This Row],[Summed Raw Scores]]</f>
        <v>0.18717403870809041</v>
      </c>
      <c r="AB360" s="27">
        <f>Table1[[#This Row],[Raw Terrestrial Score]]+Table1[[#This Row],[Raw Freshwater Score]]</f>
        <v>4.9750717929564372</v>
      </c>
      <c r="AC360" s="28">
        <f>Table1[[#This Row],[Terrestrial % of Summed Score]]*Table1[[#This Row],[Scaled Summed Score]]</f>
        <v>2.3977854315736448E-5</v>
      </c>
      <c r="AD360" s="28">
        <f>Table1[[#This Row],[Freshwater % of Summed Score]]*Table1[[#This Row],[Scaled Summed Score]]</f>
        <v>5.5215163461281512E-6</v>
      </c>
      <c r="AE360" s="29">
        <f>Table1[[#This Row],[Summed Raw Scores]]/MAX(Table1[Summed Raw Scores])</f>
        <v>2.9499370661864601E-5</v>
      </c>
    </row>
    <row r="361" spans="1:31" hidden="1" x14ac:dyDescent="0.3">
      <c r="A361" s="26" t="s">
        <v>235</v>
      </c>
      <c r="B361" s="26" t="s">
        <v>37</v>
      </c>
      <c r="C361" s="26" t="s">
        <v>30</v>
      </c>
      <c r="D361" s="26" t="s">
        <v>250</v>
      </c>
      <c r="E361" s="6">
        <v>54.052777778600003</v>
      </c>
      <c r="F361" s="6">
        <v>-128.65</v>
      </c>
      <c r="G361" s="6">
        <v>13.691422297000001</v>
      </c>
      <c r="H361" s="6">
        <v>13</v>
      </c>
      <c r="I361" s="6" t="s">
        <v>22</v>
      </c>
      <c r="J361" s="6">
        <v>109</v>
      </c>
      <c r="K361" s="6">
        <v>133.66</v>
      </c>
      <c r="L361" s="6" t="s">
        <v>22</v>
      </c>
      <c r="M361" s="30">
        <v>0</v>
      </c>
      <c r="N361" s="30">
        <v>4.7698499999999999</v>
      </c>
      <c r="O361" s="6">
        <f>Table1[[#This Row],[R1 Length (km)]]+Table1[[#This Row],[T1 Length (km)]]</f>
        <v>4.7698499999999999</v>
      </c>
      <c r="P361" s="31">
        <v>25</v>
      </c>
      <c r="Q361" s="6">
        <f>(Table1[[#This Row],[Linear Features (km)]]*1)*100</f>
        <v>476.98500000000001</v>
      </c>
      <c r="R361" s="7">
        <v>10</v>
      </c>
      <c r="S361" s="8">
        <f>Table1[[#This Row],[ATG (ha)]]/Table1[[#This Row],[Linear Area (ha)]]</f>
        <v>2.0965019864356321E-2</v>
      </c>
      <c r="T361" s="26" t="s">
        <v>22</v>
      </c>
      <c r="U361" s="26" t="s">
        <v>22</v>
      </c>
      <c r="V361" s="9" t="s">
        <v>22</v>
      </c>
      <c r="W361" s="9" t="s">
        <v>22</v>
      </c>
      <c r="X361" s="31">
        <v>870.42384099960304</v>
      </c>
      <c r="Y361" s="27">
        <f>Table1[[#This Row],[Raw Terrestrial Score]]/Table1[[#This Row],[Summed Raw Scores]]</f>
        <v>0.37723691371006757</v>
      </c>
      <c r="Z361" s="31">
        <v>1436.94272193592</v>
      </c>
      <c r="AA361" s="27">
        <f>Table1[[#This Row],[Raw Freshwater Score]]/Table1[[#This Row],[Summed Raw Scores]]</f>
        <v>0.62276308628993249</v>
      </c>
      <c r="AB361" s="27">
        <f>Table1[[#This Row],[Raw Terrestrial Score]]+Table1[[#This Row],[Raw Freshwater Score]]</f>
        <v>2307.3665629355228</v>
      </c>
      <c r="AC361" s="28">
        <f>Table1[[#This Row],[Terrestrial % of Summed Score]]*Table1[[#This Row],[Scaled Summed Score]]</f>
        <v>5.1611226103156702E-3</v>
      </c>
      <c r="AD361" s="28">
        <f>Table1[[#This Row],[Freshwater % of Summed Score]]*Table1[[#This Row],[Scaled Summed Score]]</f>
        <v>8.5202601567015233E-3</v>
      </c>
      <c r="AE361" s="29">
        <f>Table1[[#This Row],[Summed Raw Scores]]/MAX(Table1[Summed Raw Scores])</f>
        <v>1.3681382767017192E-2</v>
      </c>
    </row>
    <row r="362" spans="1:31" hidden="1" x14ac:dyDescent="0.3">
      <c r="A362" s="26" t="s">
        <v>112</v>
      </c>
      <c r="B362" s="26" t="s">
        <v>97</v>
      </c>
      <c r="C362" s="26" t="s">
        <v>30</v>
      </c>
      <c r="D362" s="26" t="s">
        <v>250</v>
      </c>
      <c r="E362" s="10">
        <v>54.5</v>
      </c>
      <c r="F362" s="10">
        <v>-128.35</v>
      </c>
      <c r="G362" s="6">
        <v>51.2</v>
      </c>
      <c r="H362" s="6">
        <v>40</v>
      </c>
      <c r="I362" s="6">
        <v>8</v>
      </c>
      <c r="J362" s="11">
        <v>208.4</v>
      </c>
      <c r="K362" s="11">
        <v>81.381647398843924</v>
      </c>
      <c r="L362" s="6" t="s">
        <v>22</v>
      </c>
      <c r="M362" s="18">
        <v>0</v>
      </c>
      <c r="N362" s="19">
        <v>16.482337649085515</v>
      </c>
      <c r="O362" s="7">
        <f>Table1[[#This Row],[R1 Length (km)]]+Table1[[#This Row],[T1 Length (km)]]</f>
        <v>16.482337649085515</v>
      </c>
      <c r="P362" s="17">
        <v>69</v>
      </c>
      <c r="Q362" s="7">
        <f>(Table1[[#This Row],[Linear Features (km)]]*1)*100</f>
        <v>1648.2337649085516</v>
      </c>
      <c r="R362" s="7">
        <v>16.48</v>
      </c>
      <c r="S362" s="8">
        <f>Table1[[#This Row],[ATG (ha)]]/Table1[[#This Row],[Linear Area (ha)]]</f>
        <v>9.9985817247921476E-3</v>
      </c>
      <c r="T362" s="9" t="s">
        <v>22</v>
      </c>
      <c r="U362" s="9" t="s">
        <v>22</v>
      </c>
      <c r="V362" s="9" t="s">
        <v>22</v>
      </c>
      <c r="W362" s="9" t="s">
        <v>22</v>
      </c>
      <c r="X362" s="31">
        <v>2022.49909394979</v>
      </c>
      <c r="Y362" s="27">
        <f>Table1[[#This Row],[Raw Terrestrial Score]]/Table1[[#This Row],[Summed Raw Scores]]</f>
        <v>0.14364110368419189</v>
      </c>
      <c r="Z362" s="31">
        <v>12057.7261485159</v>
      </c>
      <c r="AA362" s="27">
        <f>Table1[[#This Row],[Raw Freshwater Score]]/Table1[[#This Row],[Summed Raw Scores]]</f>
        <v>0.85635889631580819</v>
      </c>
      <c r="AB362" s="27">
        <f>Table1[[#This Row],[Raw Terrestrial Score]]+Table1[[#This Row],[Raw Freshwater Score]]</f>
        <v>14080.225242465689</v>
      </c>
      <c r="AC362" s="28">
        <f>Table1[[#This Row],[Terrestrial % of Summed Score]]*Table1[[#This Row],[Scaled Summed Score]]</f>
        <v>1.1992279291361893E-2</v>
      </c>
      <c r="AD362" s="28">
        <f>Table1[[#This Row],[Freshwater % of Summed Score]]*Table1[[#This Row],[Scaled Summed Score]]</f>
        <v>7.1495517612009285E-2</v>
      </c>
      <c r="AE362" s="29">
        <f>Table1[[#This Row],[Summed Raw Scores]]/MAX(Table1[Summed Raw Scores])</f>
        <v>8.3487796903371173E-2</v>
      </c>
    </row>
  </sheetData>
  <conditionalFormatting sqref="E2:AD205 T198:U360 S206:U322 S331:U360 AF2:AF197 H206:I322 L206:L322 O206:O360 Q206:Q360 X206:AD360 E323:N330 R323:S330 H331:I360 L331:L360">
    <cfRule type="containsText" dxfId="18" priority="21" operator="containsText" text="NA">
      <formula>NOT(ISERROR(SEARCH("NA",E2)))</formula>
    </cfRule>
  </conditionalFormatting>
  <conditionalFormatting sqref="J213 J238 J253:J254 J264 J271 J273 J290 J303 J307 J316">
    <cfRule type="containsText" dxfId="17" priority="1" operator="containsText" text="NA">
      <formula>NOT(ISERROR(SEARCH("NA",J213)))</formula>
    </cfRule>
    <cfRule type="containsBlanks" dxfId="16" priority="2">
      <formula>LEN(TRIM(J213))=0</formula>
    </cfRule>
  </conditionalFormatting>
  <conditionalFormatting sqref="J331:K335">
    <cfRule type="containsText" dxfId="15" priority="7" operator="containsText" text="NA">
      <formula>NOT(ISERROR(SEARCH("NA",J331)))</formula>
    </cfRule>
    <cfRule type="containsBlanks" dxfId="14" priority="8">
      <formula>LEN(TRIM(J331))=0</formula>
    </cfRule>
  </conditionalFormatting>
  <conditionalFormatting sqref="K213 K238 K253:K254 K264 K271 K273 K290 K303 K307 K316">
    <cfRule type="containsText" dxfId="13" priority="3" operator="containsText" text="NA">
      <formula>NOT(ISERROR(SEARCH("NA",K213)))</formula>
    </cfRule>
    <cfRule type="containsBlanks" dxfId="12" priority="4">
      <formula>LEN(TRIM(K213))=0</formula>
    </cfRule>
  </conditionalFormatting>
  <conditionalFormatting sqref="R2:W62 AF2:AF197 E2:S205 X2:AD362 U48:U79 T63:U79 V63:W197 U81:U92 T86:U91 T95:U197 H206:I322 L206:L322 S206:S322 O206:O360 Q206:Q360 E323:N330 R323:S330 H331:I360 L331:L360 S331:S360">
    <cfRule type="containsBlanks" dxfId="11" priority="23">
      <formula>LEN(TRIM(E2))=0</formula>
    </cfRule>
  </conditionalFormatting>
  <conditionalFormatting sqref="T1:U360 R198:T205 S206:T322 S331:T360 R361:W362 R363:T1048576">
    <cfRule type="beginsWith" dxfId="10" priority="19" operator="beginsWith" text="R">
      <formula>LEFT(R1,LEN("R"))="R"</formula>
    </cfRule>
  </conditionalFormatting>
  <conditionalFormatting sqref="T2:U360 R198:T205 S206:T322 S331:T360 R361:W362 R363:T1048576">
    <cfRule type="beginsWith" dxfId="9" priority="20" operator="beginsWith" text="P">
      <formula>LEFT(R2,LEN("P"))="P"</formula>
    </cfRule>
  </conditionalFormatting>
  <conditionalFormatting sqref="T198:U360">
    <cfRule type="containsBlanks" dxfId="8" priority="16">
      <formula>LEN(TRIM(T198))=0</formula>
    </cfRule>
  </conditionalFormatting>
  <conditionalFormatting sqref="T361:W362">
    <cfRule type="containsBlanks" dxfId="7" priority="13">
      <formula>LEN(TRIM(T361))=0</formula>
    </cfRule>
    <cfRule type="containsText" dxfId="6" priority="14" operator="containsText" text="NA">
      <formula>NOT(ISERROR(SEARCH("NA",T361)))</formula>
    </cfRule>
  </conditionalFormatting>
  <conditionalFormatting sqref="V198:W205">
    <cfRule type="containsBlanks" dxfId="5" priority="15">
      <formula>LEN(TRIM(V198))=0</formula>
    </cfRule>
  </conditionalFormatting>
  <conditionalFormatting sqref="V320:W360">
    <cfRule type="containsBlanks" dxfId="4" priority="9">
      <formula>LEN(TRIM(V320))=0</formula>
    </cfRule>
    <cfRule type="beginsWith" dxfId="3" priority="10" operator="beginsWith" text="R">
      <formula>LEFT(V320,LEN("R"))="R"</formula>
    </cfRule>
    <cfRule type="beginsWith" dxfId="2" priority="11" operator="beginsWith" text="P">
      <formula>LEFT(V320,LEN("P"))="P"</formula>
    </cfRule>
    <cfRule type="containsText" dxfId="1" priority="12" operator="containsText" text="NA">
      <formula>NOT(ISERROR(SEARCH("NA",V320)))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2025-02-22T02:42:07Z</dcterms:modified>
</cp:coreProperties>
</file>