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1 y G2" sheetId="1" r:id="rId4"/>
    <sheet state="visible" name="G3 y G4" sheetId="2" r:id="rId5"/>
    <sheet state="visible" name="G7" sheetId="3" r:id="rId6"/>
    <sheet state="visible" name="CotizacionesEmpresas" sheetId="4" r:id="rId7"/>
  </sheets>
  <definedNames>
    <definedName hidden="1" localSheetId="2" name="_xlnm._FilterDatabase">'G7'!$A$1:$J$11</definedName>
  </definedNames>
  <calcPr/>
</workbook>
</file>

<file path=xl/sharedStrings.xml><?xml version="1.0" encoding="utf-8"?>
<sst xmlns="http://schemas.openxmlformats.org/spreadsheetml/2006/main" count="89" uniqueCount="76">
  <si>
    <t>https://datosmacro.expansion.com/energia-y-medio-ambiente/emisiones-co2</t>
  </si>
  <si>
    <t>País</t>
  </si>
  <si>
    <t>Variación</t>
  </si>
  <si>
    <t>CO2 Totales Kt</t>
  </si>
  <si>
    <t>CO2 Totales Mt</t>
  </si>
  <si>
    <t xml:space="preserve">China </t>
  </si>
  <si>
    <t xml:space="preserve">Estados Unidos </t>
  </si>
  <si>
    <t xml:space="preserve">Japón </t>
  </si>
  <si>
    <t xml:space="preserve">Alemania </t>
  </si>
  <si>
    <t xml:space="preserve">Reino Unido </t>
  </si>
  <si>
    <t xml:space="preserve">Italia </t>
  </si>
  <si>
    <t xml:space="preserve">Francia </t>
  </si>
  <si>
    <t xml:space="preserve">España </t>
  </si>
  <si>
    <t xml:space="preserve">Emiratos Árabes Unidos </t>
  </si>
  <si>
    <t xml:space="preserve">Portugal </t>
  </si>
  <si>
    <t>Países</t>
  </si>
  <si>
    <t>CO2 Kg/1000$</t>
  </si>
  <si>
    <t>CO2 t per capita</t>
  </si>
  <si>
    <t>Var.</t>
  </si>
  <si>
    <t>China [+]</t>
  </si>
  <si>
    <t>12.466,316</t>
  </si>
  <si>
    <t>0,50</t>
  </si>
  <si>
    <t>8,73</t>
  </si>
  <si>
    <t>4,05%</t>
  </si>
  <si>
    <t>Estados Unidos [+]</t>
  </si>
  <si>
    <t>4.752,079</t>
  </si>
  <si>
    <t>0,23</t>
  </si>
  <si>
    <t>14,24</t>
  </si>
  <si>
    <t>5,70%</t>
  </si>
  <si>
    <t xml:space="preserve">India </t>
  </si>
  <si>
    <t>India [+]</t>
  </si>
  <si>
    <t>2.648,779</t>
  </si>
  <si>
    <t>0,28</t>
  </si>
  <si>
    <t>1,90</t>
  </si>
  <si>
    <t>9,41%</t>
  </si>
  <si>
    <t xml:space="preserve">Rusia </t>
  </si>
  <si>
    <t>Rusia [+]</t>
  </si>
  <si>
    <t>1.942,535</t>
  </si>
  <si>
    <t>0,48</t>
  </si>
  <si>
    <t>13,52</t>
  </si>
  <si>
    <t>8,18%</t>
  </si>
  <si>
    <t>Japón [+]</t>
  </si>
  <si>
    <t>1.084,691</t>
  </si>
  <si>
    <t>0,21</t>
  </si>
  <si>
    <t>8,60</t>
  </si>
  <si>
    <t>3,14%</t>
  </si>
  <si>
    <t xml:space="preserve">Irán </t>
  </si>
  <si>
    <t>Irán [+]</t>
  </si>
  <si>
    <t>0,54</t>
  </si>
  <si>
    <t>8,43</t>
  </si>
  <si>
    <t>2,01%</t>
  </si>
  <si>
    <t>Alemania [+]</t>
  </si>
  <si>
    <t>0,15</t>
  </si>
  <si>
    <t>8,06</t>
  </si>
  <si>
    <t>5,78%</t>
  </si>
  <si>
    <t xml:space="preserve">Corea del Sur </t>
  </si>
  <si>
    <t>Corea del Sur [+]</t>
  </si>
  <si>
    <t>0,27</t>
  </si>
  <si>
    <t>12,13</t>
  </si>
  <si>
    <t>3,21%</t>
  </si>
  <si>
    <t xml:space="preserve">Arabia Saudita </t>
  </si>
  <si>
    <t>Arabia Saudita [+]</t>
  </si>
  <si>
    <t>0,37</t>
  </si>
  <si>
    <t>16,63</t>
  </si>
  <si>
    <t>0,40%</t>
  </si>
  <si>
    <t xml:space="preserve">Canadá </t>
  </si>
  <si>
    <t>Canadá [+]</t>
  </si>
  <si>
    <t>0,31</t>
  </si>
  <si>
    <t>14,86</t>
  </si>
  <si>
    <t>1,88%</t>
  </si>
  <si>
    <t>Fecha</t>
  </si>
  <si>
    <t>Cotizacion A</t>
  </si>
  <si>
    <t>Volumen A</t>
  </si>
  <si>
    <t>Cotizacion B</t>
  </si>
  <si>
    <t>Volumen B</t>
  </si>
  <si>
    <t>Los datos siguientes corresponden a las cotizaciones de los valores de dos empresas y los volúmenes del mercado en un marco temporal de 11 días. Podemos representar en un mismo gráfico la evolución de la cotización (líneas) junto con los volúmenes de mercado para ser comparados(barras). Doble eje no muy recomendado.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</si>
</sst>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
  </numFmts>
  <fonts count="7">
    <font>
      <sz val="10.0"/>
      <color rgb="FF000000"/>
      <name val="Arial"/>
      <scheme val="minor"/>
    </font>
    <font>
      <u/>
      <color rgb="FF0000FF"/>
    </font>
    <font>
      <b/>
      <color theme="1"/>
      <name val="Arial"/>
      <scheme val="minor"/>
    </font>
    <font>
      <color theme="1"/>
      <name val="Arial"/>
      <scheme val="minor"/>
    </font>
    <font>
      <b/>
      <color rgb="FFFF0000"/>
      <name val="Arial"/>
      <scheme val="minor"/>
    </font>
    <font>
      <color rgb="FF0000FF"/>
      <name val="Arial"/>
      <scheme val="minor"/>
    </font>
    <font>
      <color rgb="FFFF0000"/>
      <name val="Arial"/>
      <scheme val="minor"/>
    </font>
  </fonts>
  <fills count="3">
    <fill>
      <patternFill patternType="none"/>
    </fill>
    <fill>
      <patternFill patternType="lightGray"/>
    </fill>
    <fill>
      <patternFill patternType="solid">
        <fgColor rgb="FFB7B7B7"/>
        <bgColor rgb="FFB7B7B7"/>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2" numFmtId="0" xfId="0" applyFont="1"/>
    <xf borderId="0" fillId="0" fontId="2" numFmtId="49" xfId="0" applyFont="1" applyNumberFormat="1"/>
    <xf borderId="0" fillId="0" fontId="2" numFmtId="3" xfId="0" applyAlignment="1" applyFont="1" applyNumberFormat="1">
      <alignment readingOrder="0"/>
    </xf>
    <xf borderId="0" fillId="0" fontId="3" numFmtId="0" xfId="0" applyFont="1"/>
    <xf borderId="0" fillId="0" fontId="3" numFmtId="49" xfId="0" applyFont="1" applyNumberFormat="1"/>
    <xf borderId="0" fillId="0" fontId="3" numFmtId="3" xfId="0" applyFont="1" applyNumberFormat="1"/>
    <xf borderId="0" fillId="0" fontId="3" numFmtId="0" xfId="0" applyAlignment="1" applyFont="1">
      <alignment readingOrder="0"/>
    </xf>
    <xf borderId="0" fillId="0" fontId="3" numFmtId="3" xfId="0" applyAlignment="1" applyFont="1" applyNumberFormat="1">
      <alignment readingOrder="0"/>
    </xf>
    <xf borderId="0" fillId="2" fontId="2" numFmtId="0" xfId="0" applyAlignment="1" applyFill="1" applyFont="1">
      <alignment horizontal="left" readingOrder="0" vertical="bottom"/>
    </xf>
    <xf borderId="0" fillId="2" fontId="4" numFmtId="0" xfId="0" applyAlignment="1" applyFont="1">
      <alignment horizontal="left" readingOrder="0" vertical="bottom"/>
    </xf>
    <xf borderId="0" fillId="0" fontId="3" numFmtId="164" xfId="0" applyAlignment="1" applyFont="1" applyNumberFormat="1">
      <alignment horizontal="center" readingOrder="0" vertical="bottom"/>
    </xf>
    <xf borderId="0" fillId="0" fontId="5" numFmtId="0" xfId="0" applyAlignment="1" applyFont="1">
      <alignment horizontal="right" readingOrder="0" vertical="bottom"/>
    </xf>
    <xf borderId="0" fillId="0" fontId="6" numFmtId="0" xfId="0" applyAlignment="1" applyFont="1">
      <alignment horizontal="right" readingOrder="0" vertical="bottom"/>
    </xf>
    <xf borderId="0" fillId="0" fontId="3" numFmtId="0" xfId="0" applyAlignment="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CO2 Totales Mt vs. País</a:t>
            </a:r>
          </a:p>
        </c:rich>
      </c:tx>
      <c:overlay val="0"/>
    </c:title>
    <c:plotArea>
      <c:layout/>
      <c:pieChart>
        <c:varyColors val="1"/>
        <c:ser>
          <c:idx val="0"/>
          <c:order val="0"/>
          <c:tx>
            <c:strRef>
              <c:f>'G1 y G2'!$J$1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Lbls>
            <c:showLegendKey val="0"/>
            <c:showVal val="1"/>
            <c:showCatName val="0"/>
            <c:showSerName val="0"/>
            <c:showPercent val="0"/>
            <c:showBubbleSize val="0"/>
            <c:showLeaderLines val="1"/>
          </c:dLbls>
          <c:cat>
            <c:strRef>
              <c:f>'G1 y G2'!$B$2:$B$11</c:f>
            </c:strRef>
          </c:cat>
          <c:val>
            <c:numRef>
              <c:f>'G1 y G2'!$J$2:$J$11</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CO2 Totales Mt vs. País</a:t>
            </a:r>
          </a:p>
        </c:rich>
      </c:tx>
      <c:overlay val="0"/>
    </c:title>
    <c:plotArea>
      <c:layout/>
      <c:barChart>
        <c:barDir val="col"/>
        <c:ser>
          <c:idx val="0"/>
          <c:order val="0"/>
          <c:tx>
            <c:strRef>
              <c:f>'G1 y G2'!$J$1</c:f>
            </c:strRef>
          </c:tx>
          <c:spPr>
            <a:solidFill>
              <a:schemeClr val="accent1"/>
            </a:solidFill>
            <a:ln cmpd="sng">
              <a:solidFill>
                <a:srgbClr val="000000"/>
              </a:solidFill>
            </a:ln>
          </c:spPr>
          <c:cat>
            <c:strRef>
              <c:f>'G1 y G2'!$B$2:$B$11</c:f>
            </c:strRef>
          </c:cat>
          <c:val>
            <c:numRef>
              <c:f>'G1 y G2'!$J$2:$J$11</c:f>
              <c:numCache/>
            </c:numRef>
          </c:val>
        </c:ser>
        <c:axId val="143971337"/>
        <c:axId val="1220681479"/>
      </c:barChart>
      <c:catAx>
        <c:axId val="1439713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País</a:t>
                </a:r>
              </a:p>
            </c:rich>
          </c:tx>
          <c:overlay val="0"/>
        </c:title>
        <c:numFmt formatCode="General" sourceLinked="1"/>
        <c:majorTickMark val="none"/>
        <c:minorTickMark val="none"/>
        <c:spPr/>
        <c:txPr>
          <a:bodyPr/>
          <a:lstStyle/>
          <a:p>
            <a:pPr lvl="0">
              <a:defRPr b="0">
                <a:solidFill>
                  <a:srgbClr val="000000"/>
                </a:solidFill>
                <a:latin typeface="+mn-lt"/>
              </a:defRPr>
            </a:pPr>
          </a:p>
        </c:txPr>
        <c:crossAx val="1220681479"/>
      </c:catAx>
      <c:valAx>
        <c:axId val="12206814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CO2 Totales Mt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3971337"/>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CO2 Totales Mt vs. País</a:t>
            </a:r>
          </a:p>
        </c:rich>
      </c:tx>
      <c:overlay val="0"/>
    </c:title>
    <c:plotArea>
      <c:layout/>
      <c:barChart>
        <c:barDir val="col"/>
        <c:ser>
          <c:idx val="0"/>
          <c:order val="0"/>
          <c:tx>
            <c:strRef>
              <c:f>'G3 y G4'!$C$1</c:f>
            </c:strRef>
          </c:tx>
          <c:spPr>
            <a:solidFill>
              <a:schemeClr val="accent1"/>
            </a:solidFill>
            <a:ln cmpd="sng">
              <a:solidFill>
                <a:srgbClr val="000000"/>
              </a:solidFill>
            </a:ln>
          </c:spPr>
          <c:dLbls>
            <c:numFmt formatCode="0" sourceLinked="0"/>
            <c:txPr>
              <a:bodyPr/>
              <a:lstStyle/>
              <a:p>
                <a:pPr lvl="0">
                  <a:defRPr/>
                </a:pPr>
              </a:p>
            </c:txPr>
            <c:showLegendKey val="0"/>
            <c:showVal val="1"/>
            <c:showCatName val="0"/>
            <c:showSerName val="0"/>
            <c:showPercent val="0"/>
            <c:showBubbleSize val="0"/>
          </c:dLbls>
          <c:cat>
            <c:strRef>
              <c:f>'G3 y G4'!$A$2:$A$11</c:f>
            </c:strRef>
          </c:cat>
          <c:val>
            <c:numRef>
              <c:f>'G3 y G4'!$C$2:$C$11</c:f>
              <c:numCache/>
            </c:numRef>
          </c:val>
        </c:ser>
        <c:axId val="1510315278"/>
        <c:axId val="339833575"/>
      </c:barChart>
      <c:catAx>
        <c:axId val="151031527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País</a:t>
                </a:r>
              </a:p>
            </c:rich>
          </c:tx>
          <c:overlay val="0"/>
        </c:title>
        <c:numFmt formatCode="General" sourceLinked="1"/>
        <c:majorTickMark val="none"/>
        <c:minorTickMark val="none"/>
        <c:spPr/>
        <c:txPr>
          <a:bodyPr/>
          <a:lstStyle/>
          <a:p>
            <a:pPr lvl="0">
              <a:defRPr b="0">
                <a:solidFill>
                  <a:srgbClr val="000000"/>
                </a:solidFill>
                <a:latin typeface="+mn-lt"/>
              </a:defRPr>
            </a:pPr>
          </a:p>
        </c:txPr>
        <c:crossAx val="339833575"/>
      </c:catAx>
      <c:valAx>
        <c:axId val="33983357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CO2 Totales Mt</a:t>
                </a:r>
              </a:p>
            </c:rich>
          </c:tx>
          <c:overlay val="0"/>
        </c:title>
        <c:numFmt formatCode="0" sourceLinked="0"/>
        <c:majorTickMark val="none"/>
        <c:minorTickMark val="none"/>
        <c:tickLblPos val="nextTo"/>
        <c:spPr>
          <a:ln/>
        </c:spPr>
        <c:txPr>
          <a:bodyPr/>
          <a:lstStyle/>
          <a:p>
            <a:pPr lvl="0">
              <a:defRPr b="0">
                <a:solidFill>
                  <a:srgbClr val="000000"/>
                </a:solidFill>
                <a:latin typeface="+mn-lt"/>
              </a:defRPr>
            </a:pPr>
          </a:p>
        </c:txPr>
        <c:crossAx val="1510315278"/>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CO2 Totales Mt vs. País</a:t>
            </a:r>
          </a:p>
        </c:rich>
      </c:tx>
      <c:overlay val="0"/>
    </c:title>
    <c:plotArea>
      <c:layout/>
      <c:barChart>
        <c:barDir val="bar"/>
        <c:ser>
          <c:idx val="0"/>
          <c:order val="0"/>
          <c:tx>
            <c:strRef>
              <c:f>'G3 y G4'!$B$1</c:f>
            </c:strRef>
          </c:tx>
          <c:spPr>
            <a:solidFill>
              <a:schemeClr val="accent1"/>
            </a:solidFill>
            <a:ln cmpd="sng">
              <a:solidFill>
                <a:srgbClr val="000000"/>
              </a:solidFill>
            </a:ln>
          </c:spPr>
          <c:dPt>
            <c:idx val="7"/>
            <c:spPr>
              <a:solidFill>
                <a:srgbClr val="FF0000"/>
              </a:solidFill>
              <a:ln cmpd="sng">
                <a:solidFill>
                  <a:srgbClr val="000000"/>
                </a:solidFill>
              </a:ln>
            </c:spPr>
          </c:dPt>
          <c:dLbls>
            <c:numFmt formatCode="0" sourceLinked="0"/>
            <c:txPr>
              <a:bodyPr/>
              <a:lstStyle/>
              <a:p>
                <a:pPr lvl="0">
                  <a:defRPr/>
                </a:pPr>
              </a:p>
            </c:txPr>
            <c:showLegendKey val="0"/>
            <c:showVal val="1"/>
            <c:showCatName val="0"/>
            <c:showSerName val="0"/>
            <c:showPercent val="0"/>
            <c:showBubbleSize val="0"/>
          </c:dLbls>
          <c:cat>
            <c:strRef>
              <c:f>'G3 y G4'!$A$2:$A$11</c:f>
            </c:strRef>
          </c:cat>
          <c:val>
            <c:numRef>
              <c:f>'G3 y G4'!$B$2:$B$11</c:f>
              <c:numCache/>
            </c:numRef>
          </c:val>
        </c:ser>
        <c:ser>
          <c:idx val="1"/>
          <c:order val="1"/>
          <c:tx>
            <c:strRef>
              <c:f>'G3 y G4'!$C$1</c:f>
            </c:strRef>
          </c:tx>
          <c:spPr>
            <a:solidFill>
              <a:schemeClr val="accent2"/>
            </a:solidFill>
            <a:ln cmpd="sng">
              <a:solidFill>
                <a:srgbClr val="000000"/>
              </a:solidFill>
            </a:ln>
          </c:spPr>
          <c:cat>
            <c:strRef>
              <c:f>'G3 y G4'!$A$2:$A$11</c:f>
            </c:strRef>
          </c:cat>
          <c:val>
            <c:numRef>
              <c:f>'G3 y G4'!$C$2:$C$11</c:f>
              <c:numCache/>
            </c:numRef>
          </c:val>
        </c:ser>
        <c:axId val="1236448890"/>
        <c:axId val="2001110093"/>
      </c:barChart>
      <c:catAx>
        <c:axId val="123644889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País</a:t>
                </a:r>
              </a:p>
            </c:rich>
          </c:tx>
          <c:overlay val="0"/>
        </c:title>
        <c:numFmt formatCode="General" sourceLinked="1"/>
        <c:majorTickMark val="none"/>
        <c:minorTickMark val="none"/>
        <c:spPr/>
        <c:txPr>
          <a:bodyPr/>
          <a:lstStyle/>
          <a:p>
            <a:pPr lvl="0">
              <a:defRPr b="0">
                <a:solidFill>
                  <a:srgbClr val="000000"/>
                </a:solidFill>
                <a:latin typeface="+mn-lt"/>
              </a:defRPr>
            </a:pPr>
          </a:p>
        </c:txPr>
        <c:crossAx val="2001110093"/>
      </c:catAx>
      <c:valAx>
        <c:axId val="200111009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CO2 Totales Mt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36448890"/>
        <c:crosses val="max"/>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Cotizacion A, Volumen A, Cotizacion B and Volumen B</a:t>
            </a:r>
          </a:p>
        </c:rich>
      </c:tx>
      <c:overlay val="0"/>
    </c:title>
    <c:plotArea>
      <c:layout/>
      <c:lineChart>
        <c:ser>
          <c:idx val="0"/>
          <c:order val="0"/>
          <c:tx>
            <c:strRef>
              <c:f>CotizacionesEmpresas!$B$1</c:f>
            </c:strRef>
          </c:tx>
          <c:spPr>
            <a:ln cmpd="sng">
              <a:solidFill>
                <a:srgbClr val="3C78D8"/>
              </a:solidFill>
            </a:ln>
          </c:spPr>
          <c:marker>
            <c:symbol val="none"/>
          </c:marker>
          <c:dPt>
            <c:idx val="0"/>
            <c:marker>
              <c:symbol val="none"/>
            </c:marker>
          </c:dPt>
          <c:cat>
            <c:strRef>
              <c:f>CotizacionesEmpresas!$A$2:$A$12</c:f>
            </c:strRef>
          </c:cat>
          <c:val>
            <c:numRef>
              <c:f>CotizacionesEmpresas!$B$2:$B$12</c:f>
              <c:numCache/>
            </c:numRef>
          </c:val>
          <c:smooth val="0"/>
        </c:ser>
        <c:ser>
          <c:idx val="2"/>
          <c:order val="2"/>
          <c:tx>
            <c:strRef>
              <c:f>CotizacionesEmpresas!$D$1</c:f>
            </c:strRef>
          </c:tx>
          <c:spPr>
            <a:ln cmpd="sng">
              <a:solidFill>
                <a:srgbClr val="F1C232"/>
              </a:solidFill>
            </a:ln>
          </c:spPr>
          <c:marker>
            <c:symbol val="none"/>
          </c:marker>
          <c:cat>
            <c:strRef>
              <c:f>CotizacionesEmpresas!$A$2:$A$12</c:f>
            </c:strRef>
          </c:cat>
          <c:val>
            <c:numRef>
              <c:f>CotizacionesEmpresas!$D$2:$D$12</c:f>
              <c:numCache/>
            </c:numRef>
          </c:val>
          <c:smooth val="0"/>
        </c:ser>
        <c:axId val="215498311"/>
        <c:axId val="1505469754"/>
      </c:lineChart>
      <c:catAx>
        <c:axId val="21549831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Fecha</a:t>
                </a:r>
              </a:p>
            </c:rich>
          </c:tx>
          <c:overlay val="0"/>
        </c:title>
        <c:numFmt formatCode="General" sourceLinked="1"/>
        <c:majorTickMark val="none"/>
        <c:minorTickMark val="none"/>
        <c:spPr/>
        <c:txPr>
          <a:bodyPr rot="-1800000"/>
          <a:lstStyle/>
          <a:p>
            <a:pPr lvl="0">
              <a:defRPr b="0">
                <a:solidFill>
                  <a:srgbClr val="000000"/>
                </a:solidFill>
                <a:latin typeface="+mn-lt"/>
              </a:defRPr>
            </a:pPr>
          </a:p>
        </c:txPr>
        <c:crossAx val="1505469754"/>
      </c:catAx>
      <c:valAx>
        <c:axId val="15054697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5498311"/>
      </c:valAx>
      <c:barChart>
        <c:barDir val="col"/>
        <c:ser>
          <c:idx val="1"/>
          <c:order val="1"/>
          <c:tx>
            <c:strRef>
              <c:f>CotizacionesEmpresas!$C$1</c:f>
            </c:strRef>
          </c:tx>
          <c:spPr>
            <a:solidFill>
              <a:srgbClr val="3C78D8"/>
            </a:solidFill>
            <a:ln cmpd="sng">
              <a:solidFill>
                <a:srgbClr val="000000"/>
              </a:solidFill>
            </a:ln>
          </c:spPr>
          <c:cat>
            <c:strRef>
              <c:f>CotizacionesEmpresas!$A$2:$A$12</c:f>
            </c:strRef>
          </c:cat>
          <c:val>
            <c:numRef>
              <c:f>CotizacionesEmpresas!$C$2:$C$12</c:f>
              <c:numCache/>
            </c:numRef>
          </c:val>
        </c:ser>
        <c:ser>
          <c:idx val="3"/>
          <c:order val="3"/>
          <c:tx>
            <c:strRef>
              <c:f>CotizacionesEmpresas!$E$1</c:f>
            </c:strRef>
          </c:tx>
          <c:spPr>
            <a:solidFill>
              <a:srgbClr val="F1C232"/>
            </a:solidFill>
            <a:ln cmpd="sng">
              <a:solidFill>
                <a:srgbClr val="000000"/>
              </a:solidFill>
            </a:ln>
          </c:spPr>
          <c:cat>
            <c:strRef>
              <c:f>CotizacionesEmpresas!$A$2:$A$12</c:f>
            </c:strRef>
          </c:cat>
          <c:val>
            <c:numRef>
              <c:f>CotizacionesEmpresas!$E$2:$E$12</c:f>
              <c:numCache/>
            </c:numRef>
          </c:val>
        </c:ser>
        <c:axId val="886114595"/>
        <c:axId val="978960849"/>
      </c:barChart>
      <c:catAx>
        <c:axId val="886114595"/>
        <c:scaling>
          <c:orientation val="minMax"/>
        </c:scaling>
        <c:delete val="1"/>
        <c:axPos val="b"/>
        <c:numFmt formatCode="General" sourceLinked="1"/>
        <c:majorTickMark val="none"/>
        <c:minorTickMark val="none"/>
        <c:spPr/>
        <c:txPr>
          <a:bodyPr rot="-1800000"/>
          <a:lstStyle/>
          <a:p>
            <a:pPr lvl="0">
              <a:defRPr b="0">
                <a:solidFill>
                  <a:srgbClr val="000000"/>
                </a:solidFill>
                <a:latin typeface="+mn-lt"/>
              </a:defRPr>
            </a:pPr>
          </a:p>
        </c:txPr>
        <c:crossAx val="978960849"/>
      </c:catAx>
      <c:valAx>
        <c:axId val="978960849"/>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86114595"/>
        <c:crosses val="max"/>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0</xdr:colOff>
      <xdr:row>0</xdr:row>
      <xdr:rowOff>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11</xdr:col>
      <xdr:colOff>0</xdr:colOff>
      <xdr:row>18</xdr:row>
      <xdr:rowOff>76200</xdr:rowOff>
    </xdr:from>
    <xdr:ext cx="5715000" cy="43338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0</xdr:row>
      <xdr:rowOff>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0</xdr:colOff>
      <xdr:row>18</xdr:row>
      <xdr:rowOff>190500</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942975</xdr:colOff>
      <xdr:row>0</xdr:row>
      <xdr:rowOff>0</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atosmacro.expansion.com/energia-y-medio-ambiente/emisiones-co2"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atosmacro.expansion.com/energia-y-medio-ambiente/emisiones-co2"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3" max="3" width="12.63"/>
    <col hidden="1" min="7" max="7" width="12.63"/>
  </cols>
  <sheetData>
    <row r="1">
      <c r="A1" s="1" t="s">
        <v>0</v>
      </c>
      <c r="B1" s="2" t="s">
        <v>1</v>
      </c>
      <c r="C1" s="3" t="str">
        <f>IFERROR(__xludf.DUMMYFUNCTION("IMPORTXML(A1,""//table[1]/thead/tr"")"),"Países")</f>
        <v>Países</v>
      </c>
      <c r="D1" s="4" t="str">
        <f>IFERROR(__xludf.DUMMYFUNCTION("""COMPUTED_VALUE"""),"CO2 Totales Mt")</f>
        <v>CO2 Totales Mt</v>
      </c>
      <c r="E1" s="3" t="str">
        <f>IFERROR(__xludf.DUMMYFUNCTION("""COMPUTED_VALUE"""),"CO2 Kg/1000$")</f>
        <v>CO2 Kg/1000$</v>
      </c>
      <c r="F1" s="3" t="str">
        <f>IFERROR(__xludf.DUMMYFUNCTION("""COMPUTED_VALUE"""),"CO2 t per capita")</f>
        <v>CO2 t per capita</v>
      </c>
      <c r="G1" s="3" t="str">
        <f>IFERROR(__xludf.DUMMYFUNCTION("""COMPUTED_VALUE"""),"Var.")</f>
        <v>Var.</v>
      </c>
      <c r="H1" s="2" t="s">
        <v>2</v>
      </c>
      <c r="I1" s="2" t="s">
        <v>3</v>
      </c>
      <c r="J1" s="5" t="s">
        <v>4</v>
      </c>
    </row>
    <row r="2">
      <c r="B2" s="6" t="str">
        <f t="shared" ref="B2:B185" si="1">SUBSTITUTE(C2,"[+]","")</f>
        <v>España </v>
      </c>
      <c r="C2" s="6" t="str">
        <f>IFERROR(__xludf.DUMMYFUNCTION("IMPORTXML(A1,""//table[1]/tbody/tr"")"),"España [+]")</f>
        <v>España [+]</v>
      </c>
      <c r="D2" s="7">
        <f>IFERROR(__xludf.DUMMYFUNCTION("""COMPUTED_VALUE"""),231914.0)</f>
        <v>231914</v>
      </c>
      <c r="E2" s="6" t="str">
        <f>IFERROR(__xludf.DUMMYFUNCTION("""COMPUTED_VALUE"""),"0,13")</f>
        <v>0,13</v>
      </c>
      <c r="F2" s="6" t="str">
        <f>IFERROR(__xludf.DUMMYFUNCTION("""COMPUTED_VALUE"""),"4,99")</f>
        <v>4,99</v>
      </c>
      <c r="G2" s="6"/>
      <c r="H2" s="6" t="str">
        <f>IFERROR(__xludf.DUMMYFUNCTION("""COMPUTED_VALUE"""),"9,18%")</f>
        <v>9,18%</v>
      </c>
      <c r="I2" s="8">
        <f t="shared" ref="I2:I185" si="2">SUBSTITUTE(D2,".","")+0</f>
        <v>231914</v>
      </c>
      <c r="J2" s="8">
        <f t="shared" ref="J2:J185" si="3">I2/1000</f>
        <v>231.914</v>
      </c>
    </row>
    <row r="3">
      <c r="B3" s="6" t="str">
        <f t="shared" si="1"/>
        <v>Alemania </v>
      </c>
      <c r="C3" s="6" t="str">
        <f>IFERROR(__xludf.DUMMYFUNCTION("""COMPUTED_VALUE"""),"Alemania [+]")</f>
        <v>Alemania [+]</v>
      </c>
      <c r="D3" s="7">
        <f>IFERROR(__xludf.DUMMYFUNCTION("""COMPUTED_VALUE"""),665884.0)</f>
        <v>665884</v>
      </c>
      <c r="E3" s="6" t="str">
        <f>IFERROR(__xludf.DUMMYFUNCTION("""COMPUTED_VALUE"""),"0,15")</f>
        <v>0,15</v>
      </c>
      <c r="F3" s="6" t="str">
        <f>IFERROR(__xludf.DUMMYFUNCTION("""COMPUTED_VALUE"""),"8,06")</f>
        <v>8,06</v>
      </c>
      <c r="G3" s="6"/>
      <c r="H3" s="6" t="str">
        <f>IFERROR(__xludf.DUMMYFUNCTION("""COMPUTED_VALUE"""),"5,78%")</f>
        <v>5,78%</v>
      </c>
      <c r="I3" s="8">
        <f t="shared" si="2"/>
        <v>665884</v>
      </c>
      <c r="J3" s="8">
        <f t="shared" si="3"/>
        <v>665.884</v>
      </c>
    </row>
    <row r="4">
      <c r="B4" s="6" t="str">
        <f t="shared" si="1"/>
        <v>Reino Unido </v>
      </c>
      <c r="C4" s="6" t="str">
        <f>IFERROR(__xludf.DUMMYFUNCTION("""COMPUTED_VALUE"""),"Reino Unido [+]")</f>
        <v>Reino Unido [+]</v>
      </c>
      <c r="D4" s="7">
        <f>IFERROR(__xludf.DUMMYFUNCTION("""COMPUTED_VALUE"""),335363.0)</f>
        <v>335363</v>
      </c>
      <c r="E4" s="6" t="str">
        <f>IFERROR(__xludf.DUMMYFUNCTION("""COMPUTED_VALUE"""),"0,11")</f>
        <v>0,11</v>
      </c>
      <c r="F4" s="6" t="str">
        <f>IFERROR(__xludf.DUMMYFUNCTION("""COMPUTED_VALUE"""),"4,95")</f>
        <v>4,95</v>
      </c>
      <c r="G4" s="6"/>
      <c r="H4" s="6" t="str">
        <f>IFERROR(__xludf.DUMMYFUNCTION("""COMPUTED_VALUE"""),"4,59%")</f>
        <v>4,59%</v>
      </c>
      <c r="I4" s="8">
        <f t="shared" si="2"/>
        <v>335363</v>
      </c>
      <c r="J4" s="8">
        <f t="shared" si="3"/>
        <v>335.363</v>
      </c>
    </row>
    <row r="5">
      <c r="B5" s="6" t="str">
        <f t="shared" si="1"/>
        <v>Francia </v>
      </c>
      <c r="C5" s="6" t="str">
        <f>IFERROR(__xludf.DUMMYFUNCTION("""COMPUTED_VALUE"""),"Francia [+]")</f>
        <v>Francia [+]</v>
      </c>
      <c r="D5" s="7">
        <f>IFERROR(__xludf.DUMMYFUNCTION("""COMPUTED_VALUE"""),302327.0)</f>
        <v>302327</v>
      </c>
      <c r="E5" s="6" t="str">
        <f>IFERROR(__xludf.DUMMYFUNCTION("""COMPUTED_VALUE"""),"0,10")</f>
        <v>0,10</v>
      </c>
      <c r="F5" s="6" t="str">
        <f>IFERROR(__xludf.DUMMYFUNCTION("""COMPUTED_VALUE"""),"4,58")</f>
        <v>4,58</v>
      </c>
      <c r="G5" s="6"/>
      <c r="H5" s="6" t="str">
        <f>IFERROR(__xludf.DUMMYFUNCTION("""COMPUTED_VALUE"""),"7,88%")</f>
        <v>7,88%</v>
      </c>
      <c r="I5" s="8">
        <f t="shared" si="2"/>
        <v>302327</v>
      </c>
      <c r="J5" s="8">
        <f t="shared" si="3"/>
        <v>302.327</v>
      </c>
    </row>
    <row r="6">
      <c r="B6" s="6" t="str">
        <f t="shared" si="1"/>
        <v>Italia </v>
      </c>
      <c r="C6" s="6" t="str">
        <f>IFERROR(__xludf.DUMMYFUNCTION("""COMPUTED_VALUE"""),"Italia [+]")</f>
        <v>Italia [+]</v>
      </c>
      <c r="D6" s="7">
        <f>IFERROR(__xludf.DUMMYFUNCTION("""COMPUTED_VALUE"""),319669.0)</f>
        <v>319669</v>
      </c>
      <c r="E6" s="6" t="str">
        <f>IFERROR(__xludf.DUMMYFUNCTION("""COMPUTED_VALUE"""),"0,13")</f>
        <v>0,13</v>
      </c>
      <c r="F6" s="6" t="str">
        <f>IFERROR(__xludf.DUMMYFUNCTION("""COMPUTED_VALUE"""),"5,41")</f>
        <v>5,41</v>
      </c>
      <c r="G6" s="6"/>
      <c r="H6" s="6" t="str">
        <f>IFERROR(__xludf.DUMMYFUNCTION("""COMPUTED_VALUE"""),"8,38%")</f>
        <v>8,38%</v>
      </c>
      <c r="I6" s="8">
        <f t="shared" si="2"/>
        <v>319669</v>
      </c>
      <c r="J6" s="8">
        <f t="shared" si="3"/>
        <v>319.669</v>
      </c>
    </row>
    <row r="7">
      <c r="B7" s="6" t="str">
        <f t="shared" si="1"/>
        <v>Portugal </v>
      </c>
      <c r="C7" s="6" t="str">
        <f>IFERROR(__xludf.DUMMYFUNCTION("""COMPUTED_VALUE"""),"Portugal [+]")</f>
        <v>Portugal [+]</v>
      </c>
      <c r="D7" s="7">
        <f>IFERROR(__xludf.DUMMYFUNCTION("""COMPUTED_VALUE"""),38677.0)</f>
        <v>38677</v>
      </c>
      <c r="E7" s="6" t="str">
        <f>IFERROR(__xludf.DUMMYFUNCTION("""COMPUTED_VALUE"""),"0,11")</f>
        <v>0,11</v>
      </c>
      <c r="F7" s="6" t="str">
        <f>IFERROR(__xludf.DUMMYFUNCTION("""COMPUTED_VALUE"""),"3,80")</f>
        <v>3,80</v>
      </c>
      <c r="G7" s="6"/>
      <c r="H7" s="6" t="str">
        <f>IFERROR(__xludf.DUMMYFUNCTION("""COMPUTED_VALUE"""),"-1,94%")</f>
        <v>-1,94%</v>
      </c>
      <c r="I7" s="8">
        <f t="shared" si="2"/>
        <v>38677</v>
      </c>
      <c r="J7" s="8">
        <f t="shared" si="3"/>
        <v>38.677</v>
      </c>
    </row>
    <row r="8">
      <c r="B8" s="6" t="str">
        <f t="shared" si="1"/>
        <v>Estados Unidos </v>
      </c>
      <c r="C8" s="6" t="str">
        <f>IFERROR(__xludf.DUMMYFUNCTION("""COMPUTED_VALUE"""),"Estados Unidos [+]")</f>
        <v>Estados Unidos [+]</v>
      </c>
      <c r="D8" s="7" t="str">
        <f>IFERROR(__xludf.DUMMYFUNCTION("""COMPUTED_VALUE"""),"4.752,079")</f>
        <v>4.752,079</v>
      </c>
      <c r="E8" s="6" t="str">
        <f>IFERROR(__xludf.DUMMYFUNCTION("""COMPUTED_VALUE"""),"0,23")</f>
        <v>0,23</v>
      </c>
      <c r="F8" s="6" t="str">
        <f>IFERROR(__xludf.DUMMYFUNCTION("""COMPUTED_VALUE"""),"14,24")</f>
        <v>14,24</v>
      </c>
      <c r="G8" s="6"/>
      <c r="H8" s="6" t="str">
        <f>IFERROR(__xludf.DUMMYFUNCTION("""COMPUTED_VALUE"""),"5,70%")</f>
        <v>5,70%</v>
      </c>
      <c r="I8" s="8">
        <f t="shared" si="2"/>
        <v>4752079</v>
      </c>
      <c r="J8" s="8">
        <f t="shared" si="3"/>
        <v>4752.079</v>
      </c>
    </row>
    <row r="9">
      <c r="B9" s="6" t="str">
        <f t="shared" si="1"/>
        <v>Japón </v>
      </c>
      <c r="C9" s="6" t="str">
        <f>IFERROR(__xludf.DUMMYFUNCTION("""COMPUTED_VALUE"""),"Japón [+]")</f>
        <v>Japón [+]</v>
      </c>
      <c r="D9" s="7" t="str">
        <f>IFERROR(__xludf.DUMMYFUNCTION("""COMPUTED_VALUE"""),"1.084,691")</f>
        <v>1.084,691</v>
      </c>
      <c r="E9" s="6" t="str">
        <f>IFERROR(__xludf.DUMMYFUNCTION("""COMPUTED_VALUE"""),"0,21")</f>
        <v>0,21</v>
      </c>
      <c r="F9" s="6" t="str">
        <f>IFERROR(__xludf.DUMMYFUNCTION("""COMPUTED_VALUE"""),"8,60")</f>
        <v>8,60</v>
      </c>
      <c r="G9" s="6"/>
      <c r="H9" s="6" t="str">
        <f>IFERROR(__xludf.DUMMYFUNCTION("""COMPUTED_VALUE"""),"3,14%")</f>
        <v>3,14%</v>
      </c>
      <c r="I9" s="8">
        <f t="shared" si="2"/>
        <v>1084691</v>
      </c>
      <c r="J9" s="8">
        <f t="shared" si="3"/>
        <v>1084.691</v>
      </c>
    </row>
    <row r="10">
      <c r="B10" s="6" t="str">
        <f t="shared" si="1"/>
        <v>China </v>
      </c>
      <c r="C10" s="6" t="str">
        <f>IFERROR(__xludf.DUMMYFUNCTION("""COMPUTED_VALUE"""),"China [+]")</f>
        <v>China [+]</v>
      </c>
      <c r="D10" s="7" t="str">
        <f>IFERROR(__xludf.DUMMYFUNCTION("""COMPUTED_VALUE"""),"12.466,316")</f>
        <v>12.466,316</v>
      </c>
      <c r="E10" s="6" t="str">
        <f>IFERROR(__xludf.DUMMYFUNCTION("""COMPUTED_VALUE"""),"0,50")</f>
        <v>0,50</v>
      </c>
      <c r="F10" s="6" t="str">
        <f>IFERROR(__xludf.DUMMYFUNCTION("""COMPUTED_VALUE"""),"8,73")</f>
        <v>8,73</v>
      </c>
      <c r="G10" s="6"/>
      <c r="H10" s="6" t="str">
        <f>IFERROR(__xludf.DUMMYFUNCTION("""COMPUTED_VALUE"""),"4,05%")</f>
        <v>4,05%</v>
      </c>
      <c r="I10" s="8">
        <f t="shared" si="2"/>
        <v>12466316</v>
      </c>
      <c r="J10" s="8">
        <f t="shared" si="3"/>
        <v>12466.316</v>
      </c>
    </row>
    <row r="11">
      <c r="B11" s="6" t="str">
        <f t="shared" si="1"/>
        <v>Emiratos Árabes Unidos </v>
      </c>
      <c r="C11" s="6" t="str">
        <f>IFERROR(__xludf.DUMMYFUNCTION("""COMPUTED_VALUE"""),"Emiratos Árabes Unidos [+]")</f>
        <v>Emiratos Árabes Unidos [+]</v>
      </c>
      <c r="D11" s="7">
        <f>IFERROR(__xludf.DUMMYFUNCTION("""COMPUTED_VALUE"""),193507.0)</f>
        <v>193507</v>
      </c>
      <c r="E11" s="6" t="str">
        <f>IFERROR(__xludf.DUMMYFUNCTION("""COMPUTED_VALUE"""),"0,30")</f>
        <v>0,30</v>
      </c>
      <c r="F11" s="6" t="str">
        <f>IFERROR(__xludf.DUMMYFUNCTION("""COMPUTED_VALUE"""),"19,47")</f>
        <v>19,47</v>
      </c>
      <c r="G11" s="6"/>
      <c r="H11" s="6" t="str">
        <f>IFERROR(__xludf.DUMMYFUNCTION("""COMPUTED_VALUE"""),"0,93%")</f>
        <v>0,93%</v>
      </c>
      <c r="I11" s="8">
        <f t="shared" si="2"/>
        <v>193507</v>
      </c>
      <c r="J11" s="8">
        <f t="shared" si="3"/>
        <v>193.507</v>
      </c>
    </row>
    <row r="12">
      <c r="B12" s="6" t="str">
        <f t="shared" si="1"/>
        <v>Afganistán </v>
      </c>
      <c r="C12" s="6" t="str">
        <f>IFERROR(__xludf.DUMMYFUNCTION("""COMPUTED_VALUE"""),"Afganistán [+]")</f>
        <v>Afganistán [+]</v>
      </c>
      <c r="D12" s="7">
        <f>IFERROR(__xludf.DUMMYFUNCTION("""COMPUTED_VALUE"""),8348.0)</f>
        <v>8348</v>
      </c>
      <c r="E12" s="6" t="str">
        <f>IFERROR(__xludf.DUMMYFUNCTION("""COMPUTED_VALUE"""),"0,11")</f>
        <v>0,11</v>
      </c>
      <c r="F12" s="6" t="str">
        <f>IFERROR(__xludf.DUMMYFUNCTION("""COMPUTED_VALUE"""),"0,21")</f>
        <v>0,21</v>
      </c>
      <c r="G12" s="6"/>
      <c r="H12" s="6" t="str">
        <f>IFERROR(__xludf.DUMMYFUNCTION("""COMPUTED_VALUE"""),"-0,25%")</f>
        <v>-0,25%</v>
      </c>
      <c r="I12" s="8">
        <f t="shared" si="2"/>
        <v>8348</v>
      </c>
      <c r="J12" s="8">
        <f t="shared" si="3"/>
        <v>8.348</v>
      </c>
    </row>
    <row r="13">
      <c r="B13" s="6" t="str">
        <f t="shared" si="1"/>
        <v>Antigua y Barbuda </v>
      </c>
      <c r="C13" s="6" t="str">
        <f>IFERROR(__xludf.DUMMYFUNCTION("""COMPUTED_VALUE"""),"Antigua y Barbuda [+]")</f>
        <v>Antigua y Barbuda [+]</v>
      </c>
      <c r="D13" s="7">
        <f>IFERROR(__xludf.DUMMYFUNCTION("""COMPUTED_VALUE"""),778.0)</f>
        <v>778</v>
      </c>
      <c r="E13" s="6" t="str">
        <f>IFERROR(__xludf.DUMMYFUNCTION("""COMPUTED_VALUE"""),"0,44")</f>
        <v>0,44</v>
      </c>
      <c r="F13" s="6" t="str">
        <f>IFERROR(__xludf.DUMMYFUNCTION("""COMPUTED_VALUE"""),"7,34")</f>
        <v>7,34</v>
      </c>
      <c r="G13" s="6"/>
      <c r="H13" s="6" t="str">
        <f>IFERROR(__xludf.DUMMYFUNCTION("""COMPUTED_VALUE"""),"10,39%")</f>
        <v>10,39%</v>
      </c>
      <c r="I13" s="8">
        <f t="shared" si="2"/>
        <v>778</v>
      </c>
      <c r="J13" s="8">
        <f t="shared" si="3"/>
        <v>0.778</v>
      </c>
    </row>
    <row r="14">
      <c r="B14" s="6" t="str">
        <f t="shared" si="1"/>
        <v>Albania </v>
      </c>
      <c r="C14" s="6" t="str">
        <f>IFERROR(__xludf.DUMMYFUNCTION("""COMPUTED_VALUE"""),"Albania [+]")</f>
        <v>Albania [+]</v>
      </c>
      <c r="D14" s="7">
        <f>IFERROR(__xludf.DUMMYFUNCTION("""COMPUTED_VALUE"""),4591.0)</f>
        <v>4591</v>
      </c>
      <c r="E14" s="6" t="str">
        <f>IFERROR(__xludf.DUMMYFUNCTION("""COMPUTED_VALUE"""),"0,11")</f>
        <v>0,11</v>
      </c>
      <c r="F14" s="6" t="str">
        <f>IFERROR(__xludf.DUMMYFUNCTION("""COMPUTED_VALUE"""),"1,56")</f>
        <v>1,56</v>
      </c>
      <c r="G14" s="6"/>
      <c r="H14" s="6" t="str">
        <f>IFERROR(__xludf.DUMMYFUNCTION("""COMPUTED_VALUE"""),"-2,53%")</f>
        <v>-2,53%</v>
      </c>
      <c r="I14" s="8">
        <f t="shared" si="2"/>
        <v>4591</v>
      </c>
      <c r="J14" s="8">
        <f t="shared" si="3"/>
        <v>4.591</v>
      </c>
    </row>
    <row r="15">
      <c r="B15" s="6" t="str">
        <f t="shared" si="1"/>
        <v>Armenia </v>
      </c>
      <c r="C15" s="6" t="str">
        <f>IFERROR(__xludf.DUMMYFUNCTION("""COMPUTED_VALUE"""),"Armenia [+]")</f>
        <v>Armenia [+]</v>
      </c>
      <c r="D15" s="7">
        <f>IFERROR(__xludf.DUMMYFUNCTION("""COMPUTED_VALUE"""),6770.0)</f>
        <v>6770</v>
      </c>
      <c r="E15" s="6" t="str">
        <f>IFERROR(__xludf.DUMMYFUNCTION("""COMPUTED_VALUE"""),"0,17")</f>
        <v>0,17</v>
      </c>
      <c r="F15" s="6" t="str">
        <f>IFERROR(__xludf.DUMMYFUNCTION("""COMPUTED_VALUE"""),"2,30")</f>
        <v>2,30</v>
      </c>
      <c r="G15" s="6"/>
      <c r="H15" s="6" t="str">
        <f>IFERROR(__xludf.DUMMYFUNCTION("""COMPUTED_VALUE"""),"6,11%")</f>
        <v>6,11%</v>
      </c>
      <c r="I15" s="8">
        <f t="shared" si="2"/>
        <v>6770</v>
      </c>
      <c r="J15" s="8">
        <f t="shared" si="3"/>
        <v>6.77</v>
      </c>
    </row>
    <row r="16">
      <c r="B16" s="6" t="str">
        <f t="shared" si="1"/>
        <v>Angola </v>
      </c>
      <c r="C16" s="6" t="str">
        <f>IFERROR(__xludf.DUMMYFUNCTION("""COMPUTED_VALUE"""),"Angola [+]")</f>
        <v>Angola [+]</v>
      </c>
      <c r="D16" s="7">
        <f>IFERROR(__xludf.DUMMYFUNCTION("""COMPUTED_VALUE"""),24450.0)</f>
        <v>24450</v>
      </c>
      <c r="E16" s="6" t="str">
        <f>IFERROR(__xludf.DUMMYFUNCTION("""COMPUTED_VALUE"""),"0,12")</f>
        <v>0,12</v>
      </c>
      <c r="F16" s="6" t="str">
        <f>IFERROR(__xludf.DUMMYFUNCTION("""COMPUTED_VALUE"""),"0,72")</f>
        <v>0,72</v>
      </c>
      <c r="G16" s="6"/>
      <c r="H16" s="6" t="str">
        <f>IFERROR(__xludf.DUMMYFUNCTION("""COMPUTED_VALUE"""),"2,71%")</f>
        <v>2,71%</v>
      </c>
      <c r="I16" s="8">
        <f t="shared" si="2"/>
        <v>24450</v>
      </c>
      <c r="J16" s="8">
        <f t="shared" si="3"/>
        <v>24.45</v>
      </c>
    </row>
    <row r="17">
      <c r="B17" s="6" t="str">
        <f t="shared" si="1"/>
        <v>Argentina </v>
      </c>
      <c r="C17" s="6" t="str">
        <f>IFERROR(__xludf.DUMMYFUNCTION("""COMPUTED_VALUE"""),"Argentina [+]")</f>
        <v>Argentina [+]</v>
      </c>
      <c r="D17" s="7">
        <f>IFERROR(__xludf.DUMMYFUNCTION("""COMPUTED_VALUE"""),189002.0)</f>
        <v>189002</v>
      </c>
      <c r="E17" s="6" t="str">
        <f>IFERROR(__xludf.DUMMYFUNCTION("""COMPUTED_VALUE"""),"0,19")</f>
        <v>0,19</v>
      </c>
      <c r="F17" s="6" t="str">
        <f>IFERROR(__xludf.DUMMYFUNCTION("""COMPUTED_VALUE"""),"4,12")</f>
        <v>4,12</v>
      </c>
      <c r="G17" s="6"/>
      <c r="H17" s="6" t="str">
        <f>IFERROR(__xludf.DUMMYFUNCTION("""COMPUTED_VALUE"""),"9,01%")</f>
        <v>9,01%</v>
      </c>
      <c r="I17" s="8">
        <f t="shared" si="2"/>
        <v>189002</v>
      </c>
      <c r="J17" s="8">
        <f t="shared" si="3"/>
        <v>189.002</v>
      </c>
    </row>
    <row r="18">
      <c r="B18" s="6" t="str">
        <f t="shared" si="1"/>
        <v>Austria </v>
      </c>
      <c r="C18" s="6" t="str">
        <f>IFERROR(__xludf.DUMMYFUNCTION("""COMPUTED_VALUE"""),"Austria [+]")</f>
        <v>Austria [+]</v>
      </c>
      <c r="D18" s="7">
        <f>IFERROR(__xludf.DUMMYFUNCTION("""COMPUTED_VALUE"""),66008.0)</f>
        <v>66008</v>
      </c>
      <c r="E18" s="6" t="str">
        <f>IFERROR(__xludf.DUMMYFUNCTION("""COMPUTED_VALUE"""),"0,14")</f>
        <v>0,14</v>
      </c>
      <c r="F18" s="6" t="str">
        <f>IFERROR(__xludf.DUMMYFUNCTION("""COMPUTED_VALUE"""),"7,50")</f>
        <v>7,50</v>
      </c>
      <c r="G18" s="6"/>
      <c r="H18" s="6" t="str">
        <f>IFERROR(__xludf.DUMMYFUNCTION("""COMPUTED_VALUE"""),"4,02%")</f>
        <v>4,02%</v>
      </c>
      <c r="I18" s="8">
        <f t="shared" si="2"/>
        <v>66008</v>
      </c>
      <c r="J18" s="8">
        <f t="shared" si="3"/>
        <v>66.008</v>
      </c>
    </row>
    <row r="19">
      <c r="B19" s="6" t="str">
        <f t="shared" si="1"/>
        <v>Australia </v>
      </c>
      <c r="C19" s="6" t="str">
        <f>IFERROR(__xludf.DUMMYFUNCTION("""COMPUTED_VALUE"""),"Australia [+]")</f>
        <v>Australia [+]</v>
      </c>
      <c r="D19" s="7">
        <f>IFERROR(__xludf.DUMMYFUNCTION("""COMPUTED_VALUE"""),367907.0)</f>
        <v>367907</v>
      </c>
      <c r="E19" s="6" t="str">
        <f>IFERROR(__xludf.DUMMYFUNCTION("""COMPUTED_VALUE"""),"0,29")</f>
        <v>0,29</v>
      </c>
      <c r="F19" s="6" t="str">
        <f>IFERROR(__xludf.DUMMYFUNCTION("""COMPUTED_VALUE"""),"14,31")</f>
        <v>14,31</v>
      </c>
      <c r="G19" s="6"/>
      <c r="H19" s="6" t="str">
        <f>IFERROR(__xludf.DUMMYFUNCTION("""COMPUTED_VALUE"""),"-3,51%")</f>
        <v>-3,51%</v>
      </c>
      <c r="I19" s="8">
        <f t="shared" si="2"/>
        <v>367907</v>
      </c>
      <c r="J19" s="8">
        <f t="shared" si="3"/>
        <v>367.907</v>
      </c>
    </row>
    <row r="20">
      <c r="B20" s="6" t="str">
        <f t="shared" si="1"/>
        <v>Azerbaiyán </v>
      </c>
      <c r="C20" s="6" t="str">
        <f>IFERROR(__xludf.DUMMYFUNCTION("""COMPUTED_VALUE"""),"Azerbaiyán [+]")</f>
        <v>Azerbaiyán [+]</v>
      </c>
      <c r="D20" s="7">
        <f>IFERROR(__xludf.DUMMYFUNCTION("""COMPUTED_VALUE"""),37105.0)</f>
        <v>37105</v>
      </c>
      <c r="E20" s="6" t="str">
        <f>IFERROR(__xludf.DUMMYFUNCTION("""COMPUTED_VALUE"""),"0,25")</f>
        <v>0,25</v>
      </c>
      <c r="F20" s="6" t="str">
        <f>IFERROR(__xludf.DUMMYFUNCTION("""COMPUTED_VALUE"""),"3,65")</f>
        <v>3,65</v>
      </c>
      <c r="G20" s="6"/>
      <c r="H20" s="6" t="str">
        <f>IFERROR(__xludf.DUMMYFUNCTION("""COMPUTED_VALUE"""),"2,32%")</f>
        <v>2,32%</v>
      </c>
      <c r="I20" s="8">
        <f t="shared" si="2"/>
        <v>37105</v>
      </c>
      <c r="J20" s="8">
        <f t="shared" si="3"/>
        <v>37.105</v>
      </c>
    </row>
    <row r="21">
      <c r="B21" s="6" t="str">
        <f t="shared" si="1"/>
        <v>Bosnia y Herzegovina </v>
      </c>
      <c r="C21" s="6" t="str">
        <f>IFERROR(__xludf.DUMMYFUNCTION("""COMPUTED_VALUE"""),"Bosnia y Herzegovina [+]")</f>
        <v>Bosnia y Herzegovina [+]</v>
      </c>
      <c r="D21" s="7">
        <f>IFERROR(__xludf.DUMMYFUNCTION("""COMPUTED_VALUE"""),15370.0)</f>
        <v>15370</v>
      </c>
      <c r="E21" s="6" t="str">
        <f>IFERROR(__xludf.DUMMYFUNCTION("""COMPUTED_VALUE"""),"0,30")</f>
        <v>0,30</v>
      </c>
      <c r="F21" s="6" t="str">
        <f>IFERROR(__xludf.DUMMYFUNCTION("""COMPUTED_VALUE"""),"4,40")</f>
        <v>4,40</v>
      </c>
      <c r="G21" s="6"/>
      <c r="H21" s="6" t="str">
        <f>IFERROR(__xludf.DUMMYFUNCTION("""COMPUTED_VALUE"""),"-31,73%")</f>
        <v>-31,73%</v>
      </c>
      <c r="I21" s="8">
        <f t="shared" si="2"/>
        <v>15370</v>
      </c>
      <c r="J21" s="8">
        <f t="shared" si="3"/>
        <v>15.37</v>
      </c>
    </row>
    <row r="22">
      <c r="B22" s="6" t="str">
        <f t="shared" si="1"/>
        <v>Barbados </v>
      </c>
      <c r="C22" s="6" t="str">
        <f>IFERROR(__xludf.DUMMYFUNCTION("""COMPUTED_VALUE"""),"Barbados [+]")</f>
        <v>Barbados [+]</v>
      </c>
      <c r="D22" s="7">
        <f>IFERROR(__xludf.DUMMYFUNCTION("""COMPUTED_VALUE"""),1765.0)</f>
        <v>1765</v>
      </c>
      <c r="E22" s="6" t="str">
        <f>IFERROR(__xludf.DUMMYFUNCTION("""COMPUTED_VALUE"""),"0,45")</f>
        <v>0,45</v>
      </c>
      <c r="F22" s="6" t="str">
        <f>IFERROR(__xludf.DUMMYFUNCTION("""COMPUTED_VALUE"""),"6,13")</f>
        <v>6,13</v>
      </c>
      <c r="G22" s="6"/>
      <c r="H22" s="6" t="str">
        <f>IFERROR(__xludf.DUMMYFUNCTION("""COMPUTED_VALUE"""),"10,77%")</f>
        <v>10,77%</v>
      </c>
      <c r="I22" s="8">
        <f t="shared" si="2"/>
        <v>1765</v>
      </c>
      <c r="J22" s="8">
        <f t="shared" si="3"/>
        <v>1.765</v>
      </c>
    </row>
    <row r="23">
      <c r="B23" s="6" t="str">
        <f t="shared" si="1"/>
        <v>Bangladés </v>
      </c>
      <c r="C23" s="6" t="str">
        <f>IFERROR(__xludf.DUMMYFUNCTION("""COMPUTED_VALUE"""),"Bangladés [+]")</f>
        <v>Bangladés [+]</v>
      </c>
      <c r="D23" s="7">
        <f>IFERROR(__xludf.DUMMYFUNCTION("""COMPUTED_VALUE"""),106867.0)</f>
        <v>106867</v>
      </c>
      <c r="E23" s="6" t="str">
        <f>IFERROR(__xludf.DUMMYFUNCTION("""COMPUTED_VALUE"""),"0,11")</f>
        <v>0,11</v>
      </c>
      <c r="F23" s="6" t="str">
        <f>IFERROR(__xludf.DUMMYFUNCTION("""COMPUTED_VALUE"""),"0,62")</f>
        <v>0,62</v>
      </c>
      <c r="G23" s="6"/>
      <c r="H23" s="6" t="str">
        <f>IFERROR(__xludf.DUMMYFUNCTION("""COMPUTED_VALUE"""),"1,58%")</f>
        <v>1,58%</v>
      </c>
      <c r="I23" s="8">
        <f t="shared" si="2"/>
        <v>106867</v>
      </c>
      <c r="J23" s="8">
        <f t="shared" si="3"/>
        <v>106.867</v>
      </c>
    </row>
    <row r="24">
      <c r="B24" s="6" t="str">
        <f t="shared" si="1"/>
        <v>Bélgica </v>
      </c>
      <c r="C24" s="6" t="str">
        <f>IFERROR(__xludf.DUMMYFUNCTION("""COMPUTED_VALUE"""),"Bélgica [+]")</f>
        <v>Bélgica [+]</v>
      </c>
      <c r="D24" s="7">
        <f>IFERROR(__xludf.DUMMYFUNCTION("""COMPUTED_VALUE"""),95924.0)</f>
        <v>95924</v>
      </c>
      <c r="E24" s="6" t="str">
        <f>IFERROR(__xludf.DUMMYFUNCTION("""COMPUTED_VALUE"""),"0,16")</f>
        <v>0,16</v>
      </c>
      <c r="F24" s="6" t="str">
        <f>IFERROR(__xludf.DUMMYFUNCTION("""COMPUTED_VALUE"""),"8,22")</f>
        <v>8,22</v>
      </c>
      <c r="G24" s="6"/>
      <c r="H24" s="6" t="str">
        <f>IFERROR(__xludf.DUMMYFUNCTION("""COMPUTED_VALUE"""),"5,30%")</f>
        <v>5,30%</v>
      </c>
      <c r="I24" s="8">
        <f t="shared" si="2"/>
        <v>95924</v>
      </c>
      <c r="J24" s="8">
        <f t="shared" si="3"/>
        <v>95.924</v>
      </c>
    </row>
    <row r="25">
      <c r="B25" s="6" t="str">
        <f t="shared" si="1"/>
        <v>Burkina Faso </v>
      </c>
      <c r="C25" s="6" t="str">
        <f>IFERROR(__xludf.DUMMYFUNCTION("""COMPUTED_VALUE"""),"Burkina Faso [+]")</f>
        <v>Burkina Faso [+]</v>
      </c>
      <c r="D25" s="7">
        <f>IFERROR(__xludf.DUMMYFUNCTION("""COMPUTED_VALUE"""),5290.0)</f>
        <v>5290</v>
      </c>
      <c r="E25" s="6" t="str">
        <f>IFERROR(__xludf.DUMMYFUNCTION("""COMPUTED_VALUE"""),"0,11")</f>
        <v>0,11</v>
      </c>
      <c r="F25" s="6" t="str">
        <f>IFERROR(__xludf.DUMMYFUNCTION("""COMPUTED_VALUE"""),"0,25")</f>
        <v>0,25</v>
      </c>
      <c r="G25" s="6"/>
      <c r="H25" s="6" t="str">
        <f>IFERROR(__xludf.DUMMYFUNCTION("""COMPUTED_VALUE"""),"3,92%")</f>
        <v>3,92%</v>
      </c>
      <c r="I25" s="8">
        <f t="shared" si="2"/>
        <v>5290</v>
      </c>
      <c r="J25" s="8">
        <f t="shared" si="3"/>
        <v>5.29</v>
      </c>
    </row>
    <row r="26">
      <c r="B26" s="6" t="str">
        <f t="shared" si="1"/>
        <v>Bulgaria </v>
      </c>
      <c r="C26" s="6" t="str">
        <f>IFERROR(__xludf.DUMMYFUNCTION("""COMPUTED_VALUE"""),"Bulgaria [+]")</f>
        <v>Bulgaria [+]</v>
      </c>
      <c r="D26" s="7">
        <f>IFERROR(__xludf.DUMMYFUNCTION("""COMPUTED_VALUE"""),43644.0)</f>
        <v>43644</v>
      </c>
      <c r="E26" s="6" t="str">
        <f>IFERROR(__xludf.DUMMYFUNCTION("""COMPUTED_VALUE"""),"0,27")</f>
        <v>0,27</v>
      </c>
      <c r="F26" s="6" t="str">
        <f>IFERROR(__xludf.DUMMYFUNCTION("""COMPUTED_VALUE"""),"6,33")</f>
        <v>6,33</v>
      </c>
      <c r="G26" s="6"/>
      <c r="H26" s="6" t="str">
        <f>IFERROR(__xludf.DUMMYFUNCTION("""COMPUTED_VALUE"""),"16,29%")</f>
        <v>16,29%</v>
      </c>
      <c r="I26" s="8">
        <f t="shared" si="2"/>
        <v>43644</v>
      </c>
      <c r="J26" s="8">
        <f t="shared" si="3"/>
        <v>43.644</v>
      </c>
    </row>
    <row r="27">
      <c r="B27" s="6" t="str">
        <f t="shared" si="1"/>
        <v>Baréin </v>
      </c>
      <c r="C27" s="6" t="str">
        <f>IFERROR(__xludf.DUMMYFUNCTION("""COMPUTED_VALUE"""),"Baréin [+]")</f>
        <v>Baréin [+]</v>
      </c>
      <c r="D27" s="7">
        <f>IFERROR(__xludf.DUMMYFUNCTION("""COMPUTED_VALUE"""),37495.0)</f>
        <v>37495</v>
      </c>
      <c r="E27" s="6" t="str">
        <f>IFERROR(__xludf.DUMMYFUNCTION("""COMPUTED_VALUE"""),"0,52")</f>
        <v>0,52</v>
      </c>
      <c r="F27" s="6" t="str">
        <f>IFERROR(__xludf.DUMMYFUNCTION("""COMPUTED_VALUE"""),"21,50")</f>
        <v>21,50</v>
      </c>
      <c r="G27" s="6"/>
      <c r="H27" s="6" t="str">
        <f>IFERROR(__xludf.DUMMYFUNCTION("""COMPUTED_VALUE"""),"0,09%")</f>
        <v>0,09%</v>
      </c>
      <c r="I27" s="8">
        <f t="shared" si="2"/>
        <v>37495</v>
      </c>
      <c r="J27" s="8">
        <f t="shared" si="3"/>
        <v>37.495</v>
      </c>
    </row>
    <row r="28">
      <c r="B28" s="6" t="str">
        <f t="shared" si="1"/>
        <v>Burundi </v>
      </c>
      <c r="C28" s="6" t="str">
        <f>IFERROR(__xludf.DUMMYFUNCTION("""COMPUTED_VALUE"""),"Burundi [+]")</f>
        <v>Burundi [+]</v>
      </c>
      <c r="D28" s="7">
        <f>IFERROR(__xludf.DUMMYFUNCTION("""COMPUTED_VALUE"""),710.0)</f>
        <v>710</v>
      </c>
      <c r="E28" s="6" t="str">
        <f>IFERROR(__xludf.DUMMYFUNCTION("""COMPUTED_VALUE"""),"0,08")</f>
        <v>0,08</v>
      </c>
      <c r="F28" s="6" t="str">
        <f>IFERROR(__xludf.DUMMYFUNCTION("""COMPUTED_VALUE"""),"0,06")</f>
        <v>0,06</v>
      </c>
      <c r="G28" s="6"/>
      <c r="H28" s="6" t="str">
        <f>IFERROR(__xludf.DUMMYFUNCTION("""COMPUTED_VALUE"""),"3,32%")</f>
        <v>3,32%</v>
      </c>
      <c r="I28" s="8">
        <f t="shared" si="2"/>
        <v>710</v>
      </c>
      <c r="J28" s="8">
        <f t="shared" si="3"/>
        <v>0.71</v>
      </c>
    </row>
    <row r="29">
      <c r="B29" s="6" t="str">
        <f t="shared" si="1"/>
        <v>Benin </v>
      </c>
      <c r="C29" s="6" t="str">
        <f>IFERROR(__xludf.DUMMYFUNCTION("""COMPUTED_VALUE"""),"Benin [+]")</f>
        <v>Benin [+]</v>
      </c>
      <c r="D29" s="7">
        <f>IFERROR(__xludf.DUMMYFUNCTION("""COMPUTED_VALUE"""),8629.0)</f>
        <v>8629</v>
      </c>
      <c r="E29" s="6" t="str">
        <f>IFERROR(__xludf.DUMMYFUNCTION("""COMPUTED_VALUE"""),"0,20")</f>
        <v>0,20</v>
      </c>
      <c r="F29" s="6" t="str">
        <f>IFERROR(__xludf.DUMMYFUNCTION("""COMPUTED_VALUE"""),"0,69")</f>
        <v>0,69</v>
      </c>
      <c r="G29" s="6"/>
      <c r="H29" s="6" t="str">
        <f>IFERROR(__xludf.DUMMYFUNCTION("""COMPUTED_VALUE"""),"4,68%")</f>
        <v>4,68%</v>
      </c>
      <c r="I29" s="8">
        <f t="shared" si="2"/>
        <v>8629</v>
      </c>
      <c r="J29" s="8">
        <f t="shared" si="3"/>
        <v>8.629</v>
      </c>
    </row>
    <row r="30">
      <c r="B30" s="6" t="str">
        <f t="shared" si="1"/>
        <v>Brunéi </v>
      </c>
      <c r="C30" s="6" t="str">
        <f>IFERROR(__xludf.DUMMYFUNCTION("""COMPUTED_VALUE"""),"Brunéi [+]")</f>
        <v>Brunéi [+]</v>
      </c>
      <c r="D30" s="7">
        <f>IFERROR(__xludf.DUMMYFUNCTION("""COMPUTED_VALUE"""),7208.0)</f>
        <v>7208</v>
      </c>
      <c r="E30" s="6" t="str">
        <f>IFERROR(__xludf.DUMMYFUNCTION("""COMPUTED_VALUE"""),"0,27")</f>
        <v>0,27</v>
      </c>
      <c r="F30" s="6" t="str">
        <f>IFERROR(__xludf.DUMMYFUNCTION("""COMPUTED_VALUE"""),"16,05")</f>
        <v>16,05</v>
      </c>
      <c r="G30" s="6"/>
      <c r="H30" s="6" t="str">
        <f>IFERROR(__xludf.DUMMYFUNCTION("""COMPUTED_VALUE"""),"-0,91%")</f>
        <v>-0,91%</v>
      </c>
      <c r="I30" s="8">
        <f t="shared" si="2"/>
        <v>7208</v>
      </c>
      <c r="J30" s="8">
        <f t="shared" si="3"/>
        <v>7.208</v>
      </c>
    </row>
    <row r="31">
      <c r="B31" s="6" t="str">
        <f t="shared" si="1"/>
        <v>Bolivia </v>
      </c>
      <c r="C31" s="6" t="str">
        <f>IFERROR(__xludf.DUMMYFUNCTION("""COMPUTED_VALUE"""),"Bolivia [+]")</f>
        <v>Bolivia [+]</v>
      </c>
      <c r="D31" s="7">
        <f>IFERROR(__xludf.DUMMYFUNCTION("""COMPUTED_VALUE"""),22428.0)</f>
        <v>22428</v>
      </c>
      <c r="E31" s="6" t="str">
        <f>IFERROR(__xludf.DUMMYFUNCTION("""COMPUTED_VALUE"""),"0,23")</f>
        <v>0,23</v>
      </c>
      <c r="F31" s="6" t="str">
        <f>IFERROR(__xludf.DUMMYFUNCTION("""COMPUTED_VALUE"""),"1,92")</f>
        <v>1,92</v>
      </c>
      <c r="G31" s="6"/>
      <c r="H31" s="6" t="str">
        <f>IFERROR(__xludf.DUMMYFUNCTION("""COMPUTED_VALUE"""),"9,19%")</f>
        <v>9,19%</v>
      </c>
      <c r="I31" s="8">
        <f t="shared" si="2"/>
        <v>22428</v>
      </c>
      <c r="J31" s="8">
        <f t="shared" si="3"/>
        <v>22.428</v>
      </c>
    </row>
    <row r="32">
      <c r="B32" s="6" t="str">
        <f t="shared" si="1"/>
        <v>Brasil </v>
      </c>
      <c r="C32" s="6" t="str">
        <f>IFERROR(__xludf.DUMMYFUNCTION("""COMPUTED_VALUE"""),"Brasil [+]")</f>
        <v>Brasil [+]</v>
      </c>
      <c r="D32" s="7">
        <f>IFERROR(__xludf.DUMMYFUNCTION("""COMPUTED_VALUE"""),489858.0)</f>
        <v>489858</v>
      </c>
      <c r="E32" s="6" t="str">
        <f>IFERROR(__xludf.DUMMYFUNCTION("""COMPUTED_VALUE"""),"0,16")</f>
        <v>0,16</v>
      </c>
      <c r="F32" s="6" t="str">
        <f>IFERROR(__xludf.DUMMYFUNCTION("""COMPUTED_VALUE"""),"2,28")</f>
        <v>2,28</v>
      </c>
      <c r="G32" s="6"/>
      <c r="H32" s="6" t="str">
        <f>IFERROR(__xludf.DUMMYFUNCTION("""COMPUTED_VALUE"""),"10,26%")</f>
        <v>10,26%</v>
      </c>
      <c r="I32" s="8">
        <f t="shared" si="2"/>
        <v>489858</v>
      </c>
      <c r="J32" s="8">
        <f t="shared" si="3"/>
        <v>489.858</v>
      </c>
    </row>
    <row r="33">
      <c r="B33" s="6" t="str">
        <f t="shared" si="1"/>
        <v>Bahamas </v>
      </c>
      <c r="C33" s="6" t="str">
        <f>IFERROR(__xludf.DUMMYFUNCTION("""COMPUTED_VALUE"""),"Bahamas [+]")</f>
        <v>Bahamas [+]</v>
      </c>
      <c r="D33" s="7">
        <f>IFERROR(__xludf.DUMMYFUNCTION("""COMPUTED_VALUE"""),4043.0)</f>
        <v>4043</v>
      </c>
      <c r="E33" s="6" t="str">
        <f>IFERROR(__xludf.DUMMYFUNCTION("""COMPUTED_VALUE"""),"0,33")</f>
        <v>0,33</v>
      </c>
      <c r="F33" s="6" t="str">
        <f>IFERROR(__xludf.DUMMYFUNCTION("""COMPUTED_VALUE"""),"9,86")</f>
        <v>9,86</v>
      </c>
      <c r="G33" s="6"/>
      <c r="H33" s="6" t="str">
        <f>IFERROR(__xludf.DUMMYFUNCTION("""COMPUTED_VALUE"""),"10,50%")</f>
        <v>10,50%</v>
      </c>
      <c r="I33" s="8">
        <f t="shared" si="2"/>
        <v>4043</v>
      </c>
      <c r="J33" s="8">
        <f t="shared" si="3"/>
        <v>4.043</v>
      </c>
    </row>
    <row r="34">
      <c r="B34" s="6" t="str">
        <f t="shared" si="1"/>
        <v>Bután </v>
      </c>
      <c r="C34" s="6" t="str">
        <f>IFERROR(__xludf.DUMMYFUNCTION("""COMPUTED_VALUE"""),"Bután [+]")</f>
        <v>Bután [+]</v>
      </c>
      <c r="D34" s="7">
        <f>IFERROR(__xludf.DUMMYFUNCTION("""COMPUTED_VALUE"""),1976.0)</f>
        <v>1976</v>
      </c>
      <c r="E34" s="6" t="str">
        <f>IFERROR(__xludf.DUMMYFUNCTION("""COMPUTED_VALUE"""),"0,25")</f>
        <v>0,25</v>
      </c>
      <c r="F34" s="6" t="str">
        <f>IFERROR(__xludf.DUMMYFUNCTION("""COMPUTED_VALUE"""),"2,34")</f>
        <v>2,34</v>
      </c>
      <c r="G34" s="6"/>
      <c r="H34" s="6" t="str">
        <f>IFERROR(__xludf.DUMMYFUNCTION("""COMPUTED_VALUE"""),"10,11%")</f>
        <v>10,11%</v>
      </c>
      <c r="I34" s="8">
        <f t="shared" si="2"/>
        <v>1976</v>
      </c>
      <c r="J34" s="8">
        <f t="shared" si="3"/>
        <v>1.976</v>
      </c>
    </row>
    <row r="35">
      <c r="B35" s="6" t="str">
        <f t="shared" si="1"/>
        <v>Botsuana </v>
      </c>
      <c r="C35" s="6" t="str">
        <f>IFERROR(__xludf.DUMMYFUNCTION("""COMPUTED_VALUE"""),"Botsuana [+]")</f>
        <v>Botsuana [+]</v>
      </c>
      <c r="D35" s="7">
        <f>IFERROR(__xludf.DUMMYFUNCTION("""COMPUTED_VALUE"""),7000.0)</f>
        <v>7000</v>
      </c>
      <c r="E35" s="6" t="str">
        <f>IFERROR(__xludf.DUMMYFUNCTION("""COMPUTED_VALUE"""),"0,18")</f>
        <v>0,18</v>
      </c>
      <c r="F35" s="6" t="str">
        <f>IFERROR(__xludf.DUMMYFUNCTION("""COMPUTED_VALUE"""),"2,85")</f>
        <v>2,85</v>
      </c>
      <c r="G35" s="6"/>
      <c r="H35" s="6" t="str">
        <f>IFERROR(__xludf.DUMMYFUNCTION("""COMPUTED_VALUE"""),"2,64%")</f>
        <v>2,64%</v>
      </c>
      <c r="I35" s="8">
        <f t="shared" si="2"/>
        <v>7000</v>
      </c>
      <c r="J35" s="8">
        <f t="shared" si="3"/>
        <v>7</v>
      </c>
    </row>
    <row r="36">
      <c r="B36" s="6" t="str">
        <f t="shared" si="1"/>
        <v>Bielorrusia </v>
      </c>
      <c r="C36" s="6" t="str">
        <f>IFERROR(__xludf.DUMMYFUNCTION("""COMPUTED_VALUE"""),"Bielorrusia [+]")</f>
        <v>Bielorrusia [+]</v>
      </c>
      <c r="D36" s="7">
        <f>IFERROR(__xludf.DUMMYFUNCTION("""COMPUTED_VALUE"""),58364.0)</f>
        <v>58364</v>
      </c>
      <c r="E36" s="6" t="str">
        <f>IFERROR(__xludf.DUMMYFUNCTION("""COMPUTED_VALUE"""),"0,32")</f>
        <v>0,32</v>
      </c>
      <c r="F36" s="6" t="str">
        <f>IFERROR(__xludf.DUMMYFUNCTION("""COMPUTED_VALUE"""),"6,21")</f>
        <v>6,21</v>
      </c>
      <c r="G36" s="6"/>
      <c r="H36" s="6" t="str">
        <f>IFERROR(__xludf.DUMMYFUNCTION("""COMPUTED_VALUE"""),"2,43%")</f>
        <v>2,43%</v>
      </c>
      <c r="I36" s="8">
        <f t="shared" si="2"/>
        <v>58364</v>
      </c>
      <c r="J36" s="8">
        <f t="shared" si="3"/>
        <v>58.364</v>
      </c>
    </row>
    <row r="37">
      <c r="B37" s="6" t="str">
        <f t="shared" si="1"/>
        <v>Belice </v>
      </c>
      <c r="C37" s="6" t="str">
        <f>IFERROR(__xludf.DUMMYFUNCTION("""COMPUTED_VALUE"""),"Belice [+]")</f>
        <v>Belice [+]</v>
      </c>
      <c r="D37" s="7">
        <f>IFERROR(__xludf.DUMMYFUNCTION("""COMPUTED_VALUE"""),635.0)</f>
        <v>635</v>
      </c>
      <c r="E37" s="6" t="str">
        <f>IFERROR(__xludf.DUMMYFUNCTION("""COMPUTED_VALUE"""),"0,25")</f>
        <v>0,25</v>
      </c>
      <c r="F37" s="6" t="str">
        <f>IFERROR(__xludf.DUMMYFUNCTION("""COMPUTED_VALUE"""),"1,57")</f>
        <v>1,57</v>
      </c>
      <c r="G37" s="6"/>
      <c r="H37" s="6" t="str">
        <f>IFERROR(__xludf.DUMMYFUNCTION("""COMPUTED_VALUE"""),"11,77%")</f>
        <v>11,77%</v>
      </c>
      <c r="I37" s="8">
        <f t="shared" si="2"/>
        <v>635</v>
      </c>
      <c r="J37" s="8">
        <f t="shared" si="3"/>
        <v>0.635</v>
      </c>
    </row>
    <row r="38">
      <c r="B38" s="6" t="str">
        <f t="shared" si="1"/>
        <v>Canadá </v>
      </c>
      <c r="C38" s="6" t="str">
        <f>IFERROR(__xludf.DUMMYFUNCTION("""COMPUTED_VALUE"""),"Canadá [+]")</f>
        <v>Canadá [+]</v>
      </c>
      <c r="D38" s="7">
        <f>IFERROR(__xludf.DUMMYFUNCTION("""COMPUTED_VALUE"""),563538.0)</f>
        <v>563538</v>
      </c>
      <c r="E38" s="6" t="str">
        <f>IFERROR(__xludf.DUMMYFUNCTION("""COMPUTED_VALUE"""),"0,31")</f>
        <v>0,31</v>
      </c>
      <c r="F38" s="6" t="str">
        <f>IFERROR(__xludf.DUMMYFUNCTION("""COMPUTED_VALUE"""),"14,86")</f>
        <v>14,86</v>
      </c>
      <c r="G38" s="6"/>
      <c r="H38" s="6" t="str">
        <f>IFERROR(__xludf.DUMMYFUNCTION("""COMPUTED_VALUE"""),"1,88%")</f>
        <v>1,88%</v>
      </c>
      <c r="I38" s="8">
        <f t="shared" si="2"/>
        <v>563538</v>
      </c>
      <c r="J38" s="8">
        <f t="shared" si="3"/>
        <v>563.538</v>
      </c>
    </row>
    <row r="39">
      <c r="B39" s="6" t="str">
        <f t="shared" si="1"/>
        <v>República Democrática del Congo </v>
      </c>
      <c r="C39" s="6" t="str">
        <f>IFERROR(__xludf.DUMMYFUNCTION("""COMPUTED_VALUE"""),"República Democrática del Congo [+]")</f>
        <v>República Democrática del Congo [+]</v>
      </c>
      <c r="D39" s="7">
        <f>IFERROR(__xludf.DUMMYFUNCTION("""COMPUTED_VALUE"""),3369.0)</f>
        <v>3369</v>
      </c>
      <c r="E39" s="6" t="str">
        <f>IFERROR(__xludf.DUMMYFUNCTION("""COMPUTED_VALUE"""),"0,03")</f>
        <v>0,03</v>
      </c>
      <c r="F39" s="6" t="str">
        <f>IFERROR(__xludf.DUMMYFUNCTION("""COMPUTED_VALUE"""),"0,04")</f>
        <v>0,04</v>
      </c>
      <c r="G39" s="6"/>
      <c r="H39" s="6" t="str">
        <f>IFERROR(__xludf.DUMMYFUNCTION("""COMPUTED_VALUE"""),"1,34%")</f>
        <v>1,34%</v>
      </c>
      <c r="I39" s="8">
        <f t="shared" si="2"/>
        <v>3369</v>
      </c>
      <c r="J39" s="8">
        <f t="shared" si="3"/>
        <v>3.369</v>
      </c>
    </row>
    <row r="40">
      <c r="B40" s="6" t="str">
        <f t="shared" si="1"/>
        <v>República Centroafricana </v>
      </c>
      <c r="C40" s="6" t="str">
        <f>IFERROR(__xludf.DUMMYFUNCTION("""COMPUTED_VALUE"""),"República Centroafricana [+]")</f>
        <v>República Centroafricana [+]</v>
      </c>
      <c r="D40" s="7">
        <f>IFERROR(__xludf.DUMMYFUNCTION("""COMPUTED_VALUE"""),276.0)</f>
        <v>276</v>
      </c>
      <c r="E40" s="6" t="str">
        <f>IFERROR(__xludf.DUMMYFUNCTION("""COMPUTED_VALUE"""),"0,06")</f>
        <v>0,06</v>
      </c>
      <c r="F40" s="6" t="str">
        <f>IFERROR(__xludf.DUMMYFUNCTION("""COMPUTED_VALUE"""),"0,05")</f>
        <v>0,05</v>
      </c>
      <c r="G40" s="6"/>
      <c r="H40" s="6" t="str">
        <f>IFERROR(__xludf.DUMMYFUNCTION("""COMPUTED_VALUE"""),"4,63%")</f>
        <v>4,63%</v>
      </c>
      <c r="I40" s="8">
        <f t="shared" si="2"/>
        <v>276</v>
      </c>
      <c r="J40" s="8">
        <f t="shared" si="3"/>
        <v>0.276</v>
      </c>
    </row>
    <row r="41">
      <c r="B41" s="6" t="str">
        <f t="shared" si="1"/>
        <v>República del Congo </v>
      </c>
      <c r="C41" s="6" t="str">
        <f>IFERROR(__xludf.DUMMYFUNCTION("""COMPUTED_VALUE"""),"República del Congo [+]")</f>
        <v>República del Congo [+]</v>
      </c>
      <c r="D41" s="7">
        <f>IFERROR(__xludf.DUMMYFUNCTION("""COMPUTED_VALUE"""),7371.0)</f>
        <v>7371</v>
      </c>
      <c r="E41" s="6" t="str">
        <f>IFERROR(__xludf.DUMMYFUNCTION("""COMPUTED_VALUE"""),"0,40")</f>
        <v>0,40</v>
      </c>
      <c r="F41" s="6" t="str">
        <f>IFERROR(__xludf.DUMMYFUNCTION("""COMPUTED_VALUE"""),"1,26")</f>
        <v>1,26</v>
      </c>
      <c r="G41" s="6"/>
      <c r="H41" s="6" t="str">
        <f>IFERROR(__xludf.DUMMYFUNCTION("""COMPUTED_VALUE"""),"-3,62%")</f>
        <v>-3,62%</v>
      </c>
      <c r="I41" s="8">
        <f t="shared" si="2"/>
        <v>7371</v>
      </c>
      <c r="J41" s="8">
        <f t="shared" si="3"/>
        <v>7.371</v>
      </c>
    </row>
    <row r="42">
      <c r="B42" s="6" t="str">
        <f t="shared" si="1"/>
        <v>Suiza </v>
      </c>
      <c r="C42" s="6" t="str">
        <f>IFERROR(__xludf.DUMMYFUNCTION("""COMPUTED_VALUE"""),"Suiza [+]")</f>
        <v>Suiza [+]</v>
      </c>
      <c r="D42" s="7">
        <f>IFERROR(__xludf.DUMMYFUNCTION("""COMPUTED_VALUE"""),35073.0)</f>
        <v>35073</v>
      </c>
      <c r="E42" s="6" t="str">
        <f>IFERROR(__xludf.DUMMYFUNCTION("""COMPUTED_VALUE"""),"0,06")</f>
        <v>0,06</v>
      </c>
      <c r="F42" s="6" t="str">
        <f>IFERROR(__xludf.DUMMYFUNCTION("""COMPUTED_VALUE"""),"4,02")</f>
        <v>4,02</v>
      </c>
      <c r="G42" s="6"/>
      <c r="H42" s="6" t="str">
        <f>IFERROR(__xludf.DUMMYFUNCTION("""COMPUTED_VALUE"""),"1,76%")</f>
        <v>1,76%</v>
      </c>
      <c r="I42" s="8">
        <f t="shared" si="2"/>
        <v>35073</v>
      </c>
      <c r="J42" s="8">
        <f t="shared" si="3"/>
        <v>35.073</v>
      </c>
    </row>
    <row r="43">
      <c r="B43" s="6" t="str">
        <f t="shared" si="1"/>
        <v>Costa de Marfil </v>
      </c>
      <c r="C43" s="6" t="str">
        <f>IFERROR(__xludf.DUMMYFUNCTION("""COMPUTED_VALUE"""),"Costa de Marfil [+]")</f>
        <v>Costa de Marfil [+]</v>
      </c>
      <c r="D43" s="7">
        <f>IFERROR(__xludf.DUMMYFUNCTION("""COMPUTED_VALUE"""),14544.0)</f>
        <v>14544</v>
      </c>
      <c r="E43" s="6" t="str">
        <f>IFERROR(__xludf.DUMMYFUNCTION("""COMPUTED_VALUE"""),"0,10")</f>
        <v>0,10</v>
      </c>
      <c r="F43" s="6" t="str">
        <f>IFERROR(__xludf.DUMMYFUNCTION("""COMPUTED_VALUE"""),"0,54")</f>
        <v>0,54</v>
      </c>
      <c r="G43" s="6"/>
      <c r="H43" s="6" t="str">
        <f>IFERROR(__xludf.DUMMYFUNCTION("""COMPUTED_VALUE"""),"3,99%")</f>
        <v>3,99%</v>
      </c>
      <c r="I43" s="8">
        <f t="shared" si="2"/>
        <v>14544</v>
      </c>
      <c r="J43" s="8">
        <f t="shared" si="3"/>
        <v>14.544</v>
      </c>
    </row>
    <row r="44">
      <c r="B44" s="6" t="str">
        <f t="shared" si="1"/>
        <v>Chile </v>
      </c>
      <c r="C44" s="6" t="str">
        <f>IFERROR(__xludf.DUMMYFUNCTION("""COMPUTED_VALUE"""),"Chile [+]")</f>
        <v>Chile [+]</v>
      </c>
      <c r="D44" s="7">
        <f>IFERROR(__xludf.DUMMYFUNCTION("""COMPUTED_VALUE"""),85703.0)</f>
        <v>85703</v>
      </c>
      <c r="E44" s="6" t="str">
        <f>IFERROR(__xludf.DUMMYFUNCTION("""COMPUTED_VALUE"""),"0,17")</f>
        <v>0,17</v>
      </c>
      <c r="F44" s="6" t="str">
        <f>IFERROR(__xludf.DUMMYFUNCTION("""COMPUTED_VALUE"""),"4,61")</f>
        <v>4,61</v>
      </c>
      <c r="G44" s="6"/>
      <c r="H44" s="6" t="str">
        <f>IFERROR(__xludf.DUMMYFUNCTION("""COMPUTED_VALUE"""),"1,91%")</f>
        <v>1,91%</v>
      </c>
      <c r="I44" s="8">
        <f t="shared" si="2"/>
        <v>85703</v>
      </c>
      <c r="J44" s="8">
        <f t="shared" si="3"/>
        <v>85.703</v>
      </c>
    </row>
    <row r="45">
      <c r="B45" s="6" t="str">
        <f t="shared" si="1"/>
        <v>Camerún </v>
      </c>
      <c r="C45" s="6" t="str">
        <f>IFERROR(__xludf.DUMMYFUNCTION("""COMPUTED_VALUE"""),"Camerún [+]")</f>
        <v>Camerún [+]</v>
      </c>
      <c r="D45" s="7">
        <f>IFERROR(__xludf.DUMMYFUNCTION("""COMPUTED_VALUE"""),10203.0)</f>
        <v>10203</v>
      </c>
      <c r="E45" s="6" t="str">
        <f>IFERROR(__xludf.DUMMYFUNCTION("""COMPUTED_VALUE"""),"0,10")</f>
        <v>0,10</v>
      </c>
      <c r="F45" s="6" t="str">
        <f>IFERROR(__xludf.DUMMYFUNCTION("""COMPUTED_VALUE"""),"0,38")</f>
        <v>0,38</v>
      </c>
      <c r="G45" s="6"/>
      <c r="H45" s="6" t="str">
        <f>IFERROR(__xludf.DUMMYFUNCTION("""COMPUTED_VALUE"""),"1,48%")</f>
        <v>1,48%</v>
      </c>
      <c r="I45" s="8">
        <f t="shared" si="2"/>
        <v>10203</v>
      </c>
      <c r="J45" s="8">
        <f t="shared" si="3"/>
        <v>10.203</v>
      </c>
    </row>
    <row r="46">
      <c r="B46" s="6" t="str">
        <f t="shared" si="1"/>
        <v>Colombia </v>
      </c>
      <c r="C46" s="6" t="str">
        <f>IFERROR(__xludf.DUMMYFUNCTION("""COMPUTED_VALUE"""),"Colombia [+]")</f>
        <v>Colombia [+]</v>
      </c>
      <c r="D46" s="7">
        <f>IFERROR(__xludf.DUMMYFUNCTION("""COMPUTED_VALUE"""),77570.0)</f>
        <v>77570</v>
      </c>
      <c r="E46" s="6" t="str">
        <f>IFERROR(__xludf.DUMMYFUNCTION("""COMPUTED_VALUE"""),"0,10")</f>
        <v>0,10</v>
      </c>
      <c r="F46" s="6" t="str">
        <f>IFERROR(__xludf.DUMMYFUNCTION("""COMPUTED_VALUE"""),"1,53")</f>
        <v>1,53</v>
      </c>
      <c r="G46" s="6"/>
      <c r="H46" s="6" t="str">
        <f>IFERROR(__xludf.DUMMYFUNCTION("""COMPUTED_VALUE"""),"5,46%")</f>
        <v>5,46%</v>
      </c>
      <c r="I46" s="8">
        <f t="shared" si="2"/>
        <v>77570</v>
      </c>
      <c r="J46" s="8">
        <f t="shared" si="3"/>
        <v>77.57</v>
      </c>
    </row>
    <row r="47">
      <c r="B47" s="6" t="str">
        <f t="shared" si="1"/>
        <v>Costa Rica </v>
      </c>
      <c r="C47" s="6" t="str">
        <f>IFERROR(__xludf.DUMMYFUNCTION("""COMPUTED_VALUE"""),"Costa Rica [+]")</f>
        <v>Costa Rica [+]</v>
      </c>
      <c r="D47" s="7">
        <f>IFERROR(__xludf.DUMMYFUNCTION("""COMPUTED_VALUE"""),8091.0)</f>
        <v>8091</v>
      </c>
      <c r="E47" s="6" t="str">
        <f>IFERROR(__xludf.DUMMYFUNCTION("""COMPUTED_VALUE"""),"0,07")</f>
        <v>0,07</v>
      </c>
      <c r="F47" s="6" t="str">
        <f>IFERROR(__xludf.DUMMYFUNCTION("""COMPUTED_VALUE"""),"1,59")</f>
        <v>1,59</v>
      </c>
      <c r="G47" s="6"/>
      <c r="H47" s="6" t="str">
        <f>IFERROR(__xludf.DUMMYFUNCTION("""COMPUTED_VALUE"""),"10,59%")</f>
        <v>10,59%</v>
      </c>
      <c r="I47" s="8">
        <f t="shared" si="2"/>
        <v>8091</v>
      </c>
      <c r="J47" s="8">
        <f t="shared" si="3"/>
        <v>8.091</v>
      </c>
    </row>
    <row r="48">
      <c r="B48" s="6" t="str">
        <f t="shared" si="1"/>
        <v>Cuba </v>
      </c>
      <c r="C48" s="6" t="str">
        <f>IFERROR(__xludf.DUMMYFUNCTION("""COMPUTED_VALUE"""),"Cuba [+]")</f>
        <v>Cuba [+]</v>
      </c>
      <c r="D48" s="7">
        <f>IFERROR(__xludf.DUMMYFUNCTION("""COMPUTED_VALUE"""),24606.0)</f>
        <v>24606</v>
      </c>
      <c r="E48" s="6" t="str">
        <f>IFERROR(__xludf.DUMMYFUNCTION("""COMPUTED_VALUE"""),"0,08")</f>
        <v>0,08</v>
      </c>
      <c r="F48" s="6" t="str">
        <f>IFERROR(__xludf.DUMMYFUNCTION("""COMPUTED_VALUE"""),"2,14")</f>
        <v>2,14</v>
      </c>
      <c r="G48" s="6"/>
      <c r="H48" s="6" t="str">
        <f>IFERROR(__xludf.DUMMYFUNCTION("""COMPUTED_VALUE"""),"12,71%")</f>
        <v>12,71%</v>
      </c>
      <c r="I48" s="8">
        <f t="shared" si="2"/>
        <v>24606</v>
      </c>
      <c r="J48" s="8">
        <f t="shared" si="3"/>
        <v>24.606</v>
      </c>
    </row>
    <row r="49">
      <c r="B49" s="6" t="str">
        <f t="shared" si="1"/>
        <v>Cabo Verde </v>
      </c>
      <c r="C49" s="6" t="str">
        <f>IFERROR(__xludf.DUMMYFUNCTION("""COMPUTED_VALUE"""),"Cabo Verde [+]")</f>
        <v>Cabo Verde [+]</v>
      </c>
      <c r="D49" s="7">
        <f>IFERROR(__xludf.DUMMYFUNCTION("""COMPUTED_VALUE"""),915.0)</f>
        <v>915</v>
      </c>
      <c r="E49" s="6" t="str">
        <f>IFERROR(__xludf.DUMMYFUNCTION("""COMPUTED_VALUE"""),"0,25")</f>
        <v>0,25</v>
      </c>
      <c r="F49" s="6" t="str">
        <f>IFERROR(__xludf.DUMMYFUNCTION("""COMPUTED_VALUE"""),"1,59")</f>
        <v>1,59</v>
      </c>
      <c r="G49" s="6"/>
      <c r="H49" s="6" t="str">
        <f>IFERROR(__xludf.DUMMYFUNCTION("""COMPUTED_VALUE"""),"6,75%")</f>
        <v>6,75%</v>
      </c>
      <c r="I49" s="8">
        <f t="shared" si="2"/>
        <v>915</v>
      </c>
      <c r="J49" s="8">
        <f t="shared" si="3"/>
        <v>0.915</v>
      </c>
    </row>
    <row r="50">
      <c r="B50" s="6" t="str">
        <f t="shared" si="1"/>
        <v>Chipre </v>
      </c>
      <c r="C50" s="6" t="str">
        <f>IFERROR(__xludf.DUMMYFUNCTION("""COMPUTED_VALUE"""),"Chipre [+]")</f>
        <v>Chipre [+]</v>
      </c>
      <c r="D50" s="7">
        <f>IFERROR(__xludf.DUMMYFUNCTION("""COMPUTED_VALUE"""),6750.0)</f>
        <v>6750</v>
      </c>
      <c r="E50" s="6" t="str">
        <f>IFERROR(__xludf.DUMMYFUNCTION("""COMPUTED_VALUE"""),"0,18")</f>
        <v>0,18</v>
      </c>
      <c r="F50" s="6" t="str">
        <f>IFERROR(__xludf.DUMMYFUNCTION("""COMPUTED_VALUE"""),"5,55")</f>
        <v>5,55</v>
      </c>
      <c r="G50" s="6"/>
      <c r="H50" s="6" t="str">
        <f>IFERROR(__xludf.DUMMYFUNCTION("""COMPUTED_VALUE"""),"4,19%")</f>
        <v>4,19%</v>
      </c>
      <c r="I50" s="8">
        <f t="shared" si="2"/>
        <v>6750</v>
      </c>
      <c r="J50" s="8">
        <f t="shared" si="3"/>
        <v>6.75</v>
      </c>
    </row>
    <row r="51">
      <c r="B51" s="6" t="str">
        <f t="shared" si="1"/>
        <v>Chequia </v>
      </c>
      <c r="C51" s="6" t="str">
        <f>IFERROR(__xludf.DUMMYFUNCTION("""COMPUTED_VALUE"""),"Chequia [+]")</f>
        <v>Chequia [+]</v>
      </c>
      <c r="D51" s="7">
        <f>IFERROR(__xludf.DUMMYFUNCTION("""COMPUTED_VALUE"""),97691.0)</f>
        <v>97691</v>
      </c>
      <c r="E51" s="6" t="str">
        <f>IFERROR(__xludf.DUMMYFUNCTION("""COMPUTED_VALUE"""),"0,23")</f>
        <v>0,23</v>
      </c>
      <c r="F51" s="6" t="str">
        <f>IFERROR(__xludf.DUMMYFUNCTION("""COMPUTED_VALUE"""),"9,19")</f>
        <v>9,19</v>
      </c>
      <c r="G51" s="6"/>
      <c r="H51" s="6" t="str">
        <f>IFERROR(__xludf.DUMMYFUNCTION("""COMPUTED_VALUE"""),"5,75%")</f>
        <v>5,75%</v>
      </c>
      <c r="I51" s="8">
        <f t="shared" si="2"/>
        <v>97691</v>
      </c>
      <c r="J51" s="8">
        <f t="shared" si="3"/>
        <v>97.691</v>
      </c>
    </row>
    <row r="52">
      <c r="B52" s="6" t="str">
        <f t="shared" si="1"/>
        <v>Yibuti </v>
      </c>
      <c r="C52" s="6" t="str">
        <f>IFERROR(__xludf.DUMMYFUNCTION("""COMPUTED_VALUE"""),"Yibuti [+]")</f>
        <v>Yibuti [+]</v>
      </c>
      <c r="D52" s="7">
        <f>IFERROR(__xludf.DUMMYFUNCTION("""COMPUTED_VALUE"""),609.0)</f>
        <v>609</v>
      </c>
      <c r="E52" s="6" t="str">
        <f>IFERROR(__xludf.DUMMYFUNCTION("""COMPUTED_VALUE"""),"0,11")</f>
        <v>0,11</v>
      </c>
      <c r="F52" s="6" t="str">
        <f>IFERROR(__xludf.DUMMYFUNCTION("""COMPUTED_VALUE"""),"0,60")</f>
        <v>0,60</v>
      </c>
      <c r="G52" s="6"/>
      <c r="H52" s="6" t="str">
        <f>IFERROR(__xludf.DUMMYFUNCTION("""COMPUTED_VALUE"""),"4,62%")</f>
        <v>4,62%</v>
      </c>
      <c r="I52" s="8">
        <f t="shared" si="2"/>
        <v>609</v>
      </c>
      <c r="J52" s="8">
        <f t="shared" si="3"/>
        <v>0.609</v>
      </c>
    </row>
    <row r="53">
      <c r="B53" s="6" t="str">
        <f t="shared" si="1"/>
        <v>Dinamarca </v>
      </c>
      <c r="C53" s="6" t="str">
        <f>IFERROR(__xludf.DUMMYFUNCTION("""COMPUTED_VALUE"""),"Dinamarca [+]")</f>
        <v>Dinamarca [+]</v>
      </c>
      <c r="D53" s="7">
        <f>IFERROR(__xludf.DUMMYFUNCTION("""COMPUTED_VALUE"""),27280.0)</f>
        <v>27280</v>
      </c>
      <c r="E53" s="6" t="str">
        <f>IFERROR(__xludf.DUMMYFUNCTION("""COMPUTED_VALUE"""),"0,08")</f>
        <v>0,08</v>
      </c>
      <c r="F53" s="6" t="str">
        <f>IFERROR(__xludf.DUMMYFUNCTION("""COMPUTED_VALUE"""),"4,69")</f>
        <v>4,69</v>
      </c>
      <c r="G53" s="6"/>
      <c r="H53" s="6" t="str">
        <f>IFERROR(__xludf.DUMMYFUNCTION("""COMPUTED_VALUE"""),"4,67%")</f>
        <v>4,67%</v>
      </c>
      <c r="I53" s="8">
        <f t="shared" si="2"/>
        <v>27280</v>
      </c>
      <c r="J53" s="8">
        <f t="shared" si="3"/>
        <v>27.28</v>
      </c>
    </row>
    <row r="54">
      <c r="B54" s="6" t="str">
        <f t="shared" si="1"/>
        <v>Dominica </v>
      </c>
      <c r="C54" s="6" t="str">
        <f>IFERROR(__xludf.DUMMYFUNCTION("""COMPUTED_VALUE"""),"Dominica [+]")</f>
        <v>Dominica [+]</v>
      </c>
      <c r="D54" s="7">
        <f>IFERROR(__xludf.DUMMYFUNCTION("""COMPUTED_VALUE"""),194.0)</f>
        <v>194</v>
      </c>
      <c r="E54" s="6" t="str">
        <f>IFERROR(__xludf.DUMMYFUNCTION("""COMPUTED_VALUE"""),"0,25")</f>
        <v>0,25</v>
      </c>
      <c r="F54" s="6" t="str">
        <f>IFERROR(__xludf.DUMMYFUNCTION("""COMPUTED_VALUE"""),"2,56")</f>
        <v>2,56</v>
      </c>
      <c r="G54" s="6"/>
      <c r="H54" s="6" t="str">
        <f>IFERROR(__xludf.DUMMYFUNCTION("""COMPUTED_VALUE"""),"9,62%")</f>
        <v>9,62%</v>
      </c>
      <c r="I54" s="8">
        <f t="shared" si="2"/>
        <v>194</v>
      </c>
      <c r="J54" s="8">
        <f t="shared" si="3"/>
        <v>0.194</v>
      </c>
    </row>
    <row r="55">
      <c r="B55" s="6" t="str">
        <f t="shared" si="1"/>
        <v>República Dominicana </v>
      </c>
      <c r="C55" s="6" t="str">
        <f>IFERROR(__xludf.DUMMYFUNCTION("""COMPUTED_VALUE"""),"República Dominicana [+]")</f>
        <v>República Dominicana [+]</v>
      </c>
      <c r="D55" s="7">
        <f>IFERROR(__xludf.DUMMYFUNCTION("""COMPUTED_VALUE"""),27727.0)</f>
        <v>27727</v>
      </c>
      <c r="E55" s="6" t="str">
        <f>IFERROR(__xludf.DUMMYFUNCTION("""COMPUTED_VALUE"""),"0,13")</f>
        <v>0,13</v>
      </c>
      <c r="F55" s="6" t="str">
        <f>IFERROR(__xludf.DUMMYFUNCTION("""COMPUTED_VALUE"""),"2,47")</f>
        <v>2,47</v>
      </c>
      <c r="G55" s="6"/>
      <c r="H55" s="6" t="str">
        <f>IFERROR(__xludf.DUMMYFUNCTION("""COMPUTED_VALUE"""),"9,64%")</f>
        <v>9,64%</v>
      </c>
      <c r="I55" s="8">
        <f t="shared" si="2"/>
        <v>27727</v>
      </c>
      <c r="J55" s="8">
        <f t="shared" si="3"/>
        <v>27.727</v>
      </c>
    </row>
    <row r="56">
      <c r="B56" s="6" t="str">
        <f t="shared" si="1"/>
        <v>Argelia </v>
      </c>
      <c r="C56" s="6" t="str">
        <f>IFERROR(__xludf.DUMMYFUNCTION("""COMPUTED_VALUE"""),"Argelia [+]")</f>
        <v>Argelia [+]</v>
      </c>
      <c r="D56" s="7">
        <f>IFERROR(__xludf.DUMMYFUNCTION("""COMPUTED_VALUE"""),173001.0)</f>
        <v>173001</v>
      </c>
      <c r="E56" s="6" t="str">
        <f>IFERROR(__xludf.DUMMYFUNCTION("""COMPUTED_VALUE"""),"0,35")</f>
        <v>0,35</v>
      </c>
      <c r="F56" s="6" t="str">
        <f>IFERROR(__xludf.DUMMYFUNCTION("""COMPUTED_VALUE"""),"3,93")</f>
        <v>3,93</v>
      </c>
      <c r="G56" s="6"/>
      <c r="H56" s="6" t="str">
        <f>IFERROR(__xludf.DUMMYFUNCTION("""COMPUTED_VALUE"""),"0,92%")</f>
        <v>0,92%</v>
      </c>
      <c r="I56" s="8">
        <f t="shared" si="2"/>
        <v>173001</v>
      </c>
      <c r="J56" s="8">
        <f t="shared" si="3"/>
        <v>173.001</v>
      </c>
    </row>
    <row r="57">
      <c r="B57" s="6" t="str">
        <f t="shared" si="1"/>
        <v>Ecuador </v>
      </c>
      <c r="C57" s="6" t="str">
        <f>IFERROR(__xludf.DUMMYFUNCTION("""COMPUTED_VALUE"""),"Ecuador [+]")</f>
        <v>Ecuador [+]</v>
      </c>
      <c r="D57" s="7">
        <f>IFERROR(__xludf.DUMMYFUNCTION("""COMPUTED_VALUE"""),41141.0)</f>
        <v>41141</v>
      </c>
      <c r="E57" s="6" t="str">
        <f>IFERROR(__xludf.DUMMYFUNCTION("""COMPUTED_VALUE"""),"0,22")</f>
        <v>0,22</v>
      </c>
      <c r="F57" s="6" t="str">
        <f>IFERROR(__xludf.DUMMYFUNCTION("""COMPUTED_VALUE"""),"2,34")</f>
        <v>2,34</v>
      </c>
      <c r="G57" s="6"/>
      <c r="H57" s="6" t="str">
        <f>IFERROR(__xludf.DUMMYFUNCTION("""COMPUTED_VALUE"""),"19,29%")</f>
        <v>19,29%</v>
      </c>
      <c r="I57" s="8">
        <f t="shared" si="2"/>
        <v>41141</v>
      </c>
      <c r="J57" s="8">
        <f t="shared" si="3"/>
        <v>41.141</v>
      </c>
    </row>
    <row r="58">
      <c r="B58" s="6" t="str">
        <f t="shared" si="1"/>
        <v>Estonia </v>
      </c>
      <c r="C58" s="6" t="str">
        <f>IFERROR(__xludf.DUMMYFUNCTION("""COMPUTED_VALUE"""),"Estonia [+]")</f>
        <v>Estonia [+]</v>
      </c>
      <c r="D58" s="7">
        <f>IFERROR(__xludf.DUMMYFUNCTION("""COMPUTED_VALUE"""),14906.0)</f>
        <v>14906</v>
      </c>
      <c r="E58" s="6" t="str">
        <f>IFERROR(__xludf.DUMMYFUNCTION("""COMPUTED_VALUE"""),"0,29")</f>
        <v>0,29</v>
      </c>
      <c r="F58" s="6" t="str">
        <f>IFERROR(__xludf.DUMMYFUNCTION("""COMPUTED_VALUE"""),"11,49")</f>
        <v>11,49</v>
      </c>
      <c r="G58" s="6"/>
      <c r="H58" s="6" t="str">
        <f>IFERROR(__xludf.DUMMYFUNCTION("""COMPUTED_VALUE"""),"7,83%")</f>
        <v>7,83%</v>
      </c>
      <c r="I58" s="8">
        <f t="shared" si="2"/>
        <v>14906</v>
      </c>
      <c r="J58" s="8">
        <f t="shared" si="3"/>
        <v>14.906</v>
      </c>
    </row>
    <row r="59">
      <c r="B59" s="6" t="str">
        <f t="shared" si="1"/>
        <v>Egipto </v>
      </c>
      <c r="C59" s="6" t="str">
        <f>IFERROR(__xludf.DUMMYFUNCTION("""COMPUTED_VALUE"""),"Egipto [+]")</f>
        <v>Egipto [+]</v>
      </c>
      <c r="D59" s="7">
        <f>IFERROR(__xludf.DUMMYFUNCTION("""COMPUTED_VALUE"""),259321.0)</f>
        <v>259321</v>
      </c>
      <c r="E59" s="6" t="str">
        <f>IFERROR(__xludf.DUMMYFUNCTION("""COMPUTED_VALUE"""),"0,21")</f>
        <v>0,21</v>
      </c>
      <c r="F59" s="6" t="str">
        <f>IFERROR(__xludf.DUMMYFUNCTION("""COMPUTED_VALUE"""),"2,48")</f>
        <v>2,48</v>
      </c>
      <c r="G59" s="6"/>
      <c r="H59" s="6" t="str">
        <f>IFERROR(__xludf.DUMMYFUNCTION("""COMPUTED_VALUE"""),"4,81%")</f>
        <v>4,81%</v>
      </c>
      <c r="I59" s="8">
        <f t="shared" si="2"/>
        <v>259321</v>
      </c>
      <c r="J59" s="8">
        <f t="shared" si="3"/>
        <v>259.321</v>
      </c>
    </row>
    <row r="60">
      <c r="B60" s="6" t="str">
        <f t="shared" si="1"/>
        <v>Eritrea </v>
      </c>
      <c r="C60" s="6" t="str">
        <f>IFERROR(__xludf.DUMMYFUNCTION("""COMPUTED_VALUE"""),"Eritrea [+]")</f>
        <v>Eritrea [+]</v>
      </c>
      <c r="D60" s="7">
        <f>IFERROR(__xludf.DUMMYFUNCTION("""COMPUTED_VALUE"""),835.0)</f>
        <v>835</v>
      </c>
      <c r="E60" s="6" t="str">
        <f>IFERROR(__xludf.DUMMYFUNCTION("""COMPUTED_VALUE"""),"0,05")</f>
        <v>0,05</v>
      </c>
      <c r="F60" s="6" t="str">
        <f>IFERROR(__xludf.DUMMYFUNCTION("""COMPUTED_VALUE"""),"0,15")</f>
        <v>0,15</v>
      </c>
      <c r="G60" s="6"/>
      <c r="H60" s="6" t="str">
        <f>IFERROR(__xludf.DUMMYFUNCTION("""COMPUTED_VALUE"""),"3,74%")</f>
        <v>3,74%</v>
      </c>
      <c r="I60" s="8">
        <f t="shared" si="2"/>
        <v>835</v>
      </c>
      <c r="J60" s="8">
        <f t="shared" si="3"/>
        <v>0.835</v>
      </c>
    </row>
    <row r="61">
      <c r="B61" s="6" t="str">
        <f t="shared" si="1"/>
        <v>Etiopía </v>
      </c>
      <c r="C61" s="6" t="str">
        <f>IFERROR(__xludf.DUMMYFUNCTION("""COMPUTED_VALUE"""),"Etiopía [+]")</f>
        <v>Etiopía [+]</v>
      </c>
      <c r="D61" s="7">
        <f>IFERROR(__xludf.DUMMYFUNCTION("""COMPUTED_VALUE"""),19209.0)</f>
        <v>19209</v>
      </c>
      <c r="E61" s="6" t="str">
        <f>IFERROR(__xludf.DUMMYFUNCTION("""COMPUTED_VALUE"""),"0,07")</f>
        <v>0,07</v>
      </c>
      <c r="F61" s="6" t="str">
        <f>IFERROR(__xludf.DUMMYFUNCTION("""COMPUTED_VALUE"""),"0,17")</f>
        <v>0,17</v>
      </c>
      <c r="G61" s="6"/>
      <c r="H61" s="6" t="str">
        <f>IFERROR(__xludf.DUMMYFUNCTION("""COMPUTED_VALUE"""),"3,27%")</f>
        <v>3,27%</v>
      </c>
      <c r="I61" s="8">
        <f t="shared" si="2"/>
        <v>19209</v>
      </c>
      <c r="J61" s="8">
        <f t="shared" si="3"/>
        <v>19.209</v>
      </c>
    </row>
    <row r="62">
      <c r="B62" s="6" t="str">
        <f t="shared" si="1"/>
        <v>Finlandia </v>
      </c>
      <c r="C62" s="6" t="str">
        <f>IFERROR(__xludf.DUMMYFUNCTION("""COMPUTED_VALUE"""),"Finlandia [+]")</f>
        <v>Finlandia [+]</v>
      </c>
      <c r="D62" s="7">
        <f>IFERROR(__xludf.DUMMYFUNCTION("""COMPUTED_VALUE"""),38992.0)</f>
        <v>38992</v>
      </c>
      <c r="E62" s="6" t="str">
        <f>IFERROR(__xludf.DUMMYFUNCTION("""COMPUTED_VALUE"""),"0,14")</f>
        <v>0,14</v>
      </c>
      <c r="F62" s="6" t="str">
        <f>IFERROR(__xludf.DUMMYFUNCTION("""COMPUTED_VALUE"""),"6,97")</f>
        <v>6,97</v>
      </c>
      <c r="G62" s="6"/>
      <c r="H62" s="6" t="str">
        <f>IFERROR(__xludf.DUMMYFUNCTION("""COMPUTED_VALUE"""),"1,62%")</f>
        <v>1,62%</v>
      </c>
      <c r="I62" s="8">
        <f t="shared" si="2"/>
        <v>38992</v>
      </c>
      <c r="J62" s="8">
        <f t="shared" si="3"/>
        <v>38.992</v>
      </c>
    </row>
    <row r="63">
      <c r="B63" s="6" t="str">
        <f t="shared" si="1"/>
        <v>Fiyi </v>
      </c>
      <c r="C63" s="6" t="str">
        <f>IFERROR(__xludf.DUMMYFUNCTION("""COMPUTED_VALUE"""),"Fiyi [+]")</f>
        <v>Fiyi [+]</v>
      </c>
      <c r="D63" s="7">
        <f>IFERROR(__xludf.DUMMYFUNCTION("""COMPUTED_VALUE"""),1731.0)</f>
        <v>1731</v>
      </c>
      <c r="E63" s="6" t="str">
        <f>IFERROR(__xludf.DUMMYFUNCTION("""COMPUTED_VALUE"""),"0,17")</f>
        <v>0,17</v>
      </c>
      <c r="F63" s="6" t="str">
        <f>IFERROR(__xludf.DUMMYFUNCTION("""COMPUTED_VALUE"""),"1,86")</f>
        <v>1,86</v>
      </c>
      <c r="G63" s="6"/>
      <c r="H63" s="6" t="str">
        <f>IFERROR(__xludf.DUMMYFUNCTION("""COMPUTED_VALUE"""),"3,06%")</f>
        <v>3,06%</v>
      </c>
      <c r="I63" s="8">
        <f t="shared" si="2"/>
        <v>1731</v>
      </c>
      <c r="J63" s="8">
        <f t="shared" si="3"/>
        <v>1.731</v>
      </c>
    </row>
    <row r="64">
      <c r="B64" s="6" t="str">
        <f t="shared" si="1"/>
        <v>Gabón </v>
      </c>
      <c r="C64" s="6" t="str">
        <f>IFERROR(__xludf.DUMMYFUNCTION("""COMPUTED_VALUE"""),"Gabón [+]")</f>
        <v>Gabón [+]</v>
      </c>
      <c r="D64" s="7">
        <f>IFERROR(__xludf.DUMMYFUNCTION("""COMPUTED_VALUE"""),5520.0)</f>
        <v>5520</v>
      </c>
      <c r="E64" s="6" t="str">
        <f>IFERROR(__xludf.DUMMYFUNCTION("""COMPUTED_VALUE"""),"0,17")</f>
        <v>0,17</v>
      </c>
      <c r="F64" s="6" t="str">
        <f>IFERROR(__xludf.DUMMYFUNCTION("""COMPUTED_VALUE"""),"2,52")</f>
        <v>2,52</v>
      </c>
      <c r="G64" s="6"/>
      <c r="H64" s="6" t="str">
        <f>IFERROR(__xludf.DUMMYFUNCTION("""COMPUTED_VALUE"""),"-1,79%")</f>
        <v>-1,79%</v>
      </c>
      <c r="I64" s="8">
        <f t="shared" si="2"/>
        <v>5520</v>
      </c>
      <c r="J64" s="8">
        <f t="shared" si="3"/>
        <v>5.52</v>
      </c>
    </row>
    <row r="65">
      <c r="B65" s="6" t="str">
        <f t="shared" si="1"/>
        <v>Granada </v>
      </c>
      <c r="C65" s="6" t="str">
        <f>IFERROR(__xludf.DUMMYFUNCTION("""COMPUTED_VALUE"""),"Granada [+]")</f>
        <v>Granada [+]</v>
      </c>
      <c r="D65" s="7">
        <f>IFERROR(__xludf.DUMMYFUNCTION("""COMPUTED_VALUE"""),344.0)</f>
        <v>344</v>
      </c>
      <c r="E65" s="6" t="str">
        <f>IFERROR(__xludf.DUMMYFUNCTION("""COMPUTED_VALUE"""),"0,20")</f>
        <v>0,20</v>
      </c>
      <c r="F65" s="6" t="str">
        <f>IFERROR(__xludf.DUMMYFUNCTION("""COMPUTED_VALUE"""),"3,16")</f>
        <v>3,16</v>
      </c>
      <c r="G65" s="6"/>
      <c r="H65" s="6" t="str">
        <f>IFERROR(__xludf.DUMMYFUNCTION("""COMPUTED_VALUE"""),"11,63%")</f>
        <v>11,63%</v>
      </c>
      <c r="I65" s="8">
        <f t="shared" si="2"/>
        <v>344</v>
      </c>
      <c r="J65" s="8">
        <f t="shared" si="3"/>
        <v>0.344</v>
      </c>
    </row>
    <row r="66">
      <c r="B66" s="6" t="str">
        <f t="shared" si="1"/>
        <v>Georgia </v>
      </c>
      <c r="C66" s="6" t="str">
        <f>IFERROR(__xludf.DUMMYFUNCTION("""COMPUTED_VALUE"""),"Georgia [+]")</f>
        <v>Georgia [+]</v>
      </c>
      <c r="D66" s="7">
        <f>IFERROR(__xludf.DUMMYFUNCTION("""COMPUTED_VALUE"""),11649.0)</f>
        <v>11649</v>
      </c>
      <c r="E66" s="6" t="str">
        <f>IFERROR(__xludf.DUMMYFUNCTION("""COMPUTED_VALUE"""),"0,20")</f>
        <v>0,20</v>
      </c>
      <c r="F66" s="6" t="str">
        <f>IFERROR(__xludf.DUMMYFUNCTION("""COMPUTED_VALUE"""),"3,00")</f>
        <v>3,00</v>
      </c>
      <c r="G66" s="6"/>
      <c r="H66" s="6" t="str">
        <f>IFERROR(__xludf.DUMMYFUNCTION("""COMPUTED_VALUE"""),"3,89%")</f>
        <v>3,89%</v>
      </c>
      <c r="I66" s="8">
        <f t="shared" si="2"/>
        <v>11649</v>
      </c>
      <c r="J66" s="8">
        <f t="shared" si="3"/>
        <v>11.649</v>
      </c>
    </row>
    <row r="67">
      <c r="B67" s="6" t="str">
        <f t="shared" si="1"/>
        <v>Ghana </v>
      </c>
      <c r="C67" s="6" t="str">
        <f>IFERROR(__xludf.DUMMYFUNCTION("""COMPUTED_VALUE"""),"Ghana [+]")</f>
        <v>Ghana [+]</v>
      </c>
      <c r="D67" s="7">
        <f>IFERROR(__xludf.DUMMYFUNCTION("""COMPUTED_VALUE"""),23636.0)</f>
        <v>23636</v>
      </c>
      <c r="E67" s="6" t="str">
        <f>IFERROR(__xludf.DUMMYFUNCTION("""COMPUTED_VALUE"""),"0,13")</f>
        <v>0,13</v>
      </c>
      <c r="F67" s="6" t="str">
        <f>IFERROR(__xludf.DUMMYFUNCTION("""COMPUTED_VALUE"""),"0,75")</f>
        <v>0,75</v>
      </c>
      <c r="G67" s="6"/>
      <c r="H67" s="6" t="str">
        <f>IFERROR(__xludf.DUMMYFUNCTION("""COMPUTED_VALUE"""),"7,28%")</f>
        <v>7,28%</v>
      </c>
      <c r="I67" s="8">
        <f t="shared" si="2"/>
        <v>23636</v>
      </c>
      <c r="J67" s="8">
        <f t="shared" si="3"/>
        <v>23.636</v>
      </c>
    </row>
    <row r="68">
      <c r="B68" s="6" t="str">
        <f t="shared" si="1"/>
        <v>Gambia </v>
      </c>
      <c r="C68" s="6" t="str">
        <f>IFERROR(__xludf.DUMMYFUNCTION("""COMPUTED_VALUE"""),"Gambia [+]")</f>
        <v>Gambia [+]</v>
      </c>
      <c r="D68" s="7">
        <f>IFERROR(__xludf.DUMMYFUNCTION("""COMPUTED_VALUE"""),558.0)</f>
        <v>558</v>
      </c>
      <c r="E68" s="6" t="str">
        <f>IFERROR(__xludf.DUMMYFUNCTION("""COMPUTED_VALUE"""),"0,10")</f>
        <v>0,10</v>
      </c>
      <c r="F68" s="6" t="str">
        <f>IFERROR(__xludf.DUMMYFUNCTION("""COMPUTED_VALUE"""),"0,24")</f>
        <v>0,24</v>
      </c>
      <c r="G68" s="6"/>
      <c r="H68" s="6" t="str">
        <f>IFERROR(__xludf.DUMMYFUNCTION("""COMPUTED_VALUE"""),"4,84%")</f>
        <v>4,84%</v>
      </c>
      <c r="I68" s="8">
        <f t="shared" si="2"/>
        <v>558</v>
      </c>
      <c r="J68" s="8">
        <f t="shared" si="3"/>
        <v>0.558</v>
      </c>
    </row>
    <row r="69">
      <c r="B69" s="6" t="str">
        <f t="shared" si="1"/>
        <v>Guinea </v>
      </c>
      <c r="C69" s="6" t="str">
        <f>IFERROR(__xludf.DUMMYFUNCTION("""COMPUTED_VALUE"""),"Guinea [+]")</f>
        <v>Guinea [+]</v>
      </c>
      <c r="D69" s="7">
        <f>IFERROR(__xludf.DUMMYFUNCTION("""COMPUTED_VALUE"""),3441.0)</f>
        <v>3441</v>
      </c>
      <c r="E69" s="6" t="str">
        <f>IFERROR(__xludf.DUMMYFUNCTION("""COMPUTED_VALUE"""),"0,10")</f>
        <v>0,10</v>
      </c>
      <c r="F69" s="6" t="str">
        <f>IFERROR(__xludf.DUMMYFUNCTION("""COMPUTED_VALUE"""),"0,24")</f>
        <v>0,24</v>
      </c>
      <c r="G69" s="6"/>
      <c r="H69" s="6" t="str">
        <f>IFERROR(__xludf.DUMMYFUNCTION("""COMPUTED_VALUE"""),"4,08%")</f>
        <v>4,08%</v>
      </c>
      <c r="I69" s="8">
        <f t="shared" si="2"/>
        <v>3441</v>
      </c>
      <c r="J69" s="8">
        <f t="shared" si="3"/>
        <v>3.441</v>
      </c>
    </row>
    <row r="70">
      <c r="B70" s="6" t="str">
        <f t="shared" si="1"/>
        <v>Guinea Ecuatorial </v>
      </c>
      <c r="C70" s="6" t="str">
        <f>IFERROR(__xludf.DUMMYFUNCTION("""COMPUTED_VALUE"""),"Guinea Ecuatorial [+]")</f>
        <v>Guinea Ecuatorial [+]</v>
      </c>
      <c r="D70" s="7">
        <f>IFERROR(__xludf.DUMMYFUNCTION("""COMPUTED_VALUE"""),7004.0)</f>
        <v>7004</v>
      </c>
      <c r="E70" s="6" t="str">
        <f>IFERROR(__xludf.DUMMYFUNCTION("""COMPUTED_VALUE"""),"0,29")</f>
        <v>0,29</v>
      </c>
      <c r="F70" s="6" t="str">
        <f>IFERROR(__xludf.DUMMYFUNCTION("""COMPUTED_VALUE"""),"4,82")</f>
        <v>4,82</v>
      </c>
      <c r="G70" s="6"/>
      <c r="H70" s="6" t="str">
        <f>IFERROR(__xludf.DUMMYFUNCTION("""COMPUTED_VALUE"""),"1,84%")</f>
        <v>1,84%</v>
      </c>
      <c r="I70" s="8">
        <f t="shared" si="2"/>
        <v>7004</v>
      </c>
      <c r="J70" s="8">
        <f t="shared" si="3"/>
        <v>7.004</v>
      </c>
    </row>
    <row r="71">
      <c r="B71" s="6" t="str">
        <f t="shared" si="1"/>
        <v>Grecia </v>
      </c>
      <c r="C71" s="6" t="str">
        <f>IFERROR(__xludf.DUMMYFUNCTION("""COMPUTED_VALUE"""),"Grecia [+]")</f>
        <v>Grecia [+]</v>
      </c>
      <c r="D71" s="7">
        <f>IFERROR(__xludf.DUMMYFUNCTION("""COMPUTED_VALUE"""),53372.0)</f>
        <v>53372</v>
      </c>
      <c r="E71" s="6" t="str">
        <f>IFERROR(__xludf.DUMMYFUNCTION("""COMPUTED_VALUE"""),"0,17")</f>
        <v>0,17</v>
      </c>
      <c r="F71" s="6" t="str">
        <f>IFERROR(__xludf.DUMMYFUNCTION("""COMPUTED_VALUE"""),"4,82")</f>
        <v>4,82</v>
      </c>
      <c r="G71" s="6"/>
      <c r="H71" s="6" t="str">
        <f>IFERROR(__xludf.DUMMYFUNCTION("""COMPUTED_VALUE"""),"2,46%")</f>
        <v>2,46%</v>
      </c>
      <c r="I71" s="8">
        <f t="shared" si="2"/>
        <v>53372</v>
      </c>
      <c r="J71" s="8">
        <f t="shared" si="3"/>
        <v>53.372</v>
      </c>
    </row>
    <row r="72">
      <c r="B72" s="6" t="str">
        <f t="shared" si="1"/>
        <v>Guatemala </v>
      </c>
      <c r="C72" s="6" t="str">
        <f>IFERROR(__xludf.DUMMYFUNCTION("""COMPUTED_VALUE"""),"Guatemala [+]")</f>
        <v>Guatemala [+]</v>
      </c>
      <c r="D72" s="7">
        <f>IFERROR(__xludf.DUMMYFUNCTION("""COMPUTED_VALUE"""),20191.0)</f>
        <v>20191</v>
      </c>
      <c r="E72" s="6" t="str">
        <f>IFERROR(__xludf.DUMMYFUNCTION("""COMPUTED_VALUE"""),"0,13")</f>
        <v>0,13</v>
      </c>
      <c r="F72" s="6" t="str">
        <f>IFERROR(__xludf.DUMMYFUNCTION("""COMPUTED_VALUE"""),"1,11")</f>
        <v>1,11</v>
      </c>
      <c r="G72" s="6"/>
      <c r="H72" s="6" t="str">
        <f>IFERROR(__xludf.DUMMYFUNCTION("""COMPUTED_VALUE"""),"13,75%")</f>
        <v>13,75%</v>
      </c>
      <c r="I72" s="8">
        <f t="shared" si="2"/>
        <v>20191</v>
      </c>
      <c r="J72" s="8">
        <f t="shared" si="3"/>
        <v>20.191</v>
      </c>
    </row>
    <row r="73">
      <c r="B73" s="6" t="str">
        <f t="shared" si="1"/>
        <v>Guinea-Bisáu </v>
      </c>
      <c r="C73" s="6" t="str">
        <f>IFERROR(__xludf.DUMMYFUNCTION("""COMPUTED_VALUE"""),"Guinea-Bisáu [+]")</f>
        <v>Guinea-Bisáu [+]</v>
      </c>
      <c r="D73" s="7">
        <f>IFERROR(__xludf.DUMMYFUNCTION("""COMPUTED_VALUE"""),321.0)</f>
        <v>321</v>
      </c>
      <c r="E73" s="6" t="str">
        <f>IFERROR(__xludf.DUMMYFUNCTION("""COMPUTED_VALUE"""),"0,09")</f>
        <v>0,09</v>
      </c>
      <c r="F73" s="6" t="str">
        <f>IFERROR(__xludf.DUMMYFUNCTION("""COMPUTED_VALUE"""),"0,16")</f>
        <v>0,16</v>
      </c>
      <c r="G73" s="6"/>
      <c r="H73" s="6" t="str">
        <f>IFERROR(__xludf.DUMMYFUNCTION("""COMPUTED_VALUE"""),"5,32%")</f>
        <v>5,32%</v>
      </c>
      <c r="I73" s="8">
        <f t="shared" si="2"/>
        <v>321</v>
      </c>
      <c r="J73" s="8">
        <f t="shared" si="3"/>
        <v>0.321</v>
      </c>
    </row>
    <row r="74">
      <c r="B74" s="6" t="str">
        <f t="shared" si="1"/>
        <v>Guyana </v>
      </c>
      <c r="C74" s="6" t="str">
        <f>IFERROR(__xludf.DUMMYFUNCTION("""COMPUTED_VALUE"""),"Guyana [+]")</f>
        <v>Guyana [+]</v>
      </c>
      <c r="D74" s="7">
        <f>IFERROR(__xludf.DUMMYFUNCTION("""COMPUTED_VALUE"""),2900.0)</f>
        <v>2900</v>
      </c>
      <c r="E74" s="6" t="str">
        <f>IFERROR(__xludf.DUMMYFUNCTION("""COMPUTED_VALUE"""),"0,16")</f>
        <v>0,16</v>
      </c>
      <c r="F74" s="6" t="str">
        <f>IFERROR(__xludf.DUMMYFUNCTION("""COMPUTED_VALUE"""),"3,65")</f>
        <v>3,65</v>
      </c>
      <c r="G74" s="6"/>
      <c r="H74" s="6" t="str">
        <f>IFERROR(__xludf.DUMMYFUNCTION("""COMPUTED_VALUE"""),"7,38%")</f>
        <v>7,38%</v>
      </c>
      <c r="I74" s="8">
        <f t="shared" si="2"/>
        <v>2900</v>
      </c>
      <c r="J74" s="8">
        <f t="shared" si="3"/>
        <v>2.9</v>
      </c>
    </row>
    <row r="75">
      <c r="B75" s="6" t="str">
        <f t="shared" si="1"/>
        <v>Hong Kong </v>
      </c>
      <c r="C75" s="6" t="str">
        <f>IFERROR(__xludf.DUMMYFUNCTION("""COMPUTED_VALUE"""),"Hong Kong [+]")</f>
        <v>Hong Kong [+]</v>
      </c>
      <c r="D75" s="7">
        <f>IFERROR(__xludf.DUMMYFUNCTION("""COMPUTED_VALUE"""),33205.0)</f>
        <v>33205</v>
      </c>
      <c r="E75" s="6" t="str">
        <f>IFERROR(__xludf.DUMMYFUNCTION("""COMPUTED_VALUE"""),"0,07")</f>
        <v>0,07</v>
      </c>
      <c r="F75" s="6" t="str">
        <f>IFERROR(__xludf.DUMMYFUNCTION("""COMPUTED_VALUE"""),"4,37")</f>
        <v>4,37</v>
      </c>
      <c r="G75" s="6"/>
      <c r="H75" s="6" t="str">
        <f>IFERROR(__xludf.DUMMYFUNCTION("""COMPUTED_VALUE"""),"0,53%")</f>
        <v>0,53%</v>
      </c>
      <c r="I75" s="8">
        <f t="shared" si="2"/>
        <v>33205</v>
      </c>
      <c r="J75" s="8">
        <f t="shared" si="3"/>
        <v>33.205</v>
      </c>
    </row>
    <row r="76">
      <c r="B76" s="6" t="str">
        <f t="shared" si="1"/>
        <v>Honduras </v>
      </c>
      <c r="C76" s="6" t="str">
        <f>IFERROR(__xludf.DUMMYFUNCTION("""COMPUTED_VALUE"""),"Honduras [+]")</f>
        <v>Honduras [+]</v>
      </c>
      <c r="D76" s="7">
        <f>IFERROR(__xludf.DUMMYFUNCTION("""COMPUTED_VALUE"""),9751.0)</f>
        <v>9751</v>
      </c>
      <c r="E76" s="6" t="str">
        <f>IFERROR(__xludf.DUMMYFUNCTION("""COMPUTED_VALUE"""),"0,17")</f>
        <v>0,17</v>
      </c>
      <c r="F76" s="6" t="str">
        <f>IFERROR(__xludf.DUMMYFUNCTION("""COMPUTED_VALUE"""),"0,99")</f>
        <v>0,99</v>
      </c>
      <c r="G76" s="6"/>
      <c r="H76" s="6" t="str">
        <f>IFERROR(__xludf.DUMMYFUNCTION("""COMPUTED_VALUE"""),"10,22%")</f>
        <v>10,22%</v>
      </c>
      <c r="I76" s="8">
        <f t="shared" si="2"/>
        <v>9751</v>
      </c>
      <c r="J76" s="8">
        <f t="shared" si="3"/>
        <v>9.751</v>
      </c>
    </row>
    <row r="77">
      <c r="B77" s="6" t="str">
        <f t="shared" si="1"/>
        <v>Croacia </v>
      </c>
      <c r="C77" s="6" t="str">
        <f>IFERROR(__xludf.DUMMYFUNCTION("""COMPUTED_VALUE"""),"Croacia [+]")</f>
        <v>Croacia [+]</v>
      </c>
      <c r="D77" s="7">
        <f>IFERROR(__xludf.DUMMYFUNCTION("""COMPUTED_VALUE"""),17999.0)</f>
        <v>17999</v>
      </c>
      <c r="E77" s="6" t="str">
        <f>IFERROR(__xludf.DUMMYFUNCTION("""COMPUTED_VALUE"""),"0,15")</f>
        <v>0,15</v>
      </c>
      <c r="F77" s="6" t="str">
        <f>IFERROR(__xludf.DUMMYFUNCTION("""COMPUTED_VALUE"""),"4,40")</f>
        <v>4,40</v>
      </c>
      <c r="G77" s="6"/>
      <c r="H77" s="6" t="str">
        <f>IFERROR(__xludf.DUMMYFUNCTION("""COMPUTED_VALUE"""),"5,30%")</f>
        <v>5,30%</v>
      </c>
      <c r="I77" s="8">
        <f t="shared" si="2"/>
        <v>17999</v>
      </c>
      <c r="J77" s="8">
        <f t="shared" si="3"/>
        <v>17.999</v>
      </c>
    </row>
    <row r="78">
      <c r="B78" s="6" t="str">
        <f t="shared" si="1"/>
        <v>Haití </v>
      </c>
      <c r="C78" s="6" t="str">
        <f>IFERROR(__xludf.DUMMYFUNCTION("""COMPUTED_VALUE"""),"Haití [+]")</f>
        <v>Haití [+]</v>
      </c>
      <c r="D78" s="7">
        <f>IFERROR(__xludf.DUMMYFUNCTION("""COMPUTED_VALUE"""),3244.0)</f>
        <v>3244</v>
      </c>
      <c r="E78" s="6" t="str">
        <f>IFERROR(__xludf.DUMMYFUNCTION("""COMPUTED_VALUE"""),"0,10")</f>
        <v>0,10</v>
      </c>
      <c r="F78" s="6" t="str">
        <f>IFERROR(__xludf.DUMMYFUNCTION("""COMPUTED_VALUE"""),"0,28")</f>
        <v>0,28</v>
      </c>
      <c r="G78" s="6"/>
      <c r="H78" s="6" t="str">
        <f>IFERROR(__xludf.DUMMYFUNCTION("""COMPUTED_VALUE"""),"9,22%")</f>
        <v>9,22%</v>
      </c>
      <c r="I78" s="8">
        <f t="shared" si="2"/>
        <v>3244</v>
      </c>
      <c r="J78" s="8">
        <f t="shared" si="3"/>
        <v>3.244</v>
      </c>
    </row>
    <row r="79">
      <c r="B79" s="6" t="str">
        <f t="shared" si="1"/>
        <v>Hungría </v>
      </c>
      <c r="C79" s="6" t="str">
        <f>IFERROR(__xludf.DUMMYFUNCTION("""COMPUTED_VALUE"""),"Hungría [+]")</f>
        <v>Hungría [+]</v>
      </c>
      <c r="D79" s="7">
        <f>IFERROR(__xludf.DUMMYFUNCTION("""COMPUTED_VALUE"""),50691.0)</f>
        <v>50691</v>
      </c>
      <c r="E79" s="6" t="str">
        <f>IFERROR(__xludf.DUMMYFUNCTION("""COMPUTED_VALUE"""),"0,16")</f>
        <v>0,16</v>
      </c>
      <c r="F79" s="6" t="str">
        <f>IFERROR(__xludf.DUMMYFUNCTION("""COMPUTED_VALUE"""),"5,29")</f>
        <v>5,29</v>
      </c>
      <c r="G79" s="6"/>
      <c r="H79" s="6" t="str">
        <f>IFERROR(__xludf.DUMMYFUNCTION("""COMPUTED_VALUE"""),"2,98%")</f>
        <v>2,98%</v>
      </c>
      <c r="I79" s="8">
        <f t="shared" si="2"/>
        <v>50691</v>
      </c>
      <c r="J79" s="8">
        <f t="shared" si="3"/>
        <v>50.691</v>
      </c>
    </row>
    <row r="80">
      <c r="B80" s="6" t="str">
        <f t="shared" si="1"/>
        <v>Indonesia </v>
      </c>
      <c r="C80" s="6" t="str">
        <f>IFERROR(__xludf.DUMMYFUNCTION("""COMPUTED_VALUE"""),"Indonesia [+]")</f>
        <v>Indonesia [+]</v>
      </c>
      <c r="D80" s="7">
        <f>IFERROR(__xludf.DUMMYFUNCTION("""COMPUTED_VALUE"""),602594.0)</f>
        <v>602594</v>
      </c>
      <c r="E80" s="6" t="str">
        <f>IFERROR(__xludf.DUMMYFUNCTION("""COMPUTED_VALUE"""),"0,19")</f>
        <v>0,19</v>
      </c>
      <c r="F80" s="6" t="str">
        <f>IFERROR(__xludf.DUMMYFUNCTION("""COMPUTED_VALUE"""),"2,19")</f>
        <v>2,19</v>
      </c>
      <c r="G80" s="6"/>
      <c r="H80" s="6" t="str">
        <f>IFERROR(__xludf.DUMMYFUNCTION("""COMPUTED_VALUE"""),"0,93%")</f>
        <v>0,93%</v>
      </c>
      <c r="I80" s="8">
        <f t="shared" si="2"/>
        <v>602594</v>
      </c>
      <c r="J80" s="8">
        <f t="shared" si="3"/>
        <v>602.594</v>
      </c>
    </row>
    <row r="81">
      <c r="B81" s="6" t="str">
        <f t="shared" si="1"/>
        <v>Irlanda </v>
      </c>
      <c r="C81" s="6" t="str">
        <f>IFERROR(__xludf.DUMMYFUNCTION("""COMPUTED_VALUE"""),"Irlanda [+]")</f>
        <v>Irlanda [+]</v>
      </c>
      <c r="D81" s="7">
        <f>IFERROR(__xludf.DUMMYFUNCTION("""COMPUTED_VALUE"""),35013.0)</f>
        <v>35013</v>
      </c>
      <c r="E81" s="6" t="str">
        <f>IFERROR(__xludf.DUMMYFUNCTION("""COMPUTED_VALUE"""),"0,07")</f>
        <v>0,07</v>
      </c>
      <c r="F81" s="6" t="str">
        <f>IFERROR(__xludf.DUMMYFUNCTION("""COMPUTED_VALUE"""),"7,11")</f>
        <v>7,11</v>
      </c>
      <c r="G81" s="6"/>
      <c r="H81" s="6" t="str">
        <f>IFERROR(__xludf.DUMMYFUNCTION("""COMPUTED_VALUE"""),"5,53%")</f>
        <v>5,53%</v>
      </c>
      <c r="I81" s="8">
        <f t="shared" si="2"/>
        <v>35013</v>
      </c>
      <c r="J81" s="8">
        <f t="shared" si="3"/>
        <v>35.013</v>
      </c>
    </row>
    <row r="82">
      <c r="B82" s="6" t="str">
        <f t="shared" si="1"/>
        <v>Israel </v>
      </c>
      <c r="C82" s="6" t="str">
        <f>IFERROR(__xludf.DUMMYFUNCTION("""COMPUTED_VALUE"""),"Israel [+]")</f>
        <v>Israel [+]</v>
      </c>
      <c r="D82" s="7">
        <f>IFERROR(__xludf.DUMMYFUNCTION("""COMPUTED_VALUE"""),59590.0)</f>
        <v>59590</v>
      </c>
      <c r="E82" s="6" t="str">
        <f>IFERROR(__xludf.DUMMYFUNCTION("""COMPUTED_VALUE"""),"0,10")</f>
        <v>0,10</v>
      </c>
      <c r="F82" s="6" t="str">
        <f>IFERROR(__xludf.DUMMYFUNCTION("""COMPUTED_VALUE"""),"6,74")</f>
        <v>6,74</v>
      </c>
      <c r="G82" s="6"/>
      <c r="H82" s="6" t="str">
        <f>IFERROR(__xludf.DUMMYFUNCTION("""COMPUTED_VALUE"""),"-1,97%")</f>
        <v>-1,97%</v>
      </c>
      <c r="I82" s="8">
        <f t="shared" si="2"/>
        <v>59590</v>
      </c>
      <c r="J82" s="8">
        <f t="shared" si="3"/>
        <v>59.59</v>
      </c>
    </row>
    <row r="83">
      <c r="B83" s="6" t="str">
        <f t="shared" si="1"/>
        <v>India </v>
      </c>
      <c r="C83" s="6" t="str">
        <f>IFERROR(__xludf.DUMMYFUNCTION("""COMPUTED_VALUE"""),"India [+]")</f>
        <v>India [+]</v>
      </c>
      <c r="D83" s="7" t="str">
        <f>IFERROR(__xludf.DUMMYFUNCTION("""COMPUTED_VALUE"""),"2.648,779")</f>
        <v>2.648,779</v>
      </c>
      <c r="E83" s="6" t="str">
        <f>IFERROR(__xludf.DUMMYFUNCTION("""COMPUTED_VALUE"""),"0,28")</f>
        <v>0,28</v>
      </c>
      <c r="F83" s="6" t="str">
        <f>IFERROR(__xludf.DUMMYFUNCTION("""COMPUTED_VALUE"""),"1,90")</f>
        <v>1,90</v>
      </c>
      <c r="G83" s="6"/>
      <c r="H83" s="6" t="str">
        <f>IFERROR(__xludf.DUMMYFUNCTION("""COMPUTED_VALUE"""),"9,41%")</f>
        <v>9,41%</v>
      </c>
      <c r="I83" s="8">
        <f t="shared" si="2"/>
        <v>2648779</v>
      </c>
      <c r="J83" s="8">
        <f t="shared" si="3"/>
        <v>2648.779</v>
      </c>
    </row>
    <row r="84">
      <c r="B84" s="6" t="str">
        <f t="shared" si="1"/>
        <v>Irak </v>
      </c>
      <c r="C84" s="6" t="str">
        <f>IFERROR(__xludf.DUMMYFUNCTION("""COMPUTED_VALUE"""),"Irak [+]")</f>
        <v>Irak [+]</v>
      </c>
      <c r="D84" s="7">
        <f>IFERROR(__xludf.DUMMYFUNCTION("""COMPUTED_VALUE"""),177849.0)</f>
        <v>177849</v>
      </c>
      <c r="E84" s="6" t="str">
        <f>IFERROR(__xludf.DUMMYFUNCTION("""COMPUTED_VALUE"""),"0,46")</f>
        <v>0,46</v>
      </c>
      <c r="F84" s="6" t="str">
        <f>IFERROR(__xludf.DUMMYFUNCTION("""COMPUTED_VALUE"""),"4,17")</f>
        <v>4,17</v>
      </c>
      <c r="G84" s="6"/>
      <c r="H84" s="6" t="str">
        <f>IFERROR(__xludf.DUMMYFUNCTION("""COMPUTED_VALUE"""),"4,49%")</f>
        <v>4,49%</v>
      </c>
      <c r="I84" s="8">
        <f t="shared" si="2"/>
        <v>177849</v>
      </c>
      <c r="J84" s="8">
        <f t="shared" si="3"/>
        <v>177.849</v>
      </c>
    </row>
    <row r="85">
      <c r="B85" s="6" t="str">
        <f t="shared" si="1"/>
        <v>Irán </v>
      </c>
      <c r="C85" s="6" t="str">
        <f>IFERROR(__xludf.DUMMYFUNCTION("""COMPUTED_VALUE"""),"Irán [+]")</f>
        <v>Irán [+]</v>
      </c>
      <c r="D85" s="7">
        <f>IFERROR(__xludf.DUMMYFUNCTION("""COMPUTED_VALUE"""),710831.0)</f>
        <v>710831</v>
      </c>
      <c r="E85" s="6" t="str">
        <f>IFERROR(__xludf.DUMMYFUNCTION("""COMPUTED_VALUE"""),"0,54")</f>
        <v>0,54</v>
      </c>
      <c r="F85" s="6" t="str">
        <f>IFERROR(__xludf.DUMMYFUNCTION("""COMPUTED_VALUE"""),"8,43")</f>
        <v>8,43</v>
      </c>
      <c r="G85" s="6"/>
      <c r="H85" s="6" t="str">
        <f>IFERROR(__xludf.DUMMYFUNCTION("""COMPUTED_VALUE"""),"2,01%")</f>
        <v>2,01%</v>
      </c>
      <c r="I85" s="8">
        <f t="shared" si="2"/>
        <v>710831</v>
      </c>
      <c r="J85" s="8">
        <f t="shared" si="3"/>
        <v>710.831</v>
      </c>
    </row>
    <row r="86">
      <c r="B86" s="6" t="str">
        <f t="shared" si="1"/>
        <v>Islandia </v>
      </c>
      <c r="C86" s="6" t="str">
        <f>IFERROR(__xludf.DUMMYFUNCTION("""COMPUTED_VALUE"""),"Islandia [+]")</f>
        <v>Islandia [+]</v>
      </c>
      <c r="D86" s="7">
        <f>IFERROR(__xludf.DUMMYFUNCTION("""COMPUTED_VALUE"""),2908.0)</f>
        <v>2908</v>
      </c>
      <c r="E86" s="6" t="str">
        <f>IFERROR(__xludf.DUMMYFUNCTION("""COMPUTED_VALUE"""),"0,15")</f>
        <v>0,15</v>
      </c>
      <c r="F86" s="6" t="str">
        <f>IFERROR(__xludf.DUMMYFUNCTION("""COMPUTED_VALUE"""),"8,40")</f>
        <v>8,40</v>
      </c>
      <c r="G86" s="6"/>
      <c r="H86" s="6" t="str">
        <f>IFERROR(__xludf.DUMMYFUNCTION("""COMPUTED_VALUE"""),"6,43%")</f>
        <v>6,43%</v>
      </c>
      <c r="I86" s="8">
        <f t="shared" si="2"/>
        <v>2908</v>
      </c>
      <c r="J86" s="8">
        <f t="shared" si="3"/>
        <v>2.908</v>
      </c>
    </row>
    <row r="87">
      <c r="B87" s="6" t="str">
        <f t="shared" si="1"/>
        <v>Jamaica </v>
      </c>
      <c r="C87" s="6" t="str">
        <f>IFERROR(__xludf.DUMMYFUNCTION("""COMPUTED_VALUE"""),"Jamaica [+]")</f>
        <v>Jamaica [+]</v>
      </c>
      <c r="D87" s="7">
        <f>IFERROR(__xludf.DUMMYFUNCTION("""COMPUTED_VALUE"""),8081.0)</f>
        <v>8081</v>
      </c>
      <c r="E87" s="6" t="str">
        <f>IFERROR(__xludf.DUMMYFUNCTION("""COMPUTED_VALUE"""),"0,30")</f>
        <v>0,30</v>
      </c>
      <c r="F87" s="6" t="str">
        <f>IFERROR(__xludf.DUMMYFUNCTION("""COMPUTED_VALUE"""),"2,77")</f>
        <v>2,77</v>
      </c>
      <c r="G87" s="6"/>
      <c r="H87" s="6" t="str">
        <f>IFERROR(__xludf.DUMMYFUNCTION("""COMPUTED_VALUE"""),"11,53%")</f>
        <v>11,53%</v>
      </c>
      <c r="I87" s="8">
        <f t="shared" si="2"/>
        <v>8081</v>
      </c>
      <c r="J87" s="8">
        <f t="shared" si="3"/>
        <v>8.081</v>
      </c>
    </row>
    <row r="88">
      <c r="B88" s="6" t="str">
        <f t="shared" si="1"/>
        <v>Jordania </v>
      </c>
      <c r="C88" s="6" t="str">
        <f>IFERROR(__xludf.DUMMYFUNCTION("""COMPUTED_VALUE"""),"Jordania [+]")</f>
        <v>Jordania [+]</v>
      </c>
      <c r="D88" s="7">
        <f>IFERROR(__xludf.DUMMYFUNCTION("""COMPUTED_VALUE"""),24297.0)</f>
        <v>24297</v>
      </c>
      <c r="E88" s="6" t="str">
        <f>IFERROR(__xludf.DUMMYFUNCTION("""COMPUTED_VALUE"""),"0,24")</f>
        <v>0,24</v>
      </c>
      <c r="F88" s="6" t="str">
        <f>IFERROR(__xludf.DUMMYFUNCTION("""COMPUTED_VALUE"""),"2,35")</f>
        <v>2,35</v>
      </c>
      <c r="G88" s="6"/>
      <c r="H88" s="6" t="str">
        <f>IFERROR(__xludf.DUMMYFUNCTION("""COMPUTED_VALUE"""),"2,23%")</f>
        <v>2,23%</v>
      </c>
      <c r="I88" s="8">
        <f t="shared" si="2"/>
        <v>24297</v>
      </c>
      <c r="J88" s="8">
        <f t="shared" si="3"/>
        <v>24.297</v>
      </c>
    </row>
    <row r="89">
      <c r="B89" s="6" t="str">
        <f t="shared" si="1"/>
        <v>Kenia </v>
      </c>
      <c r="C89" s="6" t="str">
        <f>IFERROR(__xludf.DUMMYFUNCTION("""COMPUTED_VALUE"""),"Kenia [+]")</f>
        <v>Kenia [+]</v>
      </c>
      <c r="D89" s="7">
        <f>IFERROR(__xludf.DUMMYFUNCTION("""COMPUTED_VALUE"""),22430.0)</f>
        <v>22430</v>
      </c>
      <c r="E89" s="6" t="str">
        <f>IFERROR(__xludf.DUMMYFUNCTION("""COMPUTED_VALUE"""),"0,09")</f>
        <v>0,09</v>
      </c>
      <c r="F89" s="6" t="str">
        <f>IFERROR(__xludf.DUMMYFUNCTION("""COMPUTED_VALUE"""),"0,41")</f>
        <v>0,41</v>
      </c>
      <c r="G89" s="6"/>
      <c r="H89" s="6" t="str">
        <f>IFERROR(__xludf.DUMMYFUNCTION("""COMPUTED_VALUE"""),"3,76%")</f>
        <v>3,76%</v>
      </c>
      <c r="I89" s="8">
        <f t="shared" si="2"/>
        <v>22430</v>
      </c>
      <c r="J89" s="8">
        <f t="shared" si="3"/>
        <v>22.43</v>
      </c>
    </row>
    <row r="90">
      <c r="B90" s="6" t="str">
        <f t="shared" si="1"/>
        <v>Kirguistán </v>
      </c>
      <c r="C90" s="6" t="str">
        <f>IFERROR(__xludf.DUMMYFUNCTION("""COMPUTED_VALUE"""),"Kirguistán [+]")</f>
        <v>Kirguistán [+]</v>
      </c>
      <c r="D90" s="7">
        <f>IFERROR(__xludf.DUMMYFUNCTION("""COMPUTED_VALUE"""),10780.0)</f>
        <v>10780</v>
      </c>
      <c r="E90" s="6" t="str">
        <f>IFERROR(__xludf.DUMMYFUNCTION("""COMPUTED_VALUE"""),"0,33")</f>
        <v>0,33</v>
      </c>
      <c r="F90" s="6" t="str">
        <f>IFERROR(__xludf.DUMMYFUNCTION("""COMPUTED_VALUE"""),"1,69")</f>
        <v>1,69</v>
      </c>
      <c r="G90" s="6"/>
      <c r="H90" s="6" t="str">
        <f>IFERROR(__xludf.DUMMYFUNCTION("""COMPUTED_VALUE"""),"9,37%")</f>
        <v>9,37%</v>
      </c>
      <c r="I90" s="8">
        <f t="shared" si="2"/>
        <v>10780</v>
      </c>
      <c r="J90" s="8">
        <f t="shared" si="3"/>
        <v>10.78</v>
      </c>
    </row>
    <row r="91">
      <c r="B91" s="6" t="str">
        <f t="shared" si="1"/>
        <v>Camboya </v>
      </c>
      <c r="C91" s="6" t="str">
        <f>IFERROR(__xludf.DUMMYFUNCTION("""COMPUTED_VALUE"""),"Camboya [+]")</f>
        <v>Camboya [+]</v>
      </c>
      <c r="D91" s="7">
        <f>IFERROR(__xludf.DUMMYFUNCTION("""COMPUTED_VALUE"""),16955.0)</f>
        <v>16955</v>
      </c>
      <c r="E91" s="6" t="str">
        <f>IFERROR(__xludf.DUMMYFUNCTION("""COMPUTED_VALUE"""),"0,23")</f>
        <v>0,23</v>
      </c>
      <c r="F91" s="6" t="str">
        <f>IFERROR(__xludf.DUMMYFUNCTION("""COMPUTED_VALUE"""),"1,00")</f>
        <v>1,00</v>
      </c>
      <c r="G91" s="6"/>
      <c r="H91" s="6" t="str">
        <f>IFERROR(__xludf.DUMMYFUNCTION("""COMPUTED_VALUE"""),"1,48%")</f>
        <v>1,48%</v>
      </c>
      <c r="I91" s="8">
        <f t="shared" si="2"/>
        <v>16955</v>
      </c>
      <c r="J91" s="8">
        <f t="shared" si="3"/>
        <v>16.955</v>
      </c>
    </row>
    <row r="92">
      <c r="B92" s="6" t="str">
        <f t="shared" si="1"/>
        <v>Kiribati </v>
      </c>
      <c r="C92" s="6" t="str">
        <f>IFERROR(__xludf.DUMMYFUNCTION("""COMPUTED_VALUE"""),"Kiribati [+]")</f>
        <v>Kiribati [+]</v>
      </c>
      <c r="D92" s="7">
        <f>IFERROR(__xludf.DUMMYFUNCTION("""COMPUTED_VALUE"""),75.0)</f>
        <v>75</v>
      </c>
      <c r="E92" s="6" t="str">
        <f>IFERROR(__xludf.DUMMYFUNCTION("""COMPUTED_VALUE"""),"0,30")</f>
        <v>0,30</v>
      </c>
      <c r="F92" s="6" t="str">
        <f>IFERROR(__xludf.DUMMYFUNCTION("""COMPUTED_VALUE"""),"0,61")</f>
        <v>0,61</v>
      </c>
      <c r="G92" s="6"/>
      <c r="H92" s="6" t="str">
        <f>IFERROR(__xludf.DUMMYFUNCTION("""COMPUTED_VALUE"""),"2,38%")</f>
        <v>2,38%</v>
      </c>
      <c r="I92" s="8">
        <f t="shared" si="2"/>
        <v>75</v>
      </c>
      <c r="J92" s="8">
        <f t="shared" si="3"/>
        <v>0.075</v>
      </c>
    </row>
    <row r="93">
      <c r="B93" s="6" t="str">
        <f t="shared" si="1"/>
        <v>Comoras </v>
      </c>
      <c r="C93" s="6" t="str">
        <f>IFERROR(__xludf.DUMMYFUNCTION("""COMPUTED_VALUE"""),"Comoras [+]")</f>
        <v>Comoras [+]</v>
      </c>
      <c r="D93" s="7">
        <f>IFERROR(__xludf.DUMMYFUNCTION("""COMPUTED_VALUE"""),278.0)</f>
        <v>278</v>
      </c>
      <c r="E93" s="6" t="str">
        <f>IFERROR(__xludf.DUMMYFUNCTION("""COMPUTED_VALUE"""),"0,10")</f>
        <v>0,10</v>
      </c>
      <c r="F93" s="6" t="str">
        <f>IFERROR(__xludf.DUMMYFUNCTION("""COMPUTED_VALUE"""),"0,31")</f>
        <v>0,31</v>
      </c>
      <c r="G93" s="6"/>
      <c r="H93" s="6" t="str">
        <f>IFERROR(__xludf.DUMMYFUNCTION("""COMPUTED_VALUE"""),"4,57%")</f>
        <v>4,57%</v>
      </c>
      <c r="I93" s="8">
        <f t="shared" si="2"/>
        <v>278</v>
      </c>
      <c r="J93" s="8">
        <f t="shared" si="3"/>
        <v>0.278</v>
      </c>
    </row>
    <row r="94">
      <c r="B94" s="6" t="str">
        <f t="shared" si="1"/>
        <v>San Cristóbal y Nieves </v>
      </c>
      <c r="C94" s="6" t="str">
        <f>IFERROR(__xludf.DUMMYFUNCTION("""COMPUTED_VALUE"""),"San Cristóbal y Nieves [+]")</f>
        <v>San Cristóbal y Nieves [+]</v>
      </c>
      <c r="D94" s="7">
        <f>IFERROR(__xludf.DUMMYFUNCTION("""COMPUTED_VALUE"""),286.0)</f>
        <v>286</v>
      </c>
      <c r="E94" s="6" t="str">
        <f>IFERROR(__xludf.DUMMYFUNCTION("""COMPUTED_VALUE"""),"0,22")</f>
        <v>0,22</v>
      </c>
      <c r="F94" s="6" t="str">
        <f>IFERROR(__xludf.DUMMYFUNCTION("""COMPUTED_VALUE"""),"4,94")</f>
        <v>4,94</v>
      </c>
      <c r="G94" s="6"/>
      <c r="H94" s="6" t="str">
        <f>IFERROR(__xludf.DUMMYFUNCTION("""COMPUTED_VALUE"""),"9,03%")</f>
        <v>9,03%</v>
      </c>
      <c r="I94" s="8">
        <f t="shared" si="2"/>
        <v>286</v>
      </c>
      <c r="J94" s="8">
        <f t="shared" si="3"/>
        <v>0.286</v>
      </c>
    </row>
    <row r="95">
      <c r="B95" s="6" t="str">
        <f t="shared" si="1"/>
        <v>Corea del Norte </v>
      </c>
      <c r="C95" s="6" t="str">
        <f>IFERROR(__xludf.DUMMYFUNCTION("""COMPUTED_VALUE"""),"Corea del Norte [+]")</f>
        <v>Corea del Norte [+]</v>
      </c>
      <c r="D95" s="7">
        <f>IFERROR(__xludf.DUMMYFUNCTION("""COMPUTED_VALUE"""),62574.0)</f>
        <v>62574</v>
      </c>
      <c r="E95" s="6" t="str">
        <f>IFERROR(__xludf.DUMMYFUNCTION("""COMPUTED_VALUE"""),"0,51")</f>
        <v>0,51</v>
      </c>
      <c r="F95" s="6" t="str">
        <f>IFERROR(__xludf.DUMMYFUNCTION("""COMPUTED_VALUE"""),"2,41")</f>
        <v>2,41</v>
      </c>
      <c r="G95" s="6"/>
      <c r="H95" s="6" t="str">
        <f>IFERROR(__xludf.DUMMYFUNCTION("""COMPUTED_VALUE"""),"2,00%")</f>
        <v>2,00%</v>
      </c>
      <c r="I95" s="8">
        <f t="shared" si="2"/>
        <v>62574</v>
      </c>
      <c r="J95" s="8">
        <f t="shared" si="3"/>
        <v>62.574</v>
      </c>
    </row>
    <row r="96">
      <c r="B96" s="6" t="str">
        <f t="shared" si="1"/>
        <v>Corea del Sur </v>
      </c>
      <c r="C96" s="6" t="str">
        <f>IFERROR(__xludf.DUMMYFUNCTION("""COMPUTED_VALUE"""),"Corea del Sur [+]")</f>
        <v>Corea del Sur [+]</v>
      </c>
      <c r="D96" s="7">
        <f>IFERROR(__xludf.DUMMYFUNCTION("""COMPUTED_VALUE"""),626800.0)</f>
        <v>626800</v>
      </c>
      <c r="E96" s="6" t="str">
        <f>IFERROR(__xludf.DUMMYFUNCTION("""COMPUTED_VALUE"""),"0,27")</f>
        <v>0,27</v>
      </c>
      <c r="F96" s="6" t="str">
        <f>IFERROR(__xludf.DUMMYFUNCTION("""COMPUTED_VALUE"""),"12,13")</f>
        <v>12,13</v>
      </c>
      <c r="G96" s="6"/>
      <c r="H96" s="6" t="str">
        <f>IFERROR(__xludf.DUMMYFUNCTION("""COMPUTED_VALUE"""),"3,21%")</f>
        <v>3,21%</v>
      </c>
      <c r="I96" s="8">
        <f t="shared" si="2"/>
        <v>626800</v>
      </c>
      <c r="J96" s="8">
        <f t="shared" si="3"/>
        <v>626.8</v>
      </c>
    </row>
    <row r="97">
      <c r="B97" s="6" t="str">
        <f t="shared" si="1"/>
        <v>Kuwait </v>
      </c>
      <c r="C97" s="6" t="str">
        <f>IFERROR(__xludf.DUMMYFUNCTION("""COMPUTED_VALUE"""),"Kuwait [+]")</f>
        <v>Kuwait [+]</v>
      </c>
      <c r="D97" s="7">
        <f>IFERROR(__xludf.DUMMYFUNCTION("""COMPUTED_VALUE"""),98083.0)</f>
        <v>98083</v>
      </c>
      <c r="E97" s="6" t="str">
        <f>IFERROR(__xludf.DUMMYFUNCTION("""COMPUTED_VALUE"""),"0,51")</f>
        <v>0,51</v>
      </c>
      <c r="F97" s="6" t="str">
        <f>IFERROR(__xludf.DUMMYFUNCTION("""COMPUTED_VALUE"""),"22,49")</f>
        <v>22,49</v>
      </c>
      <c r="G97" s="6"/>
      <c r="H97" s="6" t="str">
        <f>IFERROR(__xludf.DUMMYFUNCTION("""COMPUTED_VALUE"""),"6,20%")</f>
        <v>6,20%</v>
      </c>
      <c r="I97" s="8">
        <f t="shared" si="2"/>
        <v>98083</v>
      </c>
      <c r="J97" s="8">
        <f t="shared" si="3"/>
        <v>98.083</v>
      </c>
    </row>
    <row r="98">
      <c r="B98" s="6" t="str">
        <f t="shared" si="1"/>
        <v>Kazajistán </v>
      </c>
      <c r="C98" s="6" t="str">
        <f>IFERROR(__xludf.DUMMYFUNCTION("""COMPUTED_VALUE"""),"Kazajistán [+]")</f>
        <v>Kazajistán [+]</v>
      </c>
      <c r="D98" s="7">
        <f>IFERROR(__xludf.DUMMYFUNCTION("""COMPUTED_VALUE"""),211207.0)</f>
        <v>211207</v>
      </c>
      <c r="E98" s="6" t="str">
        <f>IFERROR(__xludf.DUMMYFUNCTION("""COMPUTED_VALUE"""),"0,43")</f>
        <v>0,43</v>
      </c>
      <c r="F98" s="6" t="str">
        <f>IFERROR(__xludf.DUMMYFUNCTION("""COMPUTED_VALUE"""),"11,14")</f>
        <v>11,14</v>
      </c>
      <c r="G98" s="6"/>
      <c r="H98" s="6" t="str">
        <f>IFERROR(__xludf.DUMMYFUNCTION("""COMPUTED_VALUE"""),"-1,73%")</f>
        <v>-1,73%</v>
      </c>
      <c r="I98" s="8">
        <f t="shared" si="2"/>
        <v>211207</v>
      </c>
      <c r="J98" s="8">
        <f t="shared" si="3"/>
        <v>211.207</v>
      </c>
    </row>
    <row r="99">
      <c r="B99" s="6" t="str">
        <f t="shared" si="1"/>
        <v>Laos </v>
      </c>
      <c r="C99" s="6" t="str">
        <f>IFERROR(__xludf.DUMMYFUNCTION("""COMPUTED_VALUE"""),"Laos [+]")</f>
        <v>Laos [+]</v>
      </c>
      <c r="D99" s="7">
        <f>IFERROR(__xludf.DUMMYFUNCTION("""COMPUTED_VALUE"""),20560.0)</f>
        <v>20560</v>
      </c>
      <c r="E99" s="6" t="str">
        <f>IFERROR(__xludf.DUMMYFUNCTION("""COMPUTED_VALUE"""),"0,35")</f>
        <v>0,35</v>
      </c>
      <c r="F99" s="6" t="str">
        <f>IFERROR(__xludf.DUMMYFUNCTION("""COMPUTED_VALUE"""),"2,83")</f>
        <v>2,83</v>
      </c>
      <c r="G99" s="6"/>
      <c r="H99" s="6" t="str">
        <f>IFERROR(__xludf.DUMMYFUNCTION("""COMPUTED_VALUE"""),"0,35%")</f>
        <v>0,35%</v>
      </c>
      <c r="I99" s="8">
        <f t="shared" si="2"/>
        <v>20560</v>
      </c>
      <c r="J99" s="8">
        <f t="shared" si="3"/>
        <v>20.56</v>
      </c>
    </row>
    <row r="100">
      <c r="B100" s="6" t="str">
        <f t="shared" si="1"/>
        <v>Líbano </v>
      </c>
      <c r="C100" s="6" t="str">
        <f>IFERROR(__xludf.DUMMYFUNCTION("""COMPUTED_VALUE"""),"Líbano [+]")</f>
        <v>Líbano [+]</v>
      </c>
      <c r="D100" s="7">
        <f>IFERROR(__xludf.DUMMYFUNCTION("""COMPUTED_VALUE"""),25769.0)</f>
        <v>25769</v>
      </c>
      <c r="E100" s="6" t="str">
        <f>IFERROR(__xludf.DUMMYFUNCTION("""COMPUTED_VALUE"""),"0,39")</f>
        <v>0,39</v>
      </c>
      <c r="F100" s="6" t="str">
        <f>IFERROR(__xludf.DUMMYFUNCTION("""COMPUTED_VALUE"""),"4,33")</f>
        <v>4,33</v>
      </c>
      <c r="G100" s="6"/>
      <c r="H100" s="6" t="str">
        <f>IFERROR(__xludf.DUMMYFUNCTION("""COMPUTED_VALUE"""),"4,26%")</f>
        <v>4,26%</v>
      </c>
      <c r="I100" s="8">
        <f t="shared" si="2"/>
        <v>25769</v>
      </c>
      <c r="J100" s="8">
        <f t="shared" si="3"/>
        <v>25.769</v>
      </c>
    </row>
    <row r="101">
      <c r="B101" s="6" t="str">
        <f t="shared" si="1"/>
        <v>Santa Lucía </v>
      </c>
      <c r="C101" s="6" t="str">
        <f>IFERROR(__xludf.DUMMYFUNCTION("""COMPUTED_VALUE"""),"Santa Lucía [+]")</f>
        <v>Santa Lucía [+]</v>
      </c>
      <c r="D101" s="7">
        <f>IFERROR(__xludf.DUMMYFUNCTION("""COMPUTED_VALUE"""),713.0)</f>
        <v>713</v>
      </c>
      <c r="E101" s="6" t="str">
        <f>IFERROR(__xludf.DUMMYFUNCTION("""COMPUTED_VALUE"""),"0,30")</f>
        <v>0,30</v>
      </c>
      <c r="F101" s="6" t="str">
        <f>IFERROR(__xludf.DUMMYFUNCTION("""COMPUTED_VALUE"""),"3,94")</f>
        <v>3,94</v>
      </c>
      <c r="G101" s="6"/>
      <c r="H101" s="6" t="str">
        <f>IFERROR(__xludf.DUMMYFUNCTION("""COMPUTED_VALUE"""),"11,47%")</f>
        <v>11,47%</v>
      </c>
      <c r="I101" s="8">
        <f t="shared" si="2"/>
        <v>713</v>
      </c>
      <c r="J101" s="8">
        <f t="shared" si="3"/>
        <v>0.713</v>
      </c>
    </row>
    <row r="102">
      <c r="B102" s="6" t="str">
        <f t="shared" si="1"/>
        <v>Sri Lanka </v>
      </c>
      <c r="C102" s="6" t="str">
        <f>IFERROR(__xludf.DUMMYFUNCTION("""COMPUTED_VALUE"""),"Sri Lanka [+]")</f>
        <v>Sri Lanka [+]</v>
      </c>
      <c r="D102" s="7">
        <f>IFERROR(__xludf.DUMMYFUNCTION("""COMPUTED_VALUE"""),23863.0)</f>
        <v>23863</v>
      </c>
      <c r="E102" s="6" t="str">
        <f>IFERROR(__xludf.DUMMYFUNCTION("""COMPUTED_VALUE"""),"0,08")</f>
        <v>0,08</v>
      </c>
      <c r="F102" s="6" t="str">
        <f>IFERROR(__xludf.DUMMYFUNCTION("""COMPUTED_VALUE"""),"1,13")</f>
        <v>1,13</v>
      </c>
      <c r="G102" s="6"/>
      <c r="H102" s="6" t="str">
        <f>IFERROR(__xludf.DUMMYFUNCTION("""COMPUTED_VALUE"""),"-3,03%")</f>
        <v>-3,03%</v>
      </c>
      <c r="I102" s="8">
        <f t="shared" si="2"/>
        <v>23863</v>
      </c>
      <c r="J102" s="8">
        <f t="shared" si="3"/>
        <v>23.863</v>
      </c>
    </row>
    <row r="103">
      <c r="B103" s="6" t="str">
        <f t="shared" si="1"/>
        <v>Liberia </v>
      </c>
      <c r="C103" s="6" t="str">
        <f>IFERROR(__xludf.DUMMYFUNCTION("""COMPUTED_VALUE"""),"Liberia [+]")</f>
        <v>Liberia [+]</v>
      </c>
      <c r="D103" s="7">
        <f>IFERROR(__xludf.DUMMYFUNCTION("""COMPUTED_VALUE"""),1444.0)</f>
        <v>1444</v>
      </c>
      <c r="E103" s="6" t="str">
        <f>IFERROR(__xludf.DUMMYFUNCTION("""COMPUTED_VALUE"""),"0,20")</f>
        <v>0,20</v>
      </c>
      <c r="F103" s="6" t="str">
        <f>IFERROR(__xludf.DUMMYFUNCTION("""COMPUTED_VALUE"""),"0,28")</f>
        <v>0,28</v>
      </c>
      <c r="G103" s="6"/>
      <c r="H103" s="6" t="str">
        <f>IFERROR(__xludf.DUMMYFUNCTION("""COMPUTED_VALUE"""),"4,69%")</f>
        <v>4,69%</v>
      </c>
      <c r="I103" s="8">
        <f t="shared" si="2"/>
        <v>1444</v>
      </c>
      <c r="J103" s="8">
        <f t="shared" si="3"/>
        <v>1.444</v>
      </c>
    </row>
    <row r="104">
      <c r="B104" s="6" t="str">
        <f t="shared" si="1"/>
        <v>Lesoto </v>
      </c>
      <c r="C104" s="6" t="str">
        <f>IFERROR(__xludf.DUMMYFUNCTION("""COMPUTED_VALUE"""),"Lesoto [+]")</f>
        <v>Lesoto [+]</v>
      </c>
      <c r="D104" s="7">
        <f>IFERROR(__xludf.DUMMYFUNCTION("""COMPUTED_VALUE"""),653.0)</f>
        <v>653</v>
      </c>
      <c r="E104" s="6" t="str">
        <f>IFERROR(__xludf.DUMMYFUNCTION("""COMPUTED_VALUE"""),"0,12")</f>
        <v>0,12</v>
      </c>
      <c r="F104" s="6" t="str">
        <f>IFERROR(__xludf.DUMMYFUNCTION("""COMPUTED_VALUE"""),"0,28")</f>
        <v>0,28</v>
      </c>
      <c r="G104" s="6"/>
      <c r="H104" s="6" t="str">
        <f>IFERROR(__xludf.DUMMYFUNCTION("""COMPUTED_VALUE"""),"1,87%")</f>
        <v>1,87%</v>
      </c>
      <c r="I104" s="8">
        <f t="shared" si="2"/>
        <v>653</v>
      </c>
      <c r="J104" s="8">
        <f t="shared" si="3"/>
        <v>0.653</v>
      </c>
    </row>
    <row r="105">
      <c r="B105" s="6" t="str">
        <f t="shared" si="1"/>
        <v>Lituania </v>
      </c>
      <c r="C105" s="6" t="str">
        <f>IFERROR(__xludf.DUMMYFUNCTION("""COMPUTED_VALUE"""),"Lituania [+]")</f>
        <v>Lituania [+]</v>
      </c>
      <c r="D105" s="7">
        <f>IFERROR(__xludf.DUMMYFUNCTION("""COMPUTED_VALUE"""),13825.0)</f>
        <v>13825</v>
      </c>
      <c r="E105" s="6" t="str">
        <f>IFERROR(__xludf.DUMMYFUNCTION("""COMPUTED_VALUE"""),"0,13")</f>
        <v>0,13</v>
      </c>
      <c r="F105" s="6" t="str">
        <f>IFERROR(__xludf.DUMMYFUNCTION("""COMPUTED_VALUE"""),"4,87")</f>
        <v>4,87</v>
      </c>
      <c r="G105" s="6"/>
      <c r="H105" s="6" t="str">
        <f>IFERROR(__xludf.DUMMYFUNCTION("""COMPUTED_VALUE"""),"2,42%")</f>
        <v>2,42%</v>
      </c>
      <c r="I105" s="8">
        <f t="shared" si="2"/>
        <v>13825</v>
      </c>
      <c r="J105" s="8">
        <f t="shared" si="3"/>
        <v>13.825</v>
      </c>
    </row>
    <row r="106">
      <c r="B106" s="6" t="str">
        <f t="shared" si="1"/>
        <v>Luxemburgo </v>
      </c>
      <c r="C106" s="6" t="str">
        <f>IFERROR(__xludf.DUMMYFUNCTION("""COMPUTED_VALUE"""),"Luxemburgo [+]")</f>
        <v>Luxemburgo [+]</v>
      </c>
      <c r="D106" s="7">
        <f>IFERROR(__xludf.DUMMYFUNCTION("""COMPUTED_VALUE"""),8446.0)</f>
        <v>8446</v>
      </c>
      <c r="E106" s="6" t="str">
        <f>IFERROR(__xludf.DUMMYFUNCTION("""COMPUTED_VALUE"""),"0,11")</f>
        <v>0,11</v>
      </c>
      <c r="F106" s="6" t="str">
        <f>IFERROR(__xludf.DUMMYFUNCTION("""COMPUTED_VALUE"""),"13,82")</f>
        <v>13,82</v>
      </c>
      <c r="G106" s="6"/>
      <c r="H106" s="6" t="str">
        <f>IFERROR(__xludf.DUMMYFUNCTION("""COMPUTED_VALUE"""),"2,34%")</f>
        <v>2,34%</v>
      </c>
      <c r="I106" s="8">
        <f t="shared" si="2"/>
        <v>8446</v>
      </c>
      <c r="J106" s="8">
        <f t="shared" si="3"/>
        <v>8.446</v>
      </c>
    </row>
    <row r="107">
      <c r="B107" s="6" t="str">
        <f t="shared" si="1"/>
        <v>Letonia </v>
      </c>
      <c r="C107" s="6" t="str">
        <f>IFERROR(__xludf.DUMMYFUNCTION("""COMPUTED_VALUE"""),"Letonia [+]")</f>
        <v>Letonia [+]</v>
      </c>
      <c r="D107" s="7">
        <f>IFERROR(__xludf.DUMMYFUNCTION("""COMPUTED_VALUE"""),7212.0)</f>
        <v>7212</v>
      </c>
      <c r="E107" s="6" t="str">
        <f>IFERROR(__xludf.DUMMYFUNCTION("""COMPUTED_VALUE"""),"0,12")</f>
        <v>0,12</v>
      </c>
      <c r="F107" s="6" t="str">
        <f>IFERROR(__xludf.DUMMYFUNCTION("""COMPUTED_VALUE"""),"3,85")</f>
        <v>3,85</v>
      </c>
      <c r="G107" s="6"/>
      <c r="H107" s="6" t="str">
        <f>IFERROR(__xludf.DUMMYFUNCTION("""COMPUTED_VALUE"""),"4,94%")</f>
        <v>4,94%</v>
      </c>
      <c r="I107" s="8">
        <f t="shared" si="2"/>
        <v>7212</v>
      </c>
      <c r="J107" s="8">
        <f t="shared" si="3"/>
        <v>7.212</v>
      </c>
    </row>
    <row r="108">
      <c r="B108" s="6" t="str">
        <f t="shared" si="1"/>
        <v>Libia </v>
      </c>
      <c r="C108" s="6" t="str">
        <f>IFERROR(__xludf.DUMMYFUNCTION("""COMPUTED_VALUE"""),"Libia [+]")</f>
        <v>Libia [+]</v>
      </c>
      <c r="D108" s="7">
        <f>IFERROR(__xludf.DUMMYFUNCTION("""COMPUTED_VALUE"""),63278.0)</f>
        <v>63278</v>
      </c>
      <c r="E108" s="6" t="str">
        <f>IFERROR(__xludf.DUMMYFUNCTION("""COMPUTED_VALUE"""),"0,43")</f>
        <v>0,43</v>
      </c>
      <c r="F108" s="6" t="str">
        <f>IFERROR(__xludf.DUMMYFUNCTION("""COMPUTED_VALUE"""),"9,38")</f>
        <v>9,38</v>
      </c>
      <c r="G108" s="6"/>
      <c r="H108" s="6" t="str">
        <f>IFERROR(__xludf.DUMMYFUNCTION("""COMPUTED_VALUE"""),"27,81%")</f>
        <v>27,81%</v>
      </c>
      <c r="I108" s="8">
        <f t="shared" si="2"/>
        <v>63278</v>
      </c>
      <c r="J108" s="8">
        <f t="shared" si="3"/>
        <v>63.278</v>
      </c>
    </row>
    <row r="109">
      <c r="B109" s="6" t="str">
        <f t="shared" si="1"/>
        <v>Marruecos </v>
      </c>
      <c r="C109" s="6" t="str">
        <f>IFERROR(__xludf.DUMMYFUNCTION("""COMPUTED_VALUE"""),"Marruecos [+]")</f>
        <v>Marruecos [+]</v>
      </c>
      <c r="D109" s="7">
        <f>IFERROR(__xludf.DUMMYFUNCTION("""COMPUTED_VALUE"""),73968.0)</f>
        <v>73968</v>
      </c>
      <c r="E109" s="6" t="str">
        <f>IFERROR(__xludf.DUMMYFUNCTION("""COMPUTED_VALUE"""),"0,26")</f>
        <v>0,26</v>
      </c>
      <c r="F109" s="6" t="str">
        <f>IFERROR(__xludf.DUMMYFUNCTION("""COMPUTED_VALUE"""),"1,97")</f>
        <v>1,97</v>
      </c>
      <c r="G109" s="6"/>
      <c r="H109" s="6" t="str">
        <f>IFERROR(__xludf.DUMMYFUNCTION("""COMPUTED_VALUE"""),"8,45%")</f>
        <v>8,45%</v>
      </c>
      <c r="I109" s="8">
        <f t="shared" si="2"/>
        <v>73968</v>
      </c>
      <c r="J109" s="8">
        <f t="shared" si="3"/>
        <v>73.968</v>
      </c>
    </row>
    <row r="110">
      <c r="B110" s="6" t="str">
        <f t="shared" si="1"/>
        <v>Moldavia </v>
      </c>
      <c r="C110" s="6" t="str">
        <f>IFERROR(__xludf.DUMMYFUNCTION("""COMPUTED_VALUE"""),"Moldavia [+]")</f>
        <v>Moldavia [+]</v>
      </c>
      <c r="D110" s="7">
        <f>IFERROR(__xludf.DUMMYFUNCTION("""COMPUTED_VALUE"""),9550.0)</f>
        <v>9550</v>
      </c>
      <c r="E110" s="6" t="str">
        <f>IFERROR(__xludf.DUMMYFUNCTION("""COMPUTED_VALUE"""),"0,26")</f>
        <v>0,26</v>
      </c>
      <c r="F110" s="6" t="str">
        <f>IFERROR(__xludf.DUMMYFUNCTION("""COMPUTED_VALUE"""),"2,38")</f>
        <v>2,38</v>
      </c>
      <c r="G110" s="6"/>
      <c r="H110" s="6" t="str">
        <f>IFERROR(__xludf.DUMMYFUNCTION("""COMPUTED_VALUE"""),"7,21%")</f>
        <v>7,21%</v>
      </c>
      <c r="I110" s="8">
        <f t="shared" si="2"/>
        <v>9550</v>
      </c>
      <c r="J110" s="8">
        <f t="shared" si="3"/>
        <v>9.55</v>
      </c>
    </row>
    <row r="111">
      <c r="B111" s="6" t="str">
        <f t="shared" si="1"/>
        <v>Madagascar </v>
      </c>
      <c r="C111" s="6" t="str">
        <f>IFERROR(__xludf.DUMMYFUNCTION("""COMPUTED_VALUE"""),"Madagascar [+]")</f>
        <v>Madagascar [+]</v>
      </c>
      <c r="D111" s="7">
        <f>IFERROR(__xludf.DUMMYFUNCTION("""COMPUTED_VALUE"""),5300.0)</f>
        <v>5300</v>
      </c>
      <c r="E111" s="6" t="str">
        <f>IFERROR(__xludf.DUMMYFUNCTION("""COMPUTED_VALUE"""),"0,13")</f>
        <v>0,13</v>
      </c>
      <c r="F111" s="6" t="str">
        <f>IFERROR(__xludf.DUMMYFUNCTION("""COMPUTED_VALUE"""),"0,19")</f>
        <v>0,19</v>
      </c>
      <c r="G111" s="6"/>
      <c r="H111" s="6" t="str">
        <f>IFERROR(__xludf.DUMMYFUNCTION("""COMPUTED_VALUE"""),"4,18%")</f>
        <v>4,18%</v>
      </c>
      <c r="I111" s="8">
        <f t="shared" si="2"/>
        <v>5300</v>
      </c>
      <c r="J111" s="8">
        <f t="shared" si="3"/>
        <v>5.3</v>
      </c>
    </row>
    <row r="112">
      <c r="B112" s="6" t="str">
        <f t="shared" si="1"/>
        <v>Macedonia del Norte </v>
      </c>
      <c r="C112" s="6" t="str">
        <f>IFERROR(__xludf.DUMMYFUNCTION("""COMPUTED_VALUE"""),"Macedonia del Norte [+]")</f>
        <v>Macedonia del Norte [+]</v>
      </c>
      <c r="D112" s="7">
        <f>IFERROR(__xludf.DUMMYFUNCTION("""COMPUTED_VALUE"""),7508.0)</f>
        <v>7508</v>
      </c>
      <c r="E112" s="6" t="str">
        <f>IFERROR(__xludf.DUMMYFUNCTION("""COMPUTED_VALUE"""),"0,22")</f>
        <v>0,22</v>
      </c>
      <c r="F112" s="6" t="str">
        <f>IFERROR(__xludf.DUMMYFUNCTION("""COMPUTED_VALUE"""),"3,59")</f>
        <v>3,59</v>
      </c>
      <c r="G112" s="6"/>
      <c r="H112" s="6" t="str">
        <f>IFERROR(__xludf.DUMMYFUNCTION("""COMPUTED_VALUE"""),"4,81%")</f>
        <v>4,81%</v>
      </c>
      <c r="I112" s="8">
        <f t="shared" si="2"/>
        <v>7508</v>
      </c>
      <c r="J112" s="8">
        <f t="shared" si="3"/>
        <v>7.508</v>
      </c>
    </row>
    <row r="113">
      <c r="B113" s="6" t="str">
        <f t="shared" si="1"/>
        <v>Malí </v>
      </c>
      <c r="C113" s="6" t="str">
        <f>IFERROR(__xludf.DUMMYFUNCTION("""COMPUTED_VALUE"""),"Malí [+]")</f>
        <v>Malí [+]</v>
      </c>
      <c r="D113" s="7">
        <f>IFERROR(__xludf.DUMMYFUNCTION("""COMPUTED_VALUE"""),5922.0)</f>
        <v>5922</v>
      </c>
      <c r="E113" s="6" t="str">
        <f>IFERROR(__xludf.DUMMYFUNCTION("""COMPUTED_VALUE"""),"0,13")</f>
        <v>0,13</v>
      </c>
      <c r="F113" s="6" t="str">
        <f>IFERROR(__xludf.DUMMYFUNCTION("""COMPUTED_VALUE"""),"0,28")</f>
        <v>0,28</v>
      </c>
      <c r="G113" s="6"/>
      <c r="H113" s="6" t="str">
        <f>IFERROR(__xludf.DUMMYFUNCTION("""COMPUTED_VALUE"""),"4,14%")</f>
        <v>4,14%</v>
      </c>
      <c r="I113" s="8">
        <f t="shared" si="2"/>
        <v>5922</v>
      </c>
      <c r="J113" s="8">
        <f t="shared" si="3"/>
        <v>5.922</v>
      </c>
    </row>
    <row r="114">
      <c r="B114" s="6" t="str">
        <f t="shared" si="1"/>
        <v>Myanmar </v>
      </c>
      <c r="C114" s="6" t="str">
        <f>IFERROR(__xludf.DUMMYFUNCTION("""COMPUTED_VALUE"""),"Myanmar [+]")</f>
        <v>Myanmar [+]</v>
      </c>
      <c r="D114" s="7">
        <f>IFERROR(__xludf.DUMMYFUNCTION("""COMPUTED_VALUE"""),40051.0)</f>
        <v>40051</v>
      </c>
      <c r="E114" s="6" t="str">
        <f>IFERROR(__xludf.DUMMYFUNCTION("""COMPUTED_VALUE"""),"0,18")</f>
        <v>0,18</v>
      </c>
      <c r="F114" s="6" t="str">
        <f>IFERROR(__xludf.DUMMYFUNCTION("""COMPUTED_VALUE"""),"0,72")</f>
        <v>0,72</v>
      </c>
      <c r="G114" s="6"/>
      <c r="H114" s="6" t="str">
        <f>IFERROR(__xludf.DUMMYFUNCTION("""COMPUTED_VALUE"""),"0,04%")</f>
        <v>0,04%</v>
      </c>
      <c r="I114" s="8">
        <f t="shared" si="2"/>
        <v>40051</v>
      </c>
      <c r="J114" s="8">
        <f t="shared" si="3"/>
        <v>40.051</v>
      </c>
    </row>
    <row r="115">
      <c r="B115" s="6" t="str">
        <f t="shared" si="1"/>
        <v>Mongolia </v>
      </c>
      <c r="C115" s="6" t="str">
        <f>IFERROR(__xludf.DUMMYFUNCTION("""COMPUTED_VALUE"""),"Mongolia [+]")</f>
        <v>Mongolia [+]</v>
      </c>
      <c r="D115" s="7">
        <f>IFERROR(__xludf.DUMMYFUNCTION("""COMPUTED_VALUE"""),24985.0)</f>
        <v>24985</v>
      </c>
      <c r="E115" s="6" t="str">
        <f>IFERROR(__xludf.DUMMYFUNCTION("""COMPUTED_VALUE"""),"0,64")</f>
        <v>0,64</v>
      </c>
      <c r="F115" s="6" t="str">
        <f>IFERROR(__xludf.DUMMYFUNCTION("""COMPUTED_VALUE"""),"7,69")</f>
        <v>7,69</v>
      </c>
      <c r="G115" s="6"/>
      <c r="H115" s="6" t="str">
        <f>IFERROR(__xludf.DUMMYFUNCTION("""COMPUTED_VALUE"""),"0,54%")</f>
        <v>0,54%</v>
      </c>
      <c r="I115" s="8">
        <f t="shared" si="2"/>
        <v>24985</v>
      </c>
      <c r="J115" s="8">
        <f t="shared" si="3"/>
        <v>24.985</v>
      </c>
    </row>
    <row r="116">
      <c r="B116" s="6" t="str">
        <f t="shared" si="1"/>
        <v>Mauritania </v>
      </c>
      <c r="C116" s="6" t="str">
        <f>IFERROR(__xludf.DUMMYFUNCTION("""COMPUTED_VALUE"""),"Mauritania [+]")</f>
        <v>Mauritania [+]</v>
      </c>
      <c r="D116" s="7">
        <f>IFERROR(__xludf.DUMMYFUNCTION("""COMPUTED_VALUE"""),4257.0)</f>
        <v>4257</v>
      </c>
      <c r="E116" s="6" t="str">
        <f>IFERROR(__xludf.DUMMYFUNCTION("""COMPUTED_VALUE"""),"0,18")</f>
        <v>0,18</v>
      </c>
      <c r="F116" s="6" t="str">
        <f>IFERROR(__xludf.DUMMYFUNCTION("""COMPUTED_VALUE"""),"0,87")</f>
        <v>0,87</v>
      </c>
      <c r="G116" s="6"/>
      <c r="H116" s="6" t="str">
        <f>IFERROR(__xludf.DUMMYFUNCTION("""COMPUTED_VALUE"""),"4,71%")</f>
        <v>4,71%</v>
      </c>
      <c r="I116" s="8">
        <f t="shared" si="2"/>
        <v>4257</v>
      </c>
      <c r="J116" s="8">
        <f t="shared" si="3"/>
        <v>4.257</v>
      </c>
    </row>
    <row r="117">
      <c r="B117" s="6" t="str">
        <f t="shared" si="1"/>
        <v>Malta </v>
      </c>
      <c r="C117" s="6" t="str">
        <f>IFERROR(__xludf.DUMMYFUNCTION("""COMPUTED_VALUE"""),"Malta [+]")</f>
        <v>Malta [+]</v>
      </c>
      <c r="D117" s="7">
        <f>IFERROR(__xludf.DUMMYFUNCTION("""COMPUTED_VALUE"""),1745.0)</f>
        <v>1745</v>
      </c>
      <c r="E117" s="6" t="str">
        <f>IFERROR(__xludf.DUMMYFUNCTION("""COMPUTED_VALUE"""),"0,08")</f>
        <v>0,08</v>
      </c>
      <c r="F117" s="6" t="str">
        <f>IFERROR(__xludf.DUMMYFUNCTION("""COMPUTED_VALUE"""),"4,00")</f>
        <v>4,00</v>
      </c>
      <c r="G117" s="6"/>
      <c r="H117" s="6" t="str">
        <f>IFERROR(__xludf.DUMMYFUNCTION("""COMPUTED_VALUE"""),"7,08%")</f>
        <v>7,08%</v>
      </c>
      <c r="I117" s="8">
        <f t="shared" si="2"/>
        <v>1745</v>
      </c>
      <c r="J117" s="8">
        <f t="shared" si="3"/>
        <v>1.745</v>
      </c>
    </row>
    <row r="118">
      <c r="B118" s="6" t="str">
        <f t="shared" si="1"/>
        <v>Mauricio </v>
      </c>
      <c r="C118" s="6" t="str">
        <f>IFERROR(__xludf.DUMMYFUNCTION("""COMPUTED_VALUE"""),"Mauricio [+]")</f>
        <v>Mauricio [+]</v>
      </c>
      <c r="D118" s="7">
        <f>IFERROR(__xludf.DUMMYFUNCTION("""COMPUTED_VALUE"""),4128.0)</f>
        <v>4128</v>
      </c>
      <c r="E118" s="6" t="str">
        <f>IFERROR(__xludf.DUMMYFUNCTION("""COMPUTED_VALUE"""),"0,16")</f>
        <v>0,16</v>
      </c>
      <c r="F118" s="6" t="str">
        <f>IFERROR(__xludf.DUMMYFUNCTION("""COMPUTED_VALUE"""),"3,24")</f>
        <v>3,24</v>
      </c>
      <c r="G118" s="6"/>
      <c r="H118" s="6" t="str">
        <f>IFERROR(__xludf.DUMMYFUNCTION("""COMPUTED_VALUE"""),"6,84%")</f>
        <v>6,84%</v>
      </c>
      <c r="I118" s="8">
        <f t="shared" si="2"/>
        <v>4128</v>
      </c>
      <c r="J118" s="8">
        <f t="shared" si="3"/>
        <v>4.128</v>
      </c>
    </row>
    <row r="119">
      <c r="B119" s="6" t="str">
        <f t="shared" si="1"/>
        <v>Maldivas </v>
      </c>
      <c r="C119" s="6" t="str">
        <f>IFERROR(__xludf.DUMMYFUNCTION("""COMPUTED_VALUE"""),"Maldivas [+]")</f>
        <v>Maldivas [+]</v>
      </c>
      <c r="D119" s="7">
        <f>IFERROR(__xludf.DUMMYFUNCTION("""COMPUTED_VALUE"""),2206.0)</f>
        <v>2206</v>
      </c>
      <c r="E119" s="6" t="str">
        <f>IFERROR(__xludf.DUMMYFUNCTION("""COMPUTED_VALUE"""),"0,24")</f>
        <v>0,24</v>
      </c>
      <c r="F119" s="6" t="str">
        <f>IFERROR(__xludf.DUMMYFUNCTION("""COMPUTED_VALUE"""),"4,74")</f>
        <v>4,74</v>
      </c>
      <c r="G119" s="6"/>
      <c r="H119" s="6" t="str">
        <f>IFERROR(__xludf.DUMMYFUNCTION("""COMPUTED_VALUE"""),"2,34%")</f>
        <v>2,34%</v>
      </c>
      <c r="I119" s="8">
        <f t="shared" si="2"/>
        <v>2206</v>
      </c>
      <c r="J119" s="8">
        <f t="shared" si="3"/>
        <v>2.206</v>
      </c>
    </row>
    <row r="120">
      <c r="B120" s="6" t="str">
        <f t="shared" si="1"/>
        <v>Malaui </v>
      </c>
      <c r="C120" s="6" t="str">
        <f>IFERROR(__xludf.DUMMYFUNCTION("""COMPUTED_VALUE"""),"Malaui [+]")</f>
        <v>Malaui [+]</v>
      </c>
      <c r="D120" s="7">
        <f>IFERROR(__xludf.DUMMYFUNCTION("""COMPUTED_VALUE"""),1819.0)</f>
        <v>1819</v>
      </c>
      <c r="E120" s="6" t="str">
        <f>IFERROR(__xludf.DUMMYFUNCTION("""COMPUTED_VALUE"""),"0,06")</f>
        <v>0,06</v>
      </c>
      <c r="F120" s="6" t="str">
        <f>IFERROR(__xludf.DUMMYFUNCTION("""COMPUTED_VALUE"""),"0,09")</f>
        <v>0,09</v>
      </c>
      <c r="G120" s="6"/>
      <c r="H120" s="6" t="str">
        <f>IFERROR(__xludf.DUMMYFUNCTION("""COMPUTED_VALUE"""),"3,53%")</f>
        <v>3,53%</v>
      </c>
      <c r="I120" s="8">
        <f t="shared" si="2"/>
        <v>1819</v>
      </c>
      <c r="J120" s="8">
        <f t="shared" si="3"/>
        <v>1.819</v>
      </c>
    </row>
    <row r="121">
      <c r="B121" s="6" t="str">
        <f t="shared" si="1"/>
        <v>México </v>
      </c>
      <c r="C121" s="6" t="str">
        <f>IFERROR(__xludf.DUMMYFUNCTION("""COMPUTED_VALUE"""),"México [+]")</f>
        <v>México [+]</v>
      </c>
      <c r="D121" s="7">
        <f>IFERROR(__xludf.DUMMYFUNCTION("""COMPUTED_VALUE"""),418348.0)</f>
        <v>418348</v>
      </c>
      <c r="E121" s="6" t="str">
        <f>IFERROR(__xludf.DUMMYFUNCTION("""COMPUTED_VALUE"""),"0,17")</f>
        <v>0,17</v>
      </c>
      <c r="F121" s="6" t="str">
        <f>IFERROR(__xludf.DUMMYFUNCTION("""COMPUTED_VALUE"""),"3,09")</f>
        <v>3,09</v>
      </c>
      <c r="G121" s="6"/>
      <c r="H121" s="6" t="str">
        <f>IFERROR(__xludf.DUMMYFUNCTION("""COMPUTED_VALUE"""),"3,13%")</f>
        <v>3,13%</v>
      </c>
      <c r="I121" s="8">
        <f t="shared" si="2"/>
        <v>418348</v>
      </c>
      <c r="J121" s="8">
        <f t="shared" si="3"/>
        <v>418.348</v>
      </c>
    </row>
    <row r="122">
      <c r="B122" s="6" t="str">
        <f t="shared" si="1"/>
        <v>Malasia </v>
      </c>
      <c r="C122" s="6" t="str">
        <f>IFERROR(__xludf.DUMMYFUNCTION("""COMPUTED_VALUE"""),"Malasia [+]")</f>
        <v>Malasia [+]</v>
      </c>
      <c r="D122" s="7">
        <f>IFERROR(__xludf.DUMMYFUNCTION("""COMPUTED_VALUE"""),251555.0)</f>
        <v>251555</v>
      </c>
      <c r="E122" s="6" t="str">
        <f>IFERROR(__xludf.DUMMYFUNCTION("""COMPUTED_VALUE"""),"0,28")</f>
        <v>0,28</v>
      </c>
      <c r="F122" s="6" t="str">
        <f>IFERROR(__xludf.DUMMYFUNCTION("""COMPUTED_VALUE"""),"7,56")</f>
        <v>7,56</v>
      </c>
      <c r="G122" s="6"/>
      <c r="H122" s="6" t="str">
        <f>IFERROR(__xludf.DUMMYFUNCTION("""COMPUTED_VALUE"""),"-3,05%")</f>
        <v>-3,05%</v>
      </c>
      <c r="I122" s="8">
        <f t="shared" si="2"/>
        <v>251555</v>
      </c>
      <c r="J122" s="8">
        <f t="shared" si="3"/>
        <v>251.555</v>
      </c>
    </row>
    <row r="123">
      <c r="B123" s="6" t="str">
        <f t="shared" si="1"/>
        <v>Mozambique </v>
      </c>
      <c r="C123" s="6" t="str">
        <f>IFERROR(__xludf.DUMMYFUNCTION("""COMPUTED_VALUE"""),"Mozambique [+]")</f>
        <v>Mozambique [+]</v>
      </c>
      <c r="D123" s="7">
        <f>IFERROR(__xludf.DUMMYFUNCTION("""COMPUTED_VALUE"""),8644.0)</f>
        <v>8644</v>
      </c>
      <c r="E123" s="6" t="str">
        <f>IFERROR(__xludf.DUMMYFUNCTION("""COMPUTED_VALUE"""),"0,22")</f>
        <v>0,22</v>
      </c>
      <c r="F123" s="6" t="str">
        <f>IFERROR(__xludf.DUMMYFUNCTION("""COMPUTED_VALUE"""),"0,26")</f>
        <v>0,26</v>
      </c>
      <c r="G123" s="6"/>
      <c r="H123" s="6" t="str">
        <f>IFERROR(__xludf.DUMMYFUNCTION("""COMPUTED_VALUE"""),"4,64%")</f>
        <v>4,64%</v>
      </c>
      <c r="I123" s="8">
        <f t="shared" si="2"/>
        <v>8644</v>
      </c>
      <c r="J123" s="8">
        <f t="shared" si="3"/>
        <v>8.644</v>
      </c>
    </row>
    <row r="124">
      <c r="B124" s="6" t="str">
        <f t="shared" si="1"/>
        <v>Namibia </v>
      </c>
      <c r="C124" s="6" t="str">
        <f>IFERROR(__xludf.DUMMYFUNCTION("""COMPUTED_VALUE"""),"Namibia [+]")</f>
        <v>Namibia [+]</v>
      </c>
      <c r="D124" s="7">
        <f>IFERROR(__xludf.DUMMYFUNCTION("""COMPUTED_VALUE"""),4065.0)</f>
        <v>4065</v>
      </c>
      <c r="E124" s="6" t="str">
        <f>IFERROR(__xludf.DUMMYFUNCTION("""COMPUTED_VALUE"""),"0,18")</f>
        <v>0,18</v>
      </c>
      <c r="F124" s="6" t="str">
        <f>IFERROR(__xludf.DUMMYFUNCTION("""COMPUTED_VALUE"""),"1,48")</f>
        <v>1,48</v>
      </c>
      <c r="G124" s="6"/>
      <c r="H124" s="6" t="str">
        <f>IFERROR(__xludf.DUMMYFUNCTION("""COMPUTED_VALUE"""),"0,93%")</f>
        <v>0,93%</v>
      </c>
      <c r="I124" s="8">
        <f t="shared" si="2"/>
        <v>4065</v>
      </c>
      <c r="J124" s="8">
        <f t="shared" si="3"/>
        <v>4.065</v>
      </c>
    </row>
    <row r="125">
      <c r="B125" s="6" t="str">
        <f t="shared" si="1"/>
        <v>Níger </v>
      </c>
      <c r="C125" s="6" t="str">
        <f>IFERROR(__xludf.DUMMYFUNCTION("""COMPUTED_VALUE"""),"Níger [+]")</f>
        <v>Níger [+]</v>
      </c>
      <c r="D125" s="7">
        <f>IFERROR(__xludf.DUMMYFUNCTION("""COMPUTED_VALUE"""),2470.0)</f>
        <v>2470</v>
      </c>
      <c r="E125" s="6" t="str">
        <f>IFERROR(__xludf.DUMMYFUNCTION("""COMPUTED_VALUE"""),"0,08")</f>
        <v>0,08</v>
      </c>
      <c r="F125" s="6" t="str">
        <f>IFERROR(__xludf.DUMMYFUNCTION("""COMPUTED_VALUE"""),"0,10")</f>
        <v>0,10</v>
      </c>
      <c r="G125" s="6"/>
      <c r="H125" s="6" t="str">
        <f>IFERROR(__xludf.DUMMYFUNCTION("""COMPUTED_VALUE"""),"5,16%")</f>
        <v>5,16%</v>
      </c>
      <c r="I125" s="8">
        <f t="shared" si="2"/>
        <v>2470</v>
      </c>
      <c r="J125" s="8">
        <f t="shared" si="3"/>
        <v>2.47</v>
      </c>
    </row>
    <row r="126">
      <c r="B126" s="6" t="str">
        <f t="shared" si="1"/>
        <v>Nigeria </v>
      </c>
      <c r="C126" s="6" t="str">
        <f>IFERROR(__xludf.DUMMYFUNCTION("""COMPUTED_VALUE"""),"Nigeria [+]")</f>
        <v>Nigeria [+]</v>
      </c>
      <c r="D126" s="7">
        <f>IFERROR(__xludf.DUMMYFUNCTION("""COMPUTED_VALUE"""),127029.0)</f>
        <v>127029</v>
      </c>
      <c r="E126" s="6" t="str">
        <f>IFERROR(__xludf.DUMMYFUNCTION("""COMPUTED_VALUE"""),"0,12")</f>
        <v>0,12</v>
      </c>
      <c r="F126" s="6" t="str">
        <f>IFERROR(__xludf.DUMMYFUNCTION("""COMPUTED_VALUE"""),"0,60")</f>
        <v>0,60</v>
      </c>
      <c r="G126" s="6"/>
      <c r="H126" s="6" t="str">
        <f>IFERROR(__xludf.DUMMYFUNCTION("""COMPUTED_VALUE"""),"2,92%")</f>
        <v>2,92%</v>
      </c>
      <c r="I126" s="8">
        <f t="shared" si="2"/>
        <v>127029</v>
      </c>
      <c r="J126" s="8">
        <f t="shared" si="3"/>
        <v>127.029</v>
      </c>
    </row>
    <row r="127">
      <c r="B127" s="6" t="str">
        <f t="shared" si="1"/>
        <v>Nicaragua </v>
      </c>
      <c r="C127" s="6" t="str">
        <f>IFERROR(__xludf.DUMMYFUNCTION("""COMPUTED_VALUE"""),"Nicaragua [+]")</f>
        <v>Nicaragua [+]</v>
      </c>
      <c r="D127" s="7">
        <f>IFERROR(__xludf.DUMMYFUNCTION("""COMPUTED_VALUE"""),5002.0)</f>
        <v>5002</v>
      </c>
      <c r="E127" s="6" t="str">
        <f>IFERROR(__xludf.DUMMYFUNCTION("""COMPUTED_VALUE"""),"0,13")</f>
        <v>0,13</v>
      </c>
      <c r="F127" s="6" t="str">
        <f>IFERROR(__xludf.DUMMYFUNCTION("""COMPUTED_VALUE"""),"0,77")</f>
        <v>0,77</v>
      </c>
      <c r="G127" s="6"/>
      <c r="H127" s="6" t="str">
        <f>IFERROR(__xludf.DUMMYFUNCTION("""COMPUTED_VALUE"""),"10,80%")</f>
        <v>10,80%</v>
      </c>
      <c r="I127" s="8">
        <f t="shared" si="2"/>
        <v>5002</v>
      </c>
      <c r="J127" s="8">
        <f t="shared" si="3"/>
        <v>5.002</v>
      </c>
    </row>
    <row r="128">
      <c r="B128" s="6" t="str">
        <f t="shared" si="1"/>
        <v>Países Bajos </v>
      </c>
      <c r="C128" s="6" t="str">
        <f>IFERROR(__xludf.DUMMYFUNCTION("""COMPUTED_VALUE"""),"Países Bajos [+]")</f>
        <v>Países Bajos [+]</v>
      </c>
      <c r="D128" s="7">
        <f>IFERROR(__xludf.DUMMYFUNCTION("""COMPUTED_VALUE"""),146868.0)</f>
        <v>146868</v>
      </c>
      <c r="E128" s="6" t="str">
        <f>IFERROR(__xludf.DUMMYFUNCTION("""COMPUTED_VALUE"""),"0,15")</f>
        <v>0,15</v>
      </c>
      <c r="F128" s="6" t="str">
        <f>IFERROR(__xludf.DUMMYFUNCTION("""COMPUTED_VALUE"""),"8,52")</f>
        <v>8,52</v>
      </c>
      <c r="G128" s="6"/>
      <c r="H128" s="6" t="str">
        <f>IFERROR(__xludf.DUMMYFUNCTION("""COMPUTED_VALUE"""),"2,34%")</f>
        <v>2,34%</v>
      </c>
      <c r="I128" s="8">
        <f t="shared" si="2"/>
        <v>146868</v>
      </c>
      <c r="J128" s="8">
        <f t="shared" si="3"/>
        <v>146.868</v>
      </c>
    </row>
    <row r="129">
      <c r="B129" s="6" t="str">
        <f t="shared" si="1"/>
        <v>Noruega </v>
      </c>
      <c r="C129" s="6" t="str">
        <f>IFERROR(__xludf.DUMMYFUNCTION("""COMPUTED_VALUE"""),"Noruega [+]")</f>
        <v>Noruega [+]</v>
      </c>
      <c r="D129" s="7">
        <f>IFERROR(__xludf.DUMMYFUNCTION("""COMPUTED_VALUE"""),42329.0)</f>
        <v>42329</v>
      </c>
      <c r="E129" s="6" t="str">
        <f>IFERROR(__xludf.DUMMYFUNCTION("""COMPUTED_VALUE"""),"0,12")</f>
        <v>0,12</v>
      </c>
      <c r="F129" s="6" t="str">
        <f>IFERROR(__xludf.DUMMYFUNCTION("""COMPUTED_VALUE"""),"7,70")</f>
        <v>7,70</v>
      </c>
      <c r="G129" s="6"/>
      <c r="H129" s="6" t="str">
        <f>IFERROR(__xludf.DUMMYFUNCTION("""COMPUTED_VALUE"""),"0,65%")</f>
        <v>0,65%</v>
      </c>
      <c r="I129" s="8">
        <f t="shared" si="2"/>
        <v>42329</v>
      </c>
      <c r="J129" s="8">
        <f t="shared" si="3"/>
        <v>42.329</v>
      </c>
    </row>
    <row r="130">
      <c r="B130" s="6" t="str">
        <f t="shared" si="1"/>
        <v>Nepal </v>
      </c>
      <c r="C130" s="6" t="str">
        <f>IFERROR(__xludf.DUMMYFUNCTION("""COMPUTED_VALUE"""),"Nepal [+]")</f>
        <v>Nepal [+]</v>
      </c>
      <c r="D130" s="7">
        <f>IFERROR(__xludf.DUMMYFUNCTION("""COMPUTED_VALUE"""),14314.0)</f>
        <v>14314</v>
      </c>
      <c r="E130" s="6" t="str">
        <f>IFERROR(__xludf.DUMMYFUNCTION("""COMPUTED_VALUE"""),"0,12")</f>
        <v>0,12</v>
      </c>
      <c r="F130" s="6" t="str">
        <f>IFERROR(__xludf.DUMMYFUNCTION("""COMPUTED_VALUE"""),"0,47")</f>
        <v>0,47</v>
      </c>
      <c r="G130" s="6"/>
      <c r="H130" s="6" t="str">
        <f>IFERROR(__xludf.DUMMYFUNCTION("""COMPUTED_VALUE"""),"1,71%")</f>
        <v>1,71%</v>
      </c>
      <c r="I130" s="8">
        <f t="shared" si="2"/>
        <v>14314</v>
      </c>
      <c r="J130" s="8">
        <f t="shared" si="3"/>
        <v>14.314</v>
      </c>
    </row>
    <row r="131">
      <c r="B131" s="6" t="str">
        <f t="shared" si="1"/>
        <v>Nueva Zelanda </v>
      </c>
      <c r="C131" s="6" t="str">
        <f>IFERROR(__xludf.DUMMYFUNCTION("""COMPUTED_VALUE"""),"Nueva Zelanda [+]")</f>
        <v>Nueva Zelanda [+]</v>
      </c>
      <c r="D131" s="7">
        <f>IFERROR(__xludf.DUMMYFUNCTION("""COMPUTED_VALUE"""),32603.0)</f>
        <v>32603</v>
      </c>
      <c r="E131" s="6" t="str">
        <f>IFERROR(__xludf.DUMMYFUNCTION("""COMPUTED_VALUE"""),"0,15")</f>
        <v>0,15</v>
      </c>
      <c r="F131" s="6" t="str">
        <f>IFERROR(__xludf.DUMMYFUNCTION("""COMPUTED_VALUE"""),"6,69")</f>
        <v>6,69</v>
      </c>
      <c r="G131" s="6"/>
      <c r="H131" s="6" t="str">
        <f>IFERROR(__xludf.DUMMYFUNCTION("""COMPUTED_VALUE"""),"-2,90%")</f>
        <v>-2,90%</v>
      </c>
      <c r="I131" s="8">
        <f t="shared" si="2"/>
        <v>32603</v>
      </c>
      <c r="J131" s="8">
        <f t="shared" si="3"/>
        <v>32.603</v>
      </c>
    </row>
    <row r="132">
      <c r="B132" s="6" t="str">
        <f t="shared" si="1"/>
        <v>Omán </v>
      </c>
      <c r="C132" s="6" t="str">
        <f>IFERROR(__xludf.DUMMYFUNCTION("""COMPUTED_VALUE"""),"Omán [+]")</f>
        <v>Omán [+]</v>
      </c>
      <c r="D132" s="7">
        <f>IFERROR(__xludf.DUMMYFUNCTION("""COMPUTED_VALUE"""),94620.0)</f>
        <v>94620</v>
      </c>
      <c r="E132" s="6" t="str">
        <f>IFERROR(__xludf.DUMMYFUNCTION("""COMPUTED_VALUE"""),"0,62")</f>
        <v>0,62</v>
      </c>
      <c r="F132" s="6" t="str">
        <f>IFERROR(__xludf.DUMMYFUNCTION("""COMPUTED_VALUE"""),"17,95")</f>
        <v>17,95</v>
      </c>
      <c r="G132" s="6"/>
      <c r="H132" s="6" t="str">
        <f>IFERROR(__xludf.DUMMYFUNCTION("""COMPUTED_VALUE"""),"7,97%")</f>
        <v>7,97%</v>
      </c>
      <c r="I132" s="8">
        <f t="shared" si="2"/>
        <v>94620</v>
      </c>
      <c r="J132" s="8">
        <f t="shared" si="3"/>
        <v>94.62</v>
      </c>
    </row>
    <row r="133">
      <c r="B133" s="6" t="str">
        <f t="shared" si="1"/>
        <v>Panamá </v>
      </c>
      <c r="C133" s="6" t="str">
        <f>IFERROR(__xludf.DUMMYFUNCTION("""COMPUTED_VALUE"""),"Panamá [+]")</f>
        <v>Panamá [+]</v>
      </c>
      <c r="D133" s="7">
        <f>IFERROR(__xludf.DUMMYFUNCTION("""COMPUTED_VALUE"""),12511.0)</f>
        <v>12511</v>
      </c>
      <c r="E133" s="6" t="str">
        <f>IFERROR(__xludf.DUMMYFUNCTION("""COMPUTED_VALUE"""),"0,10")</f>
        <v>0,10</v>
      </c>
      <c r="F133" s="6" t="str">
        <f>IFERROR(__xludf.DUMMYFUNCTION("""COMPUTED_VALUE"""),"2,87")</f>
        <v>2,87</v>
      </c>
      <c r="G133" s="6"/>
      <c r="H133" s="6" t="str">
        <f>IFERROR(__xludf.DUMMYFUNCTION("""COMPUTED_VALUE"""),"10,62%")</f>
        <v>10,62%</v>
      </c>
      <c r="I133" s="8">
        <f t="shared" si="2"/>
        <v>12511</v>
      </c>
      <c r="J133" s="8">
        <f t="shared" si="3"/>
        <v>12.511</v>
      </c>
    </row>
    <row r="134">
      <c r="B134" s="6" t="str">
        <f t="shared" si="1"/>
        <v>Perú </v>
      </c>
      <c r="C134" s="6" t="str">
        <f>IFERROR(__xludf.DUMMYFUNCTION("""COMPUTED_VALUE"""),"Perú [+]")</f>
        <v>Perú [+]</v>
      </c>
      <c r="D134" s="7">
        <f>IFERROR(__xludf.DUMMYFUNCTION("""COMPUTED_VALUE"""),55144.0)</f>
        <v>55144</v>
      </c>
      <c r="E134" s="6" t="str">
        <f>IFERROR(__xludf.DUMMYFUNCTION("""COMPUTED_VALUE"""),"0,13")</f>
        <v>0,13</v>
      </c>
      <c r="F134" s="6" t="str">
        <f>IFERROR(__xludf.DUMMYFUNCTION("""COMPUTED_VALUE"""),"1,64")</f>
        <v>1,64</v>
      </c>
      <c r="G134" s="6"/>
      <c r="H134" s="6" t="str">
        <f>IFERROR(__xludf.DUMMYFUNCTION("""COMPUTED_VALUE"""),"17,05%")</f>
        <v>17,05%</v>
      </c>
      <c r="I134" s="8">
        <f t="shared" si="2"/>
        <v>55144</v>
      </c>
      <c r="J134" s="8">
        <f t="shared" si="3"/>
        <v>55.144</v>
      </c>
    </row>
    <row r="135">
      <c r="B135" s="6" t="str">
        <f t="shared" si="1"/>
        <v>Papúa Nueva Guinea </v>
      </c>
      <c r="C135" s="6" t="str">
        <f>IFERROR(__xludf.DUMMYFUNCTION("""COMPUTED_VALUE"""),"Papúa Nueva Guinea [+]")</f>
        <v>Papúa Nueva Guinea [+]</v>
      </c>
      <c r="D135" s="7">
        <f>IFERROR(__xludf.DUMMYFUNCTION("""COMPUTED_VALUE"""),6571.0)</f>
        <v>6571</v>
      </c>
      <c r="E135" s="6" t="str">
        <f>IFERROR(__xludf.DUMMYFUNCTION("""COMPUTED_VALUE"""),"0,18")</f>
        <v>0,18</v>
      </c>
      <c r="F135" s="6" t="str">
        <f>IFERROR(__xludf.DUMMYFUNCTION("""COMPUTED_VALUE"""),"0,74")</f>
        <v>0,74</v>
      </c>
      <c r="G135" s="6"/>
      <c r="H135" s="6" t="str">
        <f>IFERROR(__xludf.DUMMYFUNCTION("""COMPUTED_VALUE"""),"0,91%")</f>
        <v>0,91%</v>
      </c>
      <c r="I135" s="8">
        <f t="shared" si="2"/>
        <v>6571</v>
      </c>
      <c r="J135" s="8">
        <f t="shared" si="3"/>
        <v>6.571</v>
      </c>
    </row>
    <row r="136">
      <c r="B136" s="6" t="str">
        <f t="shared" si="1"/>
        <v>Filipinas </v>
      </c>
      <c r="C136" s="6" t="str">
        <f>IFERROR(__xludf.DUMMYFUNCTION("""COMPUTED_VALUE"""),"Filipinas [+]")</f>
        <v>Filipinas [+]</v>
      </c>
      <c r="D136" s="7">
        <f>IFERROR(__xludf.DUMMYFUNCTION("""COMPUTED_VALUE"""),147956.0)</f>
        <v>147956</v>
      </c>
      <c r="E136" s="6" t="str">
        <f>IFERROR(__xludf.DUMMYFUNCTION("""COMPUTED_VALUE"""),"0,16")</f>
        <v>0,16</v>
      </c>
      <c r="F136" s="6" t="str">
        <f>IFERROR(__xludf.DUMMYFUNCTION("""COMPUTED_VALUE"""),"1,33")</f>
        <v>1,33</v>
      </c>
      <c r="G136" s="6"/>
      <c r="H136" s="6" t="str">
        <f>IFERROR(__xludf.DUMMYFUNCTION("""COMPUTED_VALUE"""),"5,14%")</f>
        <v>5,14%</v>
      </c>
      <c r="I136" s="8">
        <f t="shared" si="2"/>
        <v>147956</v>
      </c>
      <c r="J136" s="8">
        <f t="shared" si="3"/>
        <v>147.956</v>
      </c>
    </row>
    <row r="137">
      <c r="B137" s="6" t="str">
        <f t="shared" si="1"/>
        <v>Pakistán </v>
      </c>
      <c r="C137" s="6" t="str">
        <f>IFERROR(__xludf.DUMMYFUNCTION("""COMPUTED_VALUE"""),"Pakistán [+]")</f>
        <v>Pakistán [+]</v>
      </c>
      <c r="D137" s="7">
        <f>IFERROR(__xludf.DUMMYFUNCTION("""COMPUTED_VALUE"""),219792.0)</f>
        <v>219792</v>
      </c>
      <c r="E137" s="6" t="str">
        <f>IFERROR(__xludf.DUMMYFUNCTION("""COMPUTED_VALUE"""),"0,18")</f>
        <v>0,18</v>
      </c>
      <c r="F137" s="6" t="str">
        <f>IFERROR(__xludf.DUMMYFUNCTION("""COMPUTED_VALUE"""),"1,04")</f>
        <v>1,04</v>
      </c>
      <c r="G137" s="6"/>
      <c r="H137" s="6" t="str">
        <f>IFERROR(__xludf.DUMMYFUNCTION("""COMPUTED_VALUE"""),"6,86%")</f>
        <v>6,86%</v>
      </c>
      <c r="I137" s="8">
        <f t="shared" si="2"/>
        <v>219792</v>
      </c>
      <c r="J137" s="8">
        <f t="shared" si="3"/>
        <v>219.792</v>
      </c>
    </row>
    <row r="138">
      <c r="B138" s="6" t="str">
        <f t="shared" si="1"/>
        <v>Polonia </v>
      </c>
      <c r="C138" s="6" t="str">
        <f>IFERROR(__xludf.DUMMYFUNCTION("""COMPUTED_VALUE"""),"Polonia [+]")</f>
        <v>Polonia [+]</v>
      </c>
      <c r="D138" s="7">
        <f>IFERROR(__xludf.DUMMYFUNCTION("""COMPUTED_VALUE"""),320768.0)</f>
        <v>320768</v>
      </c>
      <c r="E138" s="6" t="str">
        <f>IFERROR(__xludf.DUMMYFUNCTION("""COMPUTED_VALUE"""),"0,25")</f>
        <v>0,25</v>
      </c>
      <c r="F138" s="6" t="str">
        <f>IFERROR(__xludf.DUMMYFUNCTION("""COMPUTED_VALUE"""),"8,48")</f>
        <v>8,48</v>
      </c>
      <c r="G138" s="6"/>
      <c r="H138" s="6" t="str">
        <f>IFERROR(__xludf.DUMMYFUNCTION("""COMPUTED_VALUE"""),"8,67%")</f>
        <v>8,67%</v>
      </c>
      <c r="I138" s="8">
        <f t="shared" si="2"/>
        <v>320768</v>
      </c>
      <c r="J138" s="8">
        <f t="shared" si="3"/>
        <v>320.768</v>
      </c>
    </row>
    <row r="139">
      <c r="B139" s="6" t="str">
        <f t="shared" si="1"/>
        <v>Palaos </v>
      </c>
      <c r="C139" s="6" t="str">
        <f>IFERROR(__xludf.DUMMYFUNCTION("""COMPUTED_VALUE"""),"Palaos [+]")</f>
        <v>Palaos [+]</v>
      </c>
      <c r="D139" s="7">
        <f>IFERROR(__xludf.DUMMYFUNCTION("""COMPUTED_VALUE"""),1324.0)</f>
        <v>1324</v>
      </c>
      <c r="E139" s="6" t="str">
        <f>IFERROR(__xludf.DUMMYFUNCTION("""COMPUTED_VALUE"""),"5,70")</f>
        <v>5,70</v>
      </c>
      <c r="F139" s="6" t="str">
        <f>IFERROR(__xludf.DUMMYFUNCTION("""COMPUTED_VALUE"""),"60,17")</f>
        <v>60,17</v>
      </c>
      <c r="G139" s="6"/>
      <c r="H139" s="6" t="str">
        <f>IFERROR(__xludf.DUMMYFUNCTION("""COMPUTED_VALUE"""),"5,80%")</f>
        <v>5,80%</v>
      </c>
      <c r="I139" s="8">
        <f t="shared" si="2"/>
        <v>1324</v>
      </c>
      <c r="J139" s="8">
        <f t="shared" si="3"/>
        <v>1.324</v>
      </c>
    </row>
    <row r="140">
      <c r="B140" s="6" t="str">
        <f t="shared" si="1"/>
        <v>Paraguay </v>
      </c>
      <c r="C140" s="6" t="str">
        <f>IFERROR(__xludf.DUMMYFUNCTION("""COMPUTED_VALUE"""),"Paraguay [+]")</f>
        <v>Paraguay [+]</v>
      </c>
      <c r="D140" s="7">
        <f>IFERROR(__xludf.DUMMYFUNCTION("""COMPUTED_VALUE"""),8891.0)</f>
        <v>8891</v>
      </c>
      <c r="E140" s="6" t="str">
        <f>IFERROR(__xludf.DUMMYFUNCTION("""COMPUTED_VALUE"""),"0,10")</f>
        <v>0,10</v>
      </c>
      <c r="F140" s="6" t="str">
        <f>IFERROR(__xludf.DUMMYFUNCTION("""COMPUTED_VALUE"""),"1,24")</f>
        <v>1,24</v>
      </c>
      <c r="G140" s="6"/>
      <c r="H140" s="6" t="str">
        <f>IFERROR(__xludf.DUMMYFUNCTION("""COMPUTED_VALUE"""),"6,32%")</f>
        <v>6,32%</v>
      </c>
      <c r="I140" s="8">
        <f t="shared" si="2"/>
        <v>8891</v>
      </c>
      <c r="J140" s="8">
        <f t="shared" si="3"/>
        <v>8.891</v>
      </c>
    </row>
    <row r="141">
      <c r="B141" s="6" t="str">
        <f t="shared" si="1"/>
        <v>Catar </v>
      </c>
      <c r="C141" s="6" t="str">
        <f>IFERROR(__xludf.DUMMYFUNCTION("""COMPUTED_VALUE"""),"Catar [+]")</f>
        <v>Catar [+]</v>
      </c>
      <c r="D141" s="7">
        <f>IFERROR(__xludf.DUMMYFUNCTION("""COMPUTED_VALUE"""),97694.0)</f>
        <v>97694</v>
      </c>
      <c r="E141" s="6" t="str">
        <f>IFERROR(__xludf.DUMMYFUNCTION("""COMPUTED_VALUE"""),"0,39")</f>
        <v>0,39</v>
      </c>
      <c r="F141" s="6" t="str">
        <f>IFERROR(__xludf.DUMMYFUNCTION("""COMPUTED_VALUE"""),"34,40")</f>
        <v>34,40</v>
      </c>
      <c r="G141" s="6"/>
      <c r="H141" s="6" t="str">
        <f>IFERROR(__xludf.DUMMYFUNCTION("""COMPUTED_VALUE"""),"1,38%")</f>
        <v>1,38%</v>
      </c>
      <c r="I141" s="8">
        <f t="shared" si="2"/>
        <v>97694</v>
      </c>
      <c r="J141" s="8">
        <f t="shared" si="3"/>
        <v>97.694</v>
      </c>
    </row>
    <row r="142">
      <c r="B142" s="6" t="str">
        <f t="shared" si="1"/>
        <v>Rumanía </v>
      </c>
      <c r="C142" s="6" t="str">
        <f>IFERROR(__xludf.DUMMYFUNCTION("""COMPUTED_VALUE"""),"Rumanía [+]")</f>
        <v>Rumanía [+]</v>
      </c>
      <c r="D142" s="7">
        <f>IFERROR(__xludf.DUMMYFUNCTION("""COMPUTED_VALUE"""),78747.0)</f>
        <v>78747</v>
      </c>
      <c r="E142" s="6" t="str">
        <f>IFERROR(__xludf.DUMMYFUNCTION("""COMPUTED_VALUE"""),"0,13")</f>
        <v>0,13</v>
      </c>
      <c r="F142" s="6" t="str">
        <f>IFERROR(__xludf.DUMMYFUNCTION("""COMPUTED_VALUE"""),"4,08")</f>
        <v>4,08</v>
      </c>
      <c r="G142" s="6"/>
      <c r="H142" s="6" t="str">
        <f>IFERROR(__xludf.DUMMYFUNCTION("""COMPUTED_VALUE"""),"8,27%")</f>
        <v>8,27%</v>
      </c>
      <c r="I142" s="8">
        <f t="shared" si="2"/>
        <v>78747</v>
      </c>
      <c r="J142" s="8">
        <f t="shared" si="3"/>
        <v>78.747</v>
      </c>
    </row>
    <row r="143">
      <c r="B143" s="6" t="str">
        <f t="shared" si="1"/>
        <v>Rusia </v>
      </c>
      <c r="C143" s="6" t="str">
        <f>IFERROR(__xludf.DUMMYFUNCTION("""COMPUTED_VALUE"""),"Rusia [+]")</f>
        <v>Rusia [+]</v>
      </c>
      <c r="D143" s="7" t="str">
        <f>IFERROR(__xludf.DUMMYFUNCTION("""COMPUTED_VALUE"""),"1.942,535")</f>
        <v>1.942,535</v>
      </c>
      <c r="E143" s="6" t="str">
        <f>IFERROR(__xludf.DUMMYFUNCTION("""COMPUTED_VALUE"""),"0,48")</f>
        <v>0,48</v>
      </c>
      <c r="F143" s="6" t="str">
        <f>IFERROR(__xludf.DUMMYFUNCTION("""COMPUTED_VALUE"""),"13,52")</f>
        <v>13,52</v>
      </c>
      <c r="G143" s="6"/>
      <c r="H143" s="6" t="str">
        <f>IFERROR(__xludf.DUMMYFUNCTION("""COMPUTED_VALUE"""),"8,18%")</f>
        <v>8,18%</v>
      </c>
      <c r="I143" s="8">
        <f t="shared" si="2"/>
        <v>1942535</v>
      </c>
      <c r="J143" s="8">
        <f t="shared" si="3"/>
        <v>1942.535</v>
      </c>
    </row>
    <row r="144">
      <c r="B144" s="6" t="str">
        <f t="shared" si="1"/>
        <v>Ruanda </v>
      </c>
      <c r="C144" s="6" t="str">
        <f>IFERROR(__xludf.DUMMYFUNCTION("""COMPUTED_VALUE"""),"Ruanda [+]")</f>
        <v>Ruanda [+]</v>
      </c>
      <c r="D144" s="7">
        <f>IFERROR(__xludf.DUMMYFUNCTION("""COMPUTED_VALUE"""),1236.0)</f>
        <v>1236</v>
      </c>
      <c r="E144" s="6" t="str">
        <f>IFERROR(__xludf.DUMMYFUNCTION("""COMPUTED_VALUE"""),"0,04")</f>
        <v>0,04</v>
      </c>
      <c r="F144" s="6" t="str">
        <f>IFERROR(__xludf.DUMMYFUNCTION("""COMPUTED_VALUE"""),"0,09")</f>
        <v>0,09</v>
      </c>
      <c r="G144" s="6"/>
      <c r="H144" s="6" t="str">
        <f>IFERROR(__xludf.DUMMYFUNCTION("""COMPUTED_VALUE"""),"3,59%")</f>
        <v>3,59%</v>
      </c>
      <c r="I144" s="8">
        <f t="shared" si="2"/>
        <v>1236</v>
      </c>
      <c r="J144" s="8">
        <f t="shared" si="3"/>
        <v>1.236</v>
      </c>
    </row>
    <row r="145">
      <c r="B145" s="6" t="str">
        <f t="shared" si="1"/>
        <v>Arabia Saudita </v>
      </c>
      <c r="C145" s="6" t="str">
        <f>IFERROR(__xludf.DUMMYFUNCTION("""COMPUTED_VALUE"""),"Arabia Saudita [+]")</f>
        <v>Arabia Saudita [+]</v>
      </c>
      <c r="D145" s="7">
        <f>IFERROR(__xludf.DUMMYFUNCTION("""COMPUTED_VALUE"""),586398.0)</f>
        <v>586398</v>
      </c>
      <c r="E145" s="6" t="str">
        <f>IFERROR(__xludf.DUMMYFUNCTION("""COMPUTED_VALUE"""),"0,37")</f>
        <v>0,37</v>
      </c>
      <c r="F145" s="6" t="str">
        <f>IFERROR(__xludf.DUMMYFUNCTION("""COMPUTED_VALUE"""),"16,63")</f>
        <v>16,63</v>
      </c>
      <c r="G145" s="6"/>
      <c r="H145" s="6" t="str">
        <f>IFERROR(__xludf.DUMMYFUNCTION("""COMPUTED_VALUE"""),"0,40%")</f>
        <v>0,40%</v>
      </c>
      <c r="I145" s="8">
        <f t="shared" si="2"/>
        <v>586398</v>
      </c>
      <c r="J145" s="8">
        <f t="shared" si="3"/>
        <v>586.398</v>
      </c>
    </row>
    <row r="146">
      <c r="B146" s="6" t="str">
        <f t="shared" si="1"/>
        <v>Islas Salomón </v>
      </c>
      <c r="C146" s="6" t="str">
        <f>IFERROR(__xludf.DUMMYFUNCTION("""COMPUTED_VALUE"""),"Islas Salomón [+]")</f>
        <v>Islas Salomón [+]</v>
      </c>
      <c r="D146" s="7">
        <f>IFERROR(__xludf.DUMMYFUNCTION("""COMPUTED_VALUE"""),329.0)</f>
        <v>329</v>
      </c>
      <c r="E146" s="6" t="str">
        <f>IFERROR(__xludf.DUMMYFUNCTION("""COMPUTED_VALUE"""),"0,19")</f>
        <v>0,19</v>
      </c>
      <c r="F146" s="6" t="str">
        <f>IFERROR(__xludf.DUMMYFUNCTION("""COMPUTED_VALUE"""),"0,50")</f>
        <v>0,50</v>
      </c>
      <c r="G146" s="6"/>
      <c r="H146" s="6" t="str">
        <f>IFERROR(__xludf.DUMMYFUNCTION("""COMPUTED_VALUE"""),"1,61%")</f>
        <v>1,61%</v>
      </c>
      <c r="I146" s="8">
        <f t="shared" si="2"/>
        <v>329</v>
      </c>
      <c r="J146" s="8">
        <f t="shared" si="3"/>
        <v>0.329</v>
      </c>
    </row>
    <row r="147">
      <c r="B147" s="6" t="str">
        <f t="shared" si="1"/>
        <v>Seychelles </v>
      </c>
      <c r="C147" s="6" t="str">
        <f>IFERROR(__xludf.DUMMYFUNCTION("""COMPUTED_VALUE"""),"Seychelles [+]")</f>
        <v>Seychelles [+]</v>
      </c>
      <c r="D147" s="7">
        <f>IFERROR(__xludf.DUMMYFUNCTION("""COMPUTED_VALUE"""),1046.0)</f>
        <v>1046</v>
      </c>
      <c r="E147" s="6" t="str">
        <f>IFERROR(__xludf.DUMMYFUNCTION("""COMPUTED_VALUE"""),"0,39")</f>
        <v>0,39</v>
      </c>
      <c r="F147" s="6" t="str">
        <f>IFERROR(__xludf.DUMMYFUNCTION("""COMPUTED_VALUE"""),"10,79")</f>
        <v>10,79</v>
      </c>
      <c r="G147" s="6"/>
      <c r="H147" s="6" t="str">
        <f>IFERROR(__xludf.DUMMYFUNCTION("""COMPUTED_VALUE"""),"2,89%")</f>
        <v>2,89%</v>
      </c>
      <c r="I147" s="8">
        <f t="shared" si="2"/>
        <v>1046</v>
      </c>
      <c r="J147" s="8">
        <f t="shared" si="3"/>
        <v>1.046</v>
      </c>
    </row>
    <row r="148">
      <c r="B148" s="6" t="str">
        <f t="shared" si="1"/>
        <v>Sudán </v>
      </c>
      <c r="C148" s="6" t="str">
        <f>IFERROR(__xludf.DUMMYFUNCTION("""COMPUTED_VALUE"""),"Sudán [+]")</f>
        <v>Sudán [+]</v>
      </c>
      <c r="D148" s="7">
        <f>IFERROR(__xludf.DUMMYFUNCTION("""COMPUTED_VALUE"""),21366.0)</f>
        <v>21366</v>
      </c>
      <c r="E148" s="6" t="str">
        <f>IFERROR(__xludf.DUMMYFUNCTION("""COMPUTED_VALUE"""),"0,12")</f>
        <v>0,12</v>
      </c>
      <c r="F148" s="6" t="str">
        <f>IFERROR(__xludf.DUMMYFUNCTION("""COMPUTED_VALUE"""),"0,36")</f>
        <v>0,36</v>
      </c>
      <c r="G148" s="6"/>
      <c r="H148" s="6" t="str">
        <f>IFERROR(__xludf.DUMMYFUNCTION("""COMPUTED_VALUE"""),"-0,65%")</f>
        <v>-0,65%</v>
      </c>
      <c r="I148" s="8">
        <f t="shared" si="2"/>
        <v>21366</v>
      </c>
      <c r="J148" s="8">
        <f t="shared" si="3"/>
        <v>21.366</v>
      </c>
    </row>
    <row r="149">
      <c r="B149" s="6" t="str">
        <f t="shared" si="1"/>
        <v>Suecia </v>
      </c>
      <c r="C149" s="6" t="str">
        <f>IFERROR(__xludf.DUMMYFUNCTION("""COMPUTED_VALUE"""),"Suecia [+]")</f>
        <v>Suecia [+]</v>
      </c>
      <c r="D149" s="7">
        <f>IFERROR(__xludf.DUMMYFUNCTION("""COMPUTED_VALUE"""),38922.0)</f>
        <v>38922</v>
      </c>
      <c r="E149" s="6" t="str">
        <f>IFERROR(__xludf.DUMMYFUNCTION("""COMPUTED_VALUE"""),"0,07")</f>
        <v>0,07</v>
      </c>
      <c r="F149" s="6" t="str">
        <f>IFERROR(__xludf.DUMMYFUNCTION("""COMPUTED_VALUE"""),"3,82")</f>
        <v>3,82</v>
      </c>
      <c r="G149" s="6"/>
      <c r="H149" s="6" t="str">
        <f>IFERROR(__xludf.DUMMYFUNCTION("""COMPUTED_VALUE"""),"-0,77%")</f>
        <v>-0,77%</v>
      </c>
      <c r="I149" s="8">
        <f t="shared" si="2"/>
        <v>38922</v>
      </c>
      <c r="J149" s="8">
        <f t="shared" si="3"/>
        <v>38.922</v>
      </c>
    </row>
    <row r="150">
      <c r="B150" s="6" t="str">
        <f t="shared" si="1"/>
        <v>Singapur </v>
      </c>
      <c r="C150" s="6" t="str">
        <f>IFERROR(__xludf.DUMMYFUNCTION("""COMPUTED_VALUE"""),"Singapur [+]")</f>
        <v>Singapur [+]</v>
      </c>
      <c r="D150" s="7">
        <f>IFERROR(__xludf.DUMMYFUNCTION("""COMPUTED_VALUE"""),58181.0)</f>
        <v>58181</v>
      </c>
      <c r="E150" s="6" t="str">
        <f>IFERROR(__xludf.DUMMYFUNCTION("""COMPUTED_VALUE"""),"0,10")</f>
        <v>0,10</v>
      </c>
      <c r="F150" s="6" t="str">
        <f>IFERROR(__xludf.DUMMYFUNCTION("""COMPUTED_VALUE"""),"9,71")</f>
        <v>9,71</v>
      </c>
      <c r="G150" s="6"/>
      <c r="H150" s="6" t="str">
        <f>IFERROR(__xludf.DUMMYFUNCTION("""COMPUTED_VALUE"""),"3,28%")</f>
        <v>3,28%</v>
      </c>
      <c r="I150" s="8">
        <f t="shared" si="2"/>
        <v>58181</v>
      </c>
      <c r="J150" s="8">
        <f t="shared" si="3"/>
        <v>58.181</v>
      </c>
    </row>
    <row r="151">
      <c r="B151" s="6" t="str">
        <f t="shared" si="1"/>
        <v>Eslovenia </v>
      </c>
      <c r="C151" s="6" t="str">
        <f>IFERROR(__xludf.DUMMYFUNCTION("""COMPUTED_VALUE"""),"Eslovenia [+]")</f>
        <v>Eslovenia [+]</v>
      </c>
      <c r="D151" s="7">
        <f>IFERROR(__xludf.DUMMYFUNCTION("""COMPUTED_VALUE"""),14171.0)</f>
        <v>14171</v>
      </c>
      <c r="E151" s="6" t="str">
        <f>IFERROR(__xludf.DUMMYFUNCTION("""COMPUTED_VALUE"""),"0,17")</f>
        <v>0,17</v>
      </c>
      <c r="F151" s="6" t="str">
        <f>IFERROR(__xludf.DUMMYFUNCTION("""COMPUTED_VALUE"""),"6,81")</f>
        <v>6,81</v>
      </c>
      <c r="G151" s="6"/>
      <c r="H151" s="6" t="str">
        <f>IFERROR(__xludf.DUMMYFUNCTION("""COMPUTED_VALUE"""),"-1,41%")</f>
        <v>-1,41%</v>
      </c>
      <c r="I151" s="8">
        <f t="shared" si="2"/>
        <v>14171</v>
      </c>
      <c r="J151" s="8">
        <f t="shared" si="3"/>
        <v>14.171</v>
      </c>
    </row>
    <row r="152">
      <c r="B152" s="6" t="str">
        <f t="shared" si="1"/>
        <v>Eslovaquia </v>
      </c>
      <c r="C152" s="6" t="str">
        <f>IFERROR(__xludf.DUMMYFUNCTION("""COMPUTED_VALUE"""),"Eslovaquia [+]")</f>
        <v>Eslovaquia [+]</v>
      </c>
      <c r="D152" s="7">
        <f>IFERROR(__xludf.DUMMYFUNCTION("""COMPUTED_VALUE"""),37482.0)</f>
        <v>37482</v>
      </c>
      <c r="E152" s="6" t="str">
        <f>IFERROR(__xludf.DUMMYFUNCTION("""COMPUTED_VALUE"""),"0,22")</f>
        <v>0,22</v>
      </c>
      <c r="F152" s="6" t="str">
        <f>IFERROR(__xludf.DUMMYFUNCTION("""COMPUTED_VALUE"""),"6,88")</f>
        <v>6,88</v>
      </c>
      <c r="G152" s="6"/>
      <c r="H152" s="6" t="str">
        <f>IFERROR(__xludf.DUMMYFUNCTION("""COMPUTED_VALUE"""),"13,20%")</f>
        <v>13,20%</v>
      </c>
      <c r="I152" s="8">
        <f t="shared" si="2"/>
        <v>37482</v>
      </c>
      <c r="J152" s="8">
        <f t="shared" si="3"/>
        <v>37.482</v>
      </c>
    </row>
    <row r="153">
      <c r="B153" s="6" t="str">
        <f t="shared" si="1"/>
        <v>Sierra Leona </v>
      </c>
      <c r="C153" s="6" t="str">
        <f>IFERROR(__xludf.DUMMYFUNCTION("""COMPUTED_VALUE"""),"Sierra Leona [+]")</f>
        <v>Sierra Leona [+]</v>
      </c>
      <c r="D153" s="7">
        <f>IFERROR(__xludf.DUMMYFUNCTION("""COMPUTED_VALUE"""),1009.0)</f>
        <v>1009</v>
      </c>
      <c r="E153" s="6" t="str">
        <f>IFERROR(__xludf.DUMMYFUNCTION("""COMPUTED_VALUE"""),"0,07")</f>
        <v>0,07</v>
      </c>
      <c r="F153" s="6" t="str">
        <f>IFERROR(__xludf.DUMMYFUNCTION("""COMPUTED_VALUE"""),"0,12")</f>
        <v>0,12</v>
      </c>
      <c r="G153" s="6"/>
      <c r="H153" s="6" t="str">
        <f>IFERROR(__xludf.DUMMYFUNCTION("""COMPUTED_VALUE"""),"4,75%")</f>
        <v>4,75%</v>
      </c>
      <c r="I153" s="8">
        <f t="shared" si="2"/>
        <v>1009</v>
      </c>
      <c r="J153" s="8">
        <f t="shared" si="3"/>
        <v>1.009</v>
      </c>
    </row>
    <row r="154">
      <c r="B154" s="6" t="str">
        <f t="shared" si="1"/>
        <v>Senegal </v>
      </c>
      <c r="C154" s="6" t="str">
        <f>IFERROR(__xludf.DUMMYFUNCTION("""COMPUTED_VALUE"""),"Senegal [+]")</f>
        <v>Senegal [+]</v>
      </c>
      <c r="D154" s="7">
        <f>IFERROR(__xludf.DUMMYFUNCTION("""COMPUTED_VALUE"""),11981.0)</f>
        <v>11981</v>
      </c>
      <c r="E154" s="6" t="str">
        <f>IFERROR(__xludf.DUMMYFUNCTION("""COMPUTED_VALUE"""),"0,20")</f>
        <v>0,20</v>
      </c>
      <c r="F154" s="6" t="str">
        <f>IFERROR(__xludf.DUMMYFUNCTION("""COMPUTED_VALUE"""),"0,68")</f>
        <v>0,68</v>
      </c>
      <c r="G154" s="6"/>
      <c r="H154" s="6" t="str">
        <f>IFERROR(__xludf.DUMMYFUNCTION("""COMPUTED_VALUE"""),"4,69%")</f>
        <v>4,69%</v>
      </c>
      <c r="I154" s="8">
        <f t="shared" si="2"/>
        <v>11981</v>
      </c>
      <c r="J154" s="8">
        <f t="shared" si="3"/>
        <v>11.981</v>
      </c>
    </row>
    <row r="155">
      <c r="B155" s="6" t="str">
        <f t="shared" si="1"/>
        <v>Somalia </v>
      </c>
      <c r="C155" s="6" t="str">
        <f>IFERROR(__xludf.DUMMYFUNCTION("""COMPUTED_VALUE"""),"Somalia [+]")</f>
        <v>Somalia [+]</v>
      </c>
      <c r="D155" s="7">
        <f>IFERROR(__xludf.DUMMYFUNCTION("""COMPUTED_VALUE"""),764.0)</f>
        <v>764</v>
      </c>
      <c r="E155" s="6" t="str">
        <f>IFERROR(__xludf.DUMMYFUNCTION("""COMPUTED_VALUE"""),"0,04")</f>
        <v>0,04</v>
      </c>
      <c r="F155" s="6" t="str">
        <f>IFERROR(__xludf.DUMMYFUNCTION("""COMPUTED_VALUE"""),"0,05")</f>
        <v>0,05</v>
      </c>
      <c r="G155" s="6"/>
      <c r="H155" s="6" t="str">
        <f>IFERROR(__xludf.DUMMYFUNCTION("""COMPUTED_VALUE"""),"3,37%")</f>
        <v>3,37%</v>
      </c>
      <c r="I155" s="8">
        <f t="shared" si="2"/>
        <v>764</v>
      </c>
      <c r="J155" s="8">
        <f t="shared" si="3"/>
        <v>0.764</v>
      </c>
    </row>
    <row r="156">
      <c r="B156" s="6" t="str">
        <f t="shared" si="1"/>
        <v>Surinam </v>
      </c>
      <c r="C156" s="6" t="str">
        <f>IFERROR(__xludf.DUMMYFUNCTION("""COMPUTED_VALUE"""),"Surinam [+]")</f>
        <v>Surinam [+]</v>
      </c>
      <c r="D156" s="7">
        <f>IFERROR(__xludf.DUMMYFUNCTION("""COMPUTED_VALUE"""),2707.0)</f>
        <v>2707</v>
      </c>
      <c r="E156" s="6" t="str">
        <f>IFERROR(__xludf.DUMMYFUNCTION("""COMPUTED_VALUE"""),"0,30")</f>
        <v>0,30</v>
      </c>
      <c r="F156" s="6" t="str">
        <f>IFERROR(__xludf.DUMMYFUNCTION("""COMPUTED_VALUE"""),"4,64")</f>
        <v>4,64</v>
      </c>
      <c r="G156" s="6"/>
      <c r="H156" s="6" t="str">
        <f>IFERROR(__xludf.DUMMYFUNCTION("""COMPUTED_VALUE"""),"7,33%")</f>
        <v>7,33%</v>
      </c>
      <c r="I156" s="8">
        <f t="shared" si="2"/>
        <v>2707</v>
      </c>
      <c r="J156" s="8">
        <f t="shared" si="3"/>
        <v>2.707</v>
      </c>
    </row>
    <row r="157">
      <c r="B157" s="6" t="str">
        <f t="shared" si="1"/>
        <v>Santo Tomé y Príncipe </v>
      </c>
      <c r="C157" s="6" t="str">
        <f>IFERROR(__xludf.DUMMYFUNCTION("""COMPUTED_VALUE"""),"Santo Tomé y Príncipe [+]")</f>
        <v>Santo Tomé y Príncipe [+]</v>
      </c>
      <c r="D157" s="7">
        <f>IFERROR(__xludf.DUMMYFUNCTION("""COMPUTED_VALUE"""),153.0)</f>
        <v>153</v>
      </c>
      <c r="E157" s="6" t="str">
        <f>IFERROR(__xludf.DUMMYFUNCTION("""COMPUTED_VALUE"""),"0,17")</f>
        <v>0,17</v>
      </c>
      <c r="F157" s="6" t="str">
        <f>IFERROR(__xludf.DUMMYFUNCTION("""COMPUTED_VALUE"""),"0,69")</f>
        <v>0,69</v>
      </c>
      <c r="G157" s="6"/>
      <c r="H157" s="6" t="str">
        <f>IFERROR(__xludf.DUMMYFUNCTION("""COMPUTED_VALUE"""),"4,99%")</f>
        <v>4,99%</v>
      </c>
      <c r="I157" s="8">
        <f t="shared" si="2"/>
        <v>153</v>
      </c>
      <c r="J157" s="8">
        <f t="shared" si="3"/>
        <v>0.153</v>
      </c>
    </row>
    <row r="158">
      <c r="B158" s="6" t="str">
        <f t="shared" si="1"/>
        <v>El Salvador </v>
      </c>
      <c r="C158" s="6" t="str">
        <f>IFERROR(__xludf.DUMMYFUNCTION("""COMPUTED_VALUE"""),"El Salvador [+]")</f>
        <v>El Salvador [+]</v>
      </c>
      <c r="D158" s="7">
        <f>IFERROR(__xludf.DUMMYFUNCTION("""COMPUTED_VALUE"""),8176.0)</f>
        <v>8176</v>
      </c>
      <c r="E158" s="6" t="str">
        <f>IFERROR(__xludf.DUMMYFUNCTION("""COMPUTED_VALUE"""),"0,14")</f>
        <v>0,14</v>
      </c>
      <c r="F158" s="6" t="str">
        <f>IFERROR(__xludf.DUMMYFUNCTION("""COMPUTED_VALUE"""),"1,26")</f>
        <v>1,26</v>
      </c>
      <c r="G158" s="6"/>
      <c r="H158" s="6" t="str">
        <f>IFERROR(__xludf.DUMMYFUNCTION("""COMPUTED_VALUE"""),"10,43%")</f>
        <v>10,43%</v>
      </c>
      <c r="I158" s="8">
        <f t="shared" si="2"/>
        <v>8176</v>
      </c>
      <c r="J158" s="8">
        <f t="shared" si="3"/>
        <v>8.176</v>
      </c>
    </row>
    <row r="159">
      <c r="B159" s="6" t="str">
        <f t="shared" si="1"/>
        <v>Siria </v>
      </c>
      <c r="C159" s="6" t="str">
        <f>IFERROR(__xludf.DUMMYFUNCTION("""COMPUTED_VALUE"""),"Siria [+]")</f>
        <v>Siria [+]</v>
      </c>
      <c r="D159" s="7">
        <f>IFERROR(__xludf.DUMMYFUNCTION("""COMPUTED_VALUE"""),25861.0)</f>
        <v>25861</v>
      </c>
      <c r="E159" s="6" t="str">
        <f>IFERROR(__xludf.DUMMYFUNCTION("""COMPUTED_VALUE"""),"0,55")</f>
        <v>0,55</v>
      </c>
      <c r="F159" s="6" t="str">
        <f>IFERROR(__xludf.DUMMYFUNCTION("""COMPUTED_VALUE"""),"1,32")</f>
        <v>1,32</v>
      </c>
      <c r="G159" s="6"/>
      <c r="H159" s="6" t="str">
        <f>IFERROR(__xludf.DUMMYFUNCTION("""COMPUTED_VALUE"""),"0,54%")</f>
        <v>0,54%</v>
      </c>
      <c r="I159" s="8">
        <f t="shared" si="2"/>
        <v>25861</v>
      </c>
      <c r="J159" s="8">
        <f t="shared" si="3"/>
        <v>25.861</v>
      </c>
    </row>
    <row r="160">
      <c r="B160" s="6" t="str">
        <f t="shared" si="1"/>
        <v>Eswatini </v>
      </c>
      <c r="C160" s="6" t="str">
        <f>IFERROR(__xludf.DUMMYFUNCTION("""COMPUTED_VALUE"""),"Eswatini [+]")</f>
        <v>Eswatini [+]</v>
      </c>
      <c r="D160" s="7">
        <f>IFERROR(__xludf.DUMMYFUNCTION("""COMPUTED_VALUE"""),1509.0)</f>
        <v>1509</v>
      </c>
      <c r="E160" s="6" t="str">
        <f>IFERROR(__xludf.DUMMYFUNCTION("""COMPUTED_VALUE"""),"0,14")</f>
        <v>0,14</v>
      </c>
      <c r="F160" s="6" t="str">
        <f>IFERROR(__xludf.DUMMYFUNCTION("""COMPUTED_VALUE"""),"1,03")</f>
        <v>1,03</v>
      </c>
      <c r="G160" s="6"/>
      <c r="H160" s="6" t="str">
        <f>IFERROR(__xludf.DUMMYFUNCTION("""COMPUTED_VALUE"""),"2,55%")</f>
        <v>2,55%</v>
      </c>
      <c r="I160" s="8">
        <f t="shared" si="2"/>
        <v>1509</v>
      </c>
      <c r="J160" s="8">
        <f t="shared" si="3"/>
        <v>1.509</v>
      </c>
    </row>
    <row r="161">
      <c r="B161" s="6" t="str">
        <f t="shared" si="1"/>
        <v>Chad </v>
      </c>
      <c r="C161" s="6" t="str">
        <f>IFERROR(__xludf.DUMMYFUNCTION("""COMPUTED_VALUE"""),"Chad [+]")</f>
        <v>Chad [+]</v>
      </c>
      <c r="D161" s="7">
        <f>IFERROR(__xludf.DUMMYFUNCTION("""COMPUTED_VALUE"""),2214.0)</f>
        <v>2214</v>
      </c>
      <c r="E161" s="6" t="str">
        <f>IFERROR(__xludf.DUMMYFUNCTION("""COMPUTED_VALUE"""),"0,09")</f>
        <v>0,09</v>
      </c>
      <c r="F161" s="6" t="str">
        <f>IFERROR(__xludf.DUMMYFUNCTION("""COMPUTED_VALUE"""),"0,13")</f>
        <v>0,13</v>
      </c>
      <c r="G161" s="6"/>
      <c r="H161" s="6" t="str">
        <f>IFERROR(__xludf.DUMMYFUNCTION("""COMPUTED_VALUE"""),"5,43%")</f>
        <v>5,43%</v>
      </c>
      <c r="I161" s="8">
        <f t="shared" si="2"/>
        <v>2214</v>
      </c>
      <c r="J161" s="8">
        <f t="shared" si="3"/>
        <v>2.214</v>
      </c>
    </row>
    <row r="162">
      <c r="B162" s="6" t="str">
        <f t="shared" si="1"/>
        <v>Togo </v>
      </c>
      <c r="C162" s="6" t="str">
        <f>IFERROR(__xludf.DUMMYFUNCTION("""COMPUTED_VALUE"""),"Togo [+]")</f>
        <v>Togo [+]</v>
      </c>
      <c r="D162" s="7">
        <f>IFERROR(__xludf.DUMMYFUNCTION("""COMPUTED_VALUE"""),2256.0)</f>
        <v>2256</v>
      </c>
      <c r="E162" s="6" t="str">
        <f>IFERROR(__xludf.DUMMYFUNCTION("""COMPUTED_VALUE"""),"0,12")</f>
        <v>0,12</v>
      </c>
      <c r="F162" s="6" t="str">
        <f>IFERROR(__xludf.DUMMYFUNCTION("""COMPUTED_VALUE"""),"0,26")</f>
        <v>0,26</v>
      </c>
      <c r="G162" s="6"/>
      <c r="H162" s="6" t="str">
        <f>IFERROR(__xludf.DUMMYFUNCTION("""COMPUTED_VALUE"""),"3,87%")</f>
        <v>3,87%</v>
      </c>
      <c r="I162" s="8">
        <f t="shared" si="2"/>
        <v>2256</v>
      </c>
      <c r="J162" s="8">
        <f t="shared" si="3"/>
        <v>2.256</v>
      </c>
    </row>
    <row r="163">
      <c r="B163" s="6" t="str">
        <f t="shared" si="1"/>
        <v>Tailandia </v>
      </c>
      <c r="C163" s="6" t="str">
        <f>IFERROR(__xludf.DUMMYFUNCTION("""COMPUTED_VALUE"""),"Tailandia [+]")</f>
        <v>Tailandia [+]</v>
      </c>
      <c r="D163" s="7">
        <f>IFERROR(__xludf.DUMMYFUNCTION("""COMPUTED_VALUE"""),269567.0)</f>
        <v>269567</v>
      </c>
      <c r="E163" s="6" t="str">
        <f>IFERROR(__xludf.DUMMYFUNCTION("""COMPUTED_VALUE"""),"0,22")</f>
        <v>0,22</v>
      </c>
      <c r="F163" s="6" t="str">
        <f>IFERROR(__xludf.DUMMYFUNCTION("""COMPUTED_VALUE"""),"3,88")</f>
        <v>3,88</v>
      </c>
      <c r="G163" s="6"/>
      <c r="H163" s="6" t="str">
        <f>IFERROR(__xludf.DUMMYFUNCTION("""COMPUTED_VALUE"""),"1,27%")</f>
        <v>1,27%</v>
      </c>
      <c r="I163" s="8">
        <f t="shared" si="2"/>
        <v>269567</v>
      </c>
      <c r="J163" s="8">
        <f t="shared" si="3"/>
        <v>269.567</v>
      </c>
    </row>
    <row r="164">
      <c r="B164" s="6" t="str">
        <f t="shared" si="1"/>
        <v>Tayikistán </v>
      </c>
      <c r="C164" s="6" t="str">
        <f>IFERROR(__xludf.DUMMYFUNCTION("""COMPUTED_VALUE"""),"Tayikistán [+]")</f>
        <v>Tayikistán [+]</v>
      </c>
      <c r="D164" s="7">
        <f>IFERROR(__xludf.DUMMYFUNCTION("""COMPUTED_VALUE"""),10126.0)</f>
        <v>10126</v>
      </c>
      <c r="E164" s="6" t="str">
        <f>IFERROR(__xludf.DUMMYFUNCTION("""COMPUTED_VALUE"""),"0,27")</f>
        <v>0,27</v>
      </c>
      <c r="F164" s="6" t="str">
        <f>IFERROR(__xludf.DUMMYFUNCTION("""COMPUTED_VALUE"""),"1,05")</f>
        <v>1,05</v>
      </c>
      <c r="G164" s="6"/>
      <c r="H164" s="6" t="str">
        <f>IFERROR(__xludf.DUMMYFUNCTION("""COMPUTED_VALUE"""),"7,89%")</f>
        <v>7,89%</v>
      </c>
      <c r="I164" s="8">
        <f t="shared" si="2"/>
        <v>10126</v>
      </c>
      <c r="J164" s="8">
        <f t="shared" si="3"/>
        <v>10.126</v>
      </c>
    </row>
    <row r="165">
      <c r="B165" s="6" t="str">
        <f t="shared" si="1"/>
        <v>Timor Oriental </v>
      </c>
      <c r="C165" s="6" t="str">
        <f>IFERROR(__xludf.DUMMYFUNCTION("""COMPUTED_VALUE"""),"Timor Oriental [+]")</f>
        <v>Timor Oriental [+]</v>
      </c>
      <c r="D165" s="7">
        <f>IFERROR(__xludf.DUMMYFUNCTION("""COMPUTED_VALUE"""),567.0)</f>
        <v>567</v>
      </c>
      <c r="E165" s="6" t="str">
        <f>IFERROR(__xludf.DUMMYFUNCTION("""COMPUTED_VALUE"""),"0,10")</f>
        <v>0,10</v>
      </c>
      <c r="F165" s="6" t="str">
        <f>IFERROR(__xludf.DUMMYFUNCTION("""COMPUTED_VALUE"""),"0,40")</f>
        <v>0,40</v>
      </c>
      <c r="G165" s="6"/>
      <c r="H165" s="6" t="str">
        <f>IFERROR(__xludf.DUMMYFUNCTION("""COMPUTED_VALUE"""),"-1,10%")</f>
        <v>-1,10%</v>
      </c>
      <c r="I165" s="8">
        <f t="shared" si="2"/>
        <v>567</v>
      </c>
      <c r="J165" s="8">
        <f t="shared" si="3"/>
        <v>0.567</v>
      </c>
    </row>
    <row r="166">
      <c r="B166" s="6" t="str">
        <f t="shared" si="1"/>
        <v>Turkmenistán </v>
      </c>
      <c r="C166" s="6" t="str">
        <f>IFERROR(__xludf.DUMMYFUNCTION("""COMPUTED_VALUE"""),"Turkmenistán [+]")</f>
        <v>Turkmenistán [+]</v>
      </c>
      <c r="D166" s="7">
        <f>IFERROR(__xludf.DUMMYFUNCTION("""COMPUTED_VALUE"""),83322.0)</f>
        <v>83322</v>
      </c>
      <c r="E166" s="6" t="str">
        <f>IFERROR(__xludf.DUMMYFUNCTION("""COMPUTED_VALUE"""),"0,85")</f>
        <v>0,85</v>
      </c>
      <c r="F166" s="6" t="str">
        <f>IFERROR(__xludf.DUMMYFUNCTION("""COMPUTED_VALUE"""),"13,62")</f>
        <v>13,62</v>
      </c>
      <c r="G166" s="6"/>
      <c r="H166" s="6" t="str">
        <f>IFERROR(__xludf.DUMMYFUNCTION("""COMPUTED_VALUE"""),"13,57%")</f>
        <v>13,57%</v>
      </c>
      <c r="I166" s="8">
        <f t="shared" si="2"/>
        <v>83322</v>
      </c>
      <c r="J166" s="8">
        <f t="shared" si="3"/>
        <v>83.322</v>
      </c>
    </row>
    <row r="167">
      <c r="B167" s="6" t="str">
        <f t="shared" si="1"/>
        <v>Túnez </v>
      </c>
      <c r="C167" s="6" t="str">
        <f>IFERROR(__xludf.DUMMYFUNCTION("""COMPUTED_VALUE"""),"Túnez [+]")</f>
        <v>Túnez [+]</v>
      </c>
      <c r="D167" s="7">
        <f>IFERROR(__xludf.DUMMYFUNCTION("""COMPUTED_VALUE"""),31786.0)</f>
        <v>31786</v>
      </c>
      <c r="E167" s="6" t="str">
        <f>IFERROR(__xludf.DUMMYFUNCTION("""COMPUTED_VALUE"""),"0,25")</f>
        <v>0,25</v>
      </c>
      <c r="F167" s="6" t="str">
        <f>IFERROR(__xludf.DUMMYFUNCTION("""COMPUTED_VALUE"""),"2,64")</f>
        <v>2,64</v>
      </c>
      <c r="G167" s="6"/>
      <c r="H167" s="6" t="str">
        <f>IFERROR(__xludf.DUMMYFUNCTION("""COMPUTED_VALUE"""),"14,08%")</f>
        <v>14,08%</v>
      </c>
      <c r="I167" s="8">
        <f t="shared" si="2"/>
        <v>31786</v>
      </c>
      <c r="J167" s="8">
        <f t="shared" si="3"/>
        <v>31.786</v>
      </c>
    </row>
    <row r="168">
      <c r="B168" s="6" t="str">
        <f t="shared" si="1"/>
        <v>Tonga </v>
      </c>
      <c r="C168" s="6" t="str">
        <f>IFERROR(__xludf.DUMMYFUNCTION("""COMPUTED_VALUE"""),"Tonga [+]")</f>
        <v>Tonga [+]</v>
      </c>
      <c r="D168" s="7">
        <f>IFERROR(__xludf.DUMMYFUNCTION("""COMPUTED_VALUE"""),169.0)</f>
        <v>169</v>
      </c>
      <c r="E168" s="6" t="str">
        <f>IFERROR(__xludf.DUMMYFUNCTION("""COMPUTED_VALUE"""),"0,25")</f>
        <v>0,25</v>
      </c>
      <c r="F168" s="6" t="str">
        <f>IFERROR(__xludf.DUMMYFUNCTION("""COMPUTED_VALUE"""),"1,51")</f>
        <v>1,51</v>
      </c>
      <c r="G168" s="6"/>
      <c r="H168" s="6" t="str">
        <f>IFERROR(__xludf.DUMMYFUNCTION("""COMPUTED_VALUE"""),"2,81%")</f>
        <v>2,81%</v>
      </c>
      <c r="I168" s="8">
        <f t="shared" si="2"/>
        <v>169</v>
      </c>
      <c r="J168" s="8">
        <f t="shared" si="3"/>
        <v>0.169</v>
      </c>
    </row>
    <row r="169">
      <c r="B169" s="6" t="str">
        <f t="shared" si="1"/>
        <v>Türkiye </v>
      </c>
      <c r="C169" s="6" t="str">
        <f>IFERROR(__xludf.DUMMYFUNCTION("""COMPUTED_VALUE"""),"Türkiye [+]")</f>
        <v>Türkiye [+]</v>
      </c>
      <c r="D169" s="7">
        <f>IFERROR(__xludf.DUMMYFUNCTION("""COMPUTED_VALUE"""),449725.0)</f>
        <v>449725</v>
      </c>
      <c r="E169" s="6" t="str">
        <f>IFERROR(__xludf.DUMMYFUNCTION("""COMPUTED_VALUE"""),"0,17")</f>
        <v>0,17</v>
      </c>
      <c r="F169" s="6" t="str">
        <f>IFERROR(__xludf.DUMMYFUNCTION("""COMPUTED_VALUE"""),"5,32")</f>
        <v>5,32</v>
      </c>
      <c r="G169" s="6"/>
      <c r="H169" s="6" t="str">
        <f>IFERROR(__xludf.DUMMYFUNCTION("""COMPUTED_VALUE"""),"7,11%")</f>
        <v>7,11%</v>
      </c>
      <c r="I169" s="8">
        <f t="shared" si="2"/>
        <v>449725</v>
      </c>
      <c r="J169" s="8">
        <f t="shared" si="3"/>
        <v>449.725</v>
      </c>
    </row>
    <row r="170">
      <c r="B170" s="6" t="str">
        <f t="shared" si="1"/>
        <v>Trinidad y Tobago </v>
      </c>
      <c r="C170" s="6" t="str">
        <f>IFERROR(__xludf.DUMMYFUNCTION("""COMPUTED_VALUE"""),"Trinidad y Tobago [+]")</f>
        <v>Trinidad y Tobago [+]</v>
      </c>
      <c r="D170" s="7">
        <f>IFERROR(__xludf.DUMMYFUNCTION("""COMPUTED_VALUE"""),28995.0)</f>
        <v>28995</v>
      </c>
      <c r="E170" s="6" t="str">
        <f>IFERROR(__xludf.DUMMYFUNCTION("""COMPUTED_VALUE"""),"0,84")</f>
        <v>0,84</v>
      </c>
      <c r="F170" s="6" t="str">
        <f>IFERROR(__xludf.DUMMYFUNCTION("""COMPUTED_VALUE"""),"21,01")</f>
        <v>21,01</v>
      </c>
      <c r="G170" s="6"/>
      <c r="H170" s="6" t="str">
        <f>IFERROR(__xludf.DUMMYFUNCTION("""COMPUTED_VALUE"""),"-0,38%")</f>
        <v>-0,38%</v>
      </c>
      <c r="I170" s="8">
        <f t="shared" si="2"/>
        <v>28995</v>
      </c>
      <c r="J170" s="8">
        <f t="shared" si="3"/>
        <v>28.995</v>
      </c>
    </row>
    <row r="171">
      <c r="B171" s="6" t="str">
        <f t="shared" si="1"/>
        <v>Taiwan </v>
      </c>
      <c r="C171" s="6" t="str">
        <f>IFERROR(__xludf.DUMMYFUNCTION("""COMPUTED_VALUE"""),"Taiwan [+]")</f>
        <v>Taiwan [+]</v>
      </c>
      <c r="D171" s="7">
        <f>IFERROR(__xludf.DUMMYFUNCTION("""COMPUTED_VALUE"""),288157.0)</f>
        <v>288157</v>
      </c>
      <c r="E171" s="6" t="str">
        <f>IFERROR(__xludf.DUMMYFUNCTION("""COMPUTED_VALUE"""),"0,24")</f>
        <v>0,24</v>
      </c>
      <c r="F171" s="6" t="str">
        <f>IFERROR(__xludf.DUMMYFUNCTION("""COMPUTED_VALUE"""),"12,07")</f>
        <v>12,07</v>
      </c>
      <c r="G171" s="6"/>
      <c r="H171" s="6" t="str">
        <f>IFERROR(__xludf.DUMMYFUNCTION("""COMPUTED_VALUE"""),"6,92%")</f>
        <v>6,92%</v>
      </c>
      <c r="I171" s="8">
        <f t="shared" si="2"/>
        <v>288157</v>
      </c>
      <c r="J171" s="8">
        <f t="shared" si="3"/>
        <v>288.157</v>
      </c>
    </row>
    <row r="172">
      <c r="B172" s="6" t="str">
        <f t="shared" si="1"/>
        <v>Tanzania </v>
      </c>
      <c r="C172" s="6" t="str">
        <f>IFERROR(__xludf.DUMMYFUNCTION("""COMPUTED_VALUE"""),"Tanzania [+]")</f>
        <v>Tanzania [+]</v>
      </c>
      <c r="D172" s="7">
        <f>IFERROR(__xludf.DUMMYFUNCTION("""COMPUTED_VALUE"""),13408.0)</f>
        <v>13408</v>
      </c>
      <c r="E172" s="6" t="str">
        <f>IFERROR(__xludf.DUMMYFUNCTION("""COMPUTED_VALUE"""),"0,08")</f>
        <v>0,08</v>
      </c>
      <c r="F172" s="6" t="str">
        <f>IFERROR(__xludf.DUMMYFUNCTION("""COMPUTED_VALUE"""),"0,21")</f>
        <v>0,21</v>
      </c>
      <c r="G172" s="6"/>
      <c r="H172" s="6" t="str">
        <f>IFERROR(__xludf.DUMMYFUNCTION("""COMPUTED_VALUE"""),"4,06%")</f>
        <v>4,06%</v>
      </c>
      <c r="I172" s="8">
        <f t="shared" si="2"/>
        <v>13408</v>
      </c>
      <c r="J172" s="8">
        <f t="shared" si="3"/>
        <v>13.408</v>
      </c>
    </row>
    <row r="173">
      <c r="B173" s="6" t="str">
        <f t="shared" si="1"/>
        <v>Ucrania </v>
      </c>
      <c r="C173" s="6" t="str">
        <f>IFERROR(__xludf.DUMMYFUNCTION("""COMPUTED_VALUE"""),"Ucrania [+]")</f>
        <v>Ucrania [+]</v>
      </c>
      <c r="D173" s="7">
        <f>IFERROR(__xludf.DUMMYFUNCTION("""COMPUTED_VALUE"""),185455.0)</f>
        <v>185455</v>
      </c>
      <c r="E173" s="6" t="str">
        <f>IFERROR(__xludf.DUMMYFUNCTION("""COMPUTED_VALUE"""),"0,35")</f>
        <v>0,35</v>
      </c>
      <c r="F173" s="6" t="str">
        <f>IFERROR(__xludf.DUMMYFUNCTION("""COMPUTED_VALUE"""),"4,28")</f>
        <v>4,28</v>
      </c>
      <c r="G173" s="6"/>
      <c r="H173" s="6" t="str">
        <f>IFERROR(__xludf.DUMMYFUNCTION("""COMPUTED_VALUE"""),"-1,75%")</f>
        <v>-1,75%</v>
      </c>
      <c r="I173" s="8">
        <f t="shared" si="2"/>
        <v>185455</v>
      </c>
      <c r="J173" s="8">
        <f t="shared" si="3"/>
        <v>185.455</v>
      </c>
    </row>
    <row r="174">
      <c r="B174" s="6" t="str">
        <f t="shared" si="1"/>
        <v>Uganda </v>
      </c>
      <c r="C174" s="6" t="str">
        <f>IFERROR(__xludf.DUMMYFUNCTION("""COMPUTED_VALUE"""),"Uganda [+]")</f>
        <v>Uganda [+]</v>
      </c>
      <c r="D174" s="7">
        <f>IFERROR(__xludf.DUMMYFUNCTION("""COMPUTED_VALUE"""),6816.0)</f>
        <v>6816</v>
      </c>
      <c r="E174" s="6" t="str">
        <f>IFERROR(__xludf.DUMMYFUNCTION("""COMPUTED_VALUE"""),"0,07")</f>
        <v>0,07</v>
      </c>
      <c r="F174" s="6" t="str">
        <f>IFERROR(__xludf.DUMMYFUNCTION("""COMPUTED_VALUE"""),"0,14")</f>
        <v>0,14</v>
      </c>
      <c r="G174" s="6"/>
      <c r="H174" s="6" t="str">
        <f>IFERROR(__xludf.DUMMYFUNCTION("""COMPUTED_VALUE"""),"2,13%")</f>
        <v>2,13%</v>
      </c>
      <c r="I174" s="8">
        <f t="shared" si="2"/>
        <v>6816</v>
      </c>
      <c r="J174" s="8">
        <f t="shared" si="3"/>
        <v>6.816</v>
      </c>
    </row>
    <row r="175">
      <c r="B175" s="6" t="str">
        <f t="shared" si="1"/>
        <v>Uruguay </v>
      </c>
      <c r="C175" s="6" t="str">
        <f>IFERROR(__xludf.DUMMYFUNCTION("""COMPUTED_VALUE"""),"Uruguay [+]")</f>
        <v>Uruguay [+]</v>
      </c>
      <c r="D175" s="7">
        <f>IFERROR(__xludf.DUMMYFUNCTION("""COMPUTED_VALUE"""),6790.0)</f>
        <v>6790</v>
      </c>
      <c r="E175" s="6" t="str">
        <f>IFERROR(__xludf.DUMMYFUNCTION("""COMPUTED_VALUE"""),"0,09")</f>
        <v>0,09</v>
      </c>
      <c r="F175" s="6" t="str">
        <f>IFERROR(__xludf.DUMMYFUNCTION("""COMPUTED_VALUE"""),"1,94")</f>
        <v>1,94</v>
      </c>
      <c r="G175" s="6"/>
      <c r="H175" s="6" t="str">
        <f>IFERROR(__xludf.DUMMYFUNCTION("""COMPUTED_VALUE"""),"7,62%")</f>
        <v>7,62%</v>
      </c>
      <c r="I175" s="8">
        <f t="shared" si="2"/>
        <v>6790</v>
      </c>
      <c r="J175" s="8">
        <f t="shared" si="3"/>
        <v>6.79</v>
      </c>
    </row>
    <row r="176">
      <c r="B176" s="6" t="str">
        <f t="shared" si="1"/>
        <v>Uzbekistán </v>
      </c>
      <c r="C176" s="6" t="str">
        <f>IFERROR(__xludf.DUMMYFUNCTION("""COMPUTED_VALUE"""),"Uzbekistán [+]")</f>
        <v>Uzbekistán [+]</v>
      </c>
      <c r="D176" s="7">
        <f>IFERROR(__xludf.DUMMYFUNCTION("""COMPUTED_VALUE"""),125654.0)</f>
        <v>125654</v>
      </c>
      <c r="E176" s="6" t="str">
        <f>IFERROR(__xludf.DUMMYFUNCTION("""COMPUTED_VALUE"""),"0,47")</f>
        <v>0,47</v>
      </c>
      <c r="F176" s="6" t="str">
        <f>IFERROR(__xludf.DUMMYFUNCTION("""COMPUTED_VALUE"""),"3,73")</f>
        <v>3,73</v>
      </c>
      <c r="G176" s="6"/>
      <c r="H176" s="6" t="str">
        <f>IFERROR(__xludf.DUMMYFUNCTION("""COMPUTED_VALUE"""),"1,60%")</f>
        <v>1,60%</v>
      </c>
      <c r="I176" s="8">
        <f t="shared" si="2"/>
        <v>125654</v>
      </c>
      <c r="J176" s="8">
        <f t="shared" si="3"/>
        <v>125.654</v>
      </c>
    </row>
    <row r="177">
      <c r="B177" s="6" t="str">
        <f t="shared" si="1"/>
        <v>San Vicente y las Granadinas </v>
      </c>
      <c r="C177" s="6" t="str">
        <f>IFERROR(__xludf.DUMMYFUNCTION("""COMPUTED_VALUE"""),"San Vicente y las Granadinas [+]")</f>
        <v>San Vicente y las Granadinas [+]</v>
      </c>
      <c r="D177" s="7">
        <f>IFERROR(__xludf.DUMMYFUNCTION("""COMPUTED_VALUE"""),233.0)</f>
        <v>233</v>
      </c>
      <c r="E177" s="6" t="str">
        <f>IFERROR(__xludf.DUMMYFUNCTION("""COMPUTED_VALUE"""),"0,16")</f>
        <v>0,16</v>
      </c>
      <c r="F177" s="6" t="str">
        <f>IFERROR(__xludf.DUMMYFUNCTION("""COMPUTED_VALUE"""),"2,10")</f>
        <v>2,10</v>
      </c>
      <c r="G177" s="6"/>
      <c r="H177" s="6" t="str">
        <f>IFERROR(__xludf.DUMMYFUNCTION("""COMPUTED_VALUE"""),"11,01%")</f>
        <v>11,01%</v>
      </c>
      <c r="I177" s="8">
        <f t="shared" si="2"/>
        <v>233</v>
      </c>
      <c r="J177" s="8">
        <f t="shared" si="3"/>
        <v>0.233</v>
      </c>
    </row>
    <row r="178">
      <c r="B178" s="6" t="str">
        <f t="shared" si="1"/>
        <v>Venezuela </v>
      </c>
      <c r="C178" s="6" t="str">
        <f>IFERROR(__xludf.DUMMYFUNCTION("""COMPUTED_VALUE"""),"Venezuela [+]")</f>
        <v>Venezuela [+]</v>
      </c>
      <c r="D178" s="7">
        <f>IFERROR(__xludf.DUMMYFUNCTION("""COMPUTED_VALUE"""),104672.0)</f>
        <v>104672</v>
      </c>
      <c r="E178" s="6" t="str">
        <f>IFERROR(__xludf.DUMMYFUNCTION("""COMPUTED_VALUE"""),"0,19")</f>
        <v>0,19</v>
      </c>
      <c r="F178" s="6" t="str">
        <f>IFERROR(__xludf.DUMMYFUNCTION("""COMPUTED_VALUE"""),"3,12")</f>
        <v>3,12</v>
      </c>
      <c r="G178" s="6"/>
      <c r="H178" s="6" t="str">
        <f>IFERROR(__xludf.DUMMYFUNCTION("""COMPUTED_VALUE"""),"3,30%")</f>
        <v>3,30%</v>
      </c>
      <c r="I178" s="8">
        <f t="shared" si="2"/>
        <v>104672</v>
      </c>
      <c r="J178" s="8">
        <f t="shared" si="3"/>
        <v>104.672</v>
      </c>
    </row>
    <row r="179">
      <c r="B179" s="6" t="str">
        <f t="shared" si="1"/>
        <v>Viet Nam </v>
      </c>
      <c r="C179" s="6" t="str">
        <f>IFERROR(__xludf.DUMMYFUNCTION("""COMPUTED_VALUE"""),"Viet Nam [+]")</f>
        <v>Viet Nam [+]</v>
      </c>
      <c r="D179" s="7">
        <f>IFERROR(__xludf.DUMMYFUNCTION("""COMPUTED_VALUE"""),321413.0)</f>
        <v>321413</v>
      </c>
      <c r="E179" s="6" t="str">
        <f>IFERROR(__xludf.DUMMYFUNCTION("""COMPUTED_VALUE"""),"0,31")</f>
        <v>0,31</v>
      </c>
      <c r="F179" s="6" t="str">
        <f>IFERROR(__xludf.DUMMYFUNCTION("""COMPUTED_VALUE"""),"3,24")</f>
        <v>3,24</v>
      </c>
      <c r="G179" s="6"/>
      <c r="H179" s="6" t="str">
        <f>IFERROR(__xludf.DUMMYFUNCTION("""COMPUTED_VALUE"""),"-1,12%")</f>
        <v>-1,12%</v>
      </c>
      <c r="I179" s="8">
        <f t="shared" si="2"/>
        <v>321413</v>
      </c>
      <c r="J179" s="8">
        <f t="shared" si="3"/>
        <v>321.413</v>
      </c>
    </row>
    <row r="180">
      <c r="B180" s="6" t="str">
        <f t="shared" si="1"/>
        <v>Vanuatu </v>
      </c>
      <c r="C180" s="6" t="str">
        <f>IFERROR(__xludf.DUMMYFUNCTION("""COMPUTED_VALUE"""),"Vanuatu [+]")</f>
        <v>Vanuatu [+]</v>
      </c>
      <c r="D180" s="7">
        <f>IFERROR(__xludf.DUMMYFUNCTION("""COMPUTED_VALUE"""),223.0)</f>
        <v>223</v>
      </c>
      <c r="E180" s="6" t="str">
        <f>IFERROR(__xludf.DUMMYFUNCTION("""COMPUTED_VALUE"""),"0,25")</f>
        <v>0,25</v>
      </c>
      <c r="F180" s="6" t="str">
        <f>IFERROR(__xludf.DUMMYFUNCTION("""COMPUTED_VALUE"""),"0,74")</f>
        <v>0,74</v>
      </c>
      <c r="G180" s="6"/>
      <c r="H180" s="6" t="str">
        <f>IFERROR(__xludf.DUMMYFUNCTION("""COMPUTED_VALUE"""),"1,56%")</f>
        <v>1,56%</v>
      </c>
      <c r="I180" s="8">
        <f t="shared" si="2"/>
        <v>223</v>
      </c>
      <c r="J180" s="8">
        <f t="shared" si="3"/>
        <v>0.223</v>
      </c>
    </row>
    <row r="181">
      <c r="B181" s="6" t="str">
        <f t="shared" si="1"/>
        <v>Samoa </v>
      </c>
      <c r="C181" s="6" t="str">
        <f>IFERROR(__xludf.DUMMYFUNCTION("""COMPUTED_VALUE"""),"Samoa [+]")</f>
        <v>Samoa [+]</v>
      </c>
      <c r="D181" s="7">
        <f>IFERROR(__xludf.DUMMYFUNCTION("""COMPUTED_VALUE"""),360.0)</f>
        <v>360</v>
      </c>
      <c r="E181" s="6" t="str">
        <f>IFERROR(__xludf.DUMMYFUNCTION("""COMPUTED_VALUE"""),"0,31")</f>
        <v>0,31</v>
      </c>
      <c r="F181" s="6" t="str">
        <f>IFERROR(__xludf.DUMMYFUNCTION("""COMPUTED_VALUE"""),"1,78")</f>
        <v>1,78</v>
      </c>
      <c r="G181" s="6"/>
      <c r="H181" s="6" t="str">
        <f>IFERROR(__xludf.DUMMYFUNCTION("""COMPUTED_VALUE"""),"2,73%")</f>
        <v>2,73%</v>
      </c>
      <c r="I181" s="8">
        <f t="shared" si="2"/>
        <v>360</v>
      </c>
      <c r="J181" s="8">
        <f t="shared" si="3"/>
        <v>0.36</v>
      </c>
    </row>
    <row r="182">
      <c r="B182" s="6" t="str">
        <f t="shared" si="1"/>
        <v>Yemen </v>
      </c>
      <c r="C182" s="6" t="str">
        <f>IFERROR(__xludf.DUMMYFUNCTION("""COMPUTED_VALUE"""),"Yemen [+]")</f>
        <v>Yemen [+]</v>
      </c>
      <c r="D182" s="7">
        <f>IFERROR(__xludf.DUMMYFUNCTION("""COMPUTED_VALUE"""),12047.0)</f>
        <v>12047</v>
      </c>
      <c r="E182" s="6" t="str">
        <f>IFERROR(__xludf.DUMMYFUNCTION("""COMPUTED_VALUE"""),"0,10")</f>
        <v>0,10</v>
      </c>
      <c r="F182" s="6" t="str">
        <f>IFERROR(__xludf.DUMMYFUNCTION("""COMPUTED_VALUE"""),"0,39")</f>
        <v>0,39</v>
      </c>
      <c r="G182" s="6"/>
      <c r="H182" s="6" t="str">
        <f>IFERROR(__xludf.DUMMYFUNCTION("""COMPUTED_VALUE"""),"1,55%")</f>
        <v>1,55%</v>
      </c>
      <c r="I182" s="8">
        <f t="shared" si="2"/>
        <v>12047</v>
      </c>
      <c r="J182" s="8">
        <f t="shared" si="3"/>
        <v>12.047</v>
      </c>
    </row>
    <row r="183">
      <c r="B183" s="6" t="str">
        <f t="shared" si="1"/>
        <v>Sudáfrica </v>
      </c>
      <c r="C183" s="6" t="str">
        <f>IFERROR(__xludf.DUMMYFUNCTION("""COMPUTED_VALUE"""),"Sudáfrica [+]")</f>
        <v>Sudáfrica [+]</v>
      </c>
      <c r="D183" s="7">
        <f>IFERROR(__xludf.DUMMYFUNCTION("""COMPUTED_VALUE"""),435523.0)</f>
        <v>435523</v>
      </c>
      <c r="E183" s="6" t="str">
        <f>IFERROR(__xludf.DUMMYFUNCTION("""COMPUTED_VALUE"""),"0,55")</f>
        <v>0,55</v>
      </c>
      <c r="F183" s="6" t="str">
        <f>IFERROR(__xludf.DUMMYFUNCTION("""COMPUTED_VALUE"""),"7,34")</f>
        <v>7,34</v>
      </c>
      <c r="G183" s="6"/>
      <c r="H183" s="6" t="str">
        <f>IFERROR(__xludf.DUMMYFUNCTION("""COMPUTED_VALUE"""),"0,70%")</f>
        <v>0,70%</v>
      </c>
      <c r="I183" s="8">
        <f t="shared" si="2"/>
        <v>435523</v>
      </c>
      <c r="J183" s="8">
        <f t="shared" si="3"/>
        <v>435.523</v>
      </c>
    </row>
    <row r="184">
      <c r="B184" s="6" t="str">
        <f t="shared" si="1"/>
        <v>Zambia </v>
      </c>
      <c r="C184" s="6" t="str">
        <f>IFERROR(__xludf.DUMMYFUNCTION("""COMPUTED_VALUE"""),"Zambia [+]")</f>
        <v>Zambia [+]</v>
      </c>
      <c r="D184" s="7">
        <f>IFERROR(__xludf.DUMMYFUNCTION("""COMPUTED_VALUE"""),7011.0)</f>
        <v>7011</v>
      </c>
      <c r="E184" s="6" t="str">
        <f>IFERROR(__xludf.DUMMYFUNCTION("""COMPUTED_VALUE"""),"0,11")</f>
        <v>0,11</v>
      </c>
      <c r="F184" s="6" t="str">
        <f>IFERROR(__xludf.DUMMYFUNCTION("""COMPUTED_VALUE"""),"0,36")</f>
        <v>0,36</v>
      </c>
      <c r="G184" s="6"/>
      <c r="H184" s="6" t="str">
        <f>IFERROR(__xludf.DUMMYFUNCTION("""COMPUTED_VALUE"""),"2,87%")</f>
        <v>2,87%</v>
      </c>
      <c r="I184" s="8">
        <f t="shared" si="2"/>
        <v>7011</v>
      </c>
      <c r="J184" s="8">
        <f t="shared" si="3"/>
        <v>7.011</v>
      </c>
    </row>
    <row r="185">
      <c r="B185" s="6" t="str">
        <f t="shared" si="1"/>
        <v>Zimbabue </v>
      </c>
      <c r="C185" s="6" t="str">
        <f>IFERROR(__xludf.DUMMYFUNCTION("""COMPUTED_VALUE"""),"Zimbabue [+]")</f>
        <v>Zimbabue [+]</v>
      </c>
      <c r="D185" s="7">
        <f>IFERROR(__xludf.DUMMYFUNCTION("""COMPUTED_VALUE"""),12293.0)</f>
        <v>12293</v>
      </c>
      <c r="E185" s="6" t="str">
        <f>IFERROR(__xludf.DUMMYFUNCTION("""COMPUTED_VALUE"""),"0,23")</f>
        <v>0,23</v>
      </c>
      <c r="F185" s="6" t="str">
        <f>IFERROR(__xludf.DUMMYFUNCTION("""COMPUTED_VALUE"""),"0,68")</f>
        <v>0,68</v>
      </c>
      <c r="G185" s="6"/>
      <c r="H185" s="6" t="str">
        <f>IFERROR(__xludf.DUMMYFUNCTION("""COMPUTED_VALUE"""),"5,17%")</f>
        <v>5,17%</v>
      </c>
      <c r="I185" s="8">
        <f t="shared" si="2"/>
        <v>12293</v>
      </c>
      <c r="J185" s="8">
        <f t="shared" si="3"/>
        <v>12.293</v>
      </c>
    </row>
    <row r="186">
      <c r="D186" s="7"/>
      <c r="J186" s="8"/>
    </row>
    <row r="187">
      <c r="D187" s="7"/>
      <c r="J187" s="8"/>
    </row>
    <row r="188">
      <c r="D188" s="7"/>
      <c r="J188" s="8"/>
    </row>
    <row r="189">
      <c r="D189" s="7"/>
      <c r="J189" s="8"/>
    </row>
    <row r="190">
      <c r="D190" s="7"/>
      <c r="J190" s="8"/>
    </row>
    <row r="191">
      <c r="D191" s="7"/>
      <c r="J191" s="8"/>
    </row>
    <row r="192">
      <c r="D192" s="7"/>
      <c r="J192" s="8"/>
    </row>
    <row r="193">
      <c r="D193" s="7"/>
      <c r="J193" s="8"/>
    </row>
    <row r="194">
      <c r="D194" s="7"/>
      <c r="J194" s="8"/>
    </row>
    <row r="195">
      <c r="D195" s="7"/>
      <c r="J195" s="8"/>
    </row>
    <row r="196">
      <c r="D196" s="7"/>
      <c r="J196" s="8"/>
    </row>
    <row r="197">
      <c r="D197" s="7"/>
      <c r="J197" s="8"/>
    </row>
    <row r="198">
      <c r="D198" s="7"/>
      <c r="J198" s="8"/>
    </row>
    <row r="199">
      <c r="D199" s="7"/>
      <c r="J199" s="8"/>
    </row>
    <row r="200">
      <c r="D200" s="7"/>
      <c r="J200" s="8"/>
    </row>
    <row r="201">
      <c r="D201" s="7"/>
      <c r="J201" s="8"/>
    </row>
    <row r="202">
      <c r="D202" s="7"/>
      <c r="J202" s="8"/>
    </row>
    <row r="203">
      <c r="D203" s="7"/>
      <c r="J203" s="8"/>
    </row>
    <row r="204">
      <c r="D204" s="7"/>
      <c r="J204" s="8"/>
    </row>
    <row r="205">
      <c r="D205" s="7"/>
      <c r="J205" s="8"/>
    </row>
    <row r="206">
      <c r="D206" s="7"/>
      <c r="J206" s="8"/>
    </row>
    <row r="207">
      <c r="D207" s="7"/>
      <c r="J207" s="8"/>
    </row>
    <row r="208">
      <c r="D208" s="7"/>
      <c r="J208" s="8"/>
    </row>
    <row r="209">
      <c r="D209" s="7"/>
      <c r="J209" s="8"/>
    </row>
    <row r="210">
      <c r="D210" s="7"/>
      <c r="J210" s="8"/>
    </row>
    <row r="211">
      <c r="D211" s="7"/>
      <c r="J211" s="8"/>
    </row>
    <row r="212">
      <c r="D212" s="7"/>
      <c r="J212" s="8"/>
    </row>
    <row r="213">
      <c r="D213" s="7"/>
      <c r="J213" s="8"/>
    </row>
    <row r="214">
      <c r="D214" s="7"/>
      <c r="J214" s="8"/>
    </row>
    <row r="215">
      <c r="D215" s="7"/>
      <c r="J215" s="8"/>
    </row>
    <row r="216">
      <c r="D216" s="7"/>
      <c r="J216" s="8"/>
    </row>
    <row r="217">
      <c r="D217" s="7"/>
      <c r="J217" s="8"/>
    </row>
    <row r="218">
      <c r="D218" s="7"/>
      <c r="J218" s="8"/>
    </row>
    <row r="219">
      <c r="D219" s="7"/>
      <c r="J219" s="8"/>
    </row>
    <row r="220">
      <c r="D220" s="7"/>
      <c r="J220" s="8"/>
    </row>
    <row r="221">
      <c r="D221" s="7"/>
      <c r="J221" s="8"/>
    </row>
    <row r="222">
      <c r="D222" s="7"/>
      <c r="J222" s="8"/>
    </row>
    <row r="223">
      <c r="D223" s="7"/>
      <c r="J223" s="8"/>
    </row>
    <row r="224">
      <c r="D224" s="7"/>
      <c r="J224" s="8"/>
    </row>
    <row r="225">
      <c r="D225" s="7"/>
      <c r="J225" s="8"/>
    </row>
    <row r="226">
      <c r="D226" s="7"/>
      <c r="J226" s="8"/>
    </row>
    <row r="227">
      <c r="D227" s="7"/>
      <c r="J227" s="8"/>
    </row>
    <row r="228">
      <c r="D228" s="7"/>
      <c r="J228" s="8"/>
    </row>
    <row r="229">
      <c r="D229" s="7"/>
      <c r="J229" s="8"/>
    </row>
    <row r="230">
      <c r="D230" s="7"/>
      <c r="J230" s="8"/>
    </row>
    <row r="231">
      <c r="D231" s="7"/>
      <c r="J231" s="8"/>
    </row>
    <row r="232">
      <c r="D232" s="7"/>
      <c r="J232" s="8"/>
    </row>
    <row r="233">
      <c r="D233" s="7"/>
      <c r="J233" s="8"/>
    </row>
    <row r="234">
      <c r="D234" s="7"/>
      <c r="J234" s="8"/>
    </row>
    <row r="235">
      <c r="D235" s="7"/>
      <c r="J235" s="8"/>
    </row>
    <row r="236">
      <c r="D236" s="7"/>
      <c r="J236" s="8"/>
    </row>
    <row r="237">
      <c r="D237" s="7"/>
      <c r="J237" s="8"/>
    </row>
    <row r="238">
      <c r="D238" s="7"/>
      <c r="J238" s="8"/>
    </row>
    <row r="239">
      <c r="D239" s="7"/>
      <c r="J239" s="8"/>
    </row>
    <row r="240">
      <c r="D240" s="7"/>
      <c r="J240" s="8"/>
    </row>
    <row r="241">
      <c r="D241" s="7"/>
      <c r="J241" s="8"/>
    </row>
    <row r="242">
      <c r="D242" s="7"/>
      <c r="J242" s="8"/>
    </row>
    <row r="243">
      <c r="D243" s="7"/>
      <c r="J243" s="8"/>
    </row>
    <row r="244">
      <c r="D244" s="7"/>
      <c r="J244" s="8"/>
    </row>
    <row r="245">
      <c r="D245" s="7"/>
      <c r="J245" s="8"/>
    </row>
    <row r="246">
      <c r="D246" s="7"/>
      <c r="J246" s="8"/>
    </row>
    <row r="247">
      <c r="D247" s="7"/>
      <c r="J247" s="8"/>
    </row>
    <row r="248">
      <c r="D248" s="7"/>
      <c r="J248" s="8"/>
    </row>
    <row r="249">
      <c r="D249" s="7"/>
      <c r="J249" s="8"/>
    </row>
    <row r="250">
      <c r="D250" s="7"/>
      <c r="J250" s="8"/>
    </row>
    <row r="251">
      <c r="D251" s="7"/>
      <c r="J251" s="8"/>
    </row>
    <row r="252">
      <c r="D252" s="7"/>
      <c r="J252" s="8"/>
    </row>
    <row r="253">
      <c r="D253" s="7"/>
      <c r="J253" s="8"/>
    </row>
    <row r="254">
      <c r="D254" s="7"/>
      <c r="J254" s="8"/>
    </row>
    <row r="255">
      <c r="D255" s="7"/>
      <c r="J255" s="8"/>
    </row>
    <row r="256">
      <c r="D256" s="7"/>
      <c r="J256" s="8"/>
    </row>
    <row r="257">
      <c r="D257" s="7"/>
      <c r="J257" s="8"/>
    </row>
    <row r="258">
      <c r="D258" s="7"/>
      <c r="J258" s="8"/>
    </row>
    <row r="259">
      <c r="D259" s="7"/>
      <c r="J259" s="8"/>
    </row>
    <row r="260">
      <c r="D260" s="7"/>
      <c r="J260" s="8"/>
    </row>
    <row r="261">
      <c r="D261" s="7"/>
      <c r="J261" s="8"/>
    </row>
    <row r="262">
      <c r="D262" s="7"/>
      <c r="J262" s="8"/>
    </row>
    <row r="263">
      <c r="D263" s="7"/>
      <c r="J263" s="8"/>
    </row>
    <row r="264">
      <c r="D264" s="7"/>
      <c r="J264" s="8"/>
    </row>
    <row r="265">
      <c r="D265" s="7"/>
      <c r="J265" s="8"/>
    </row>
    <row r="266">
      <c r="D266" s="7"/>
      <c r="J266" s="8"/>
    </row>
    <row r="267">
      <c r="D267" s="7"/>
      <c r="J267" s="8"/>
    </row>
    <row r="268">
      <c r="D268" s="7"/>
      <c r="J268" s="8"/>
    </row>
    <row r="269">
      <c r="D269" s="7"/>
      <c r="J269" s="8"/>
    </row>
    <row r="270">
      <c r="D270" s="7"/>
      <c r="J270" s="8"/>
    </row>
    <row r="271">
      <c r="D271" s="7"/>
      <c r="J271" s="8"/>
    </row>
    <row r="272">
      <c r="D272" s="7"/>
      <c r="J272" s="8"/>
    </row>
    <row r="273">
      <c r="D273" s="7"/>
      <c r="J273" s="8"/>
    </row>
    <row r="274">
      <c r="D274" s="7"/>
      <c r="J274" s="8"/>
    </row>
    <row r="275">
      <c r="D275" s="7"/>
      <c r="J275" s="8"/>
    </row>
    <row r="276">
      <c r="D276" s="7"/>
      <c r="J276" s="8"/>
    </row>
    <row r="277">
      <c r="D277" s="7"/>
      <c r="J277" s="8"/>
    </row>
    <row r="278">
      <c r="D278" s="7"/>
      <c r="J278" s="8"/>
    </row>
    <row r="279">
      <c r="D279" s="7"/>
      <c r="J279" s="8"/>
    </row>
    <row r="280">
      <c r="D280" s="7"/>
      <c r="J280" s="8"/>
    </row>
    <row r="281">
      <c r="D281" s="7"/>
      <c r="J281" s="8"/>
    </row>
    <row r="282">
      <c r="D282" s="7"/>
      <c r="J282" s="8"/>
    </row>
    <row r="283">
      <c r="D283" s="7"/>
      <c r="J283" s="8"/>
    </row>
    <row r="284">
      <c r="D284" s="7"/>
      <c r="J284" s="8"/>
    </row>
    <row r="285">
      <c r="D285" s="7"/>
      <c r="J285" s="8"/>
    </row>
    <row r="286">
      <c r="D286" s="7"/>
      <c r="J286" s="8"/>
    </row>
    <row r="287">
      <c r="D287" s="7"/>
      <c r="J287" s="8"/>
    </row>
    <row r="288">
      <c r="D288" s="7"/>
      <c r="J288" s="8"/>
    </row>
    <row r="289">
      <c r="D289" s="7"/>
      <c r="J289" s="8"/>
    </row>
    <row r="290">
      <c r="D290" s="7"/>
      <c r="J290" s="8"/>
    </row>
    <row r="291">
      <c r="D291" s="7"/>
      <c r="J291" s="8"/>
    </row>
    <row r="292">
      <c r="D292" s="7"/>
      <c r="J292" s="8"/>
    </row>
    <row r="293">
      <c r="D293" s="7"/>
      <c r="J293" s="8"/>
    </row>
    <row r="294">
      <c r="D294" s="7"/>
      <c r="J294" s="8"/>
    </row>
    <row r="295">
      <c r="D295" s="7"/>
      <c r="J295" s="8"/>
    </row>
    <row r="296">
      <c r="D296" s="7"/>
      <c r="J296" s="8"/>
    </row>
    <row r="297">
      <c r="D297" s="7"/>
      <c r="J297" s="8"/>
    </row>
    <row r="298">
      <c r="D298" s="7"/>
      <c r="J298" s="8"/>
    </row>
    <row r="299">
      <c r="D299" s="7"/>
      <c r="J299" s="8"/>
    </row>
    <row r="300">
      <c r="D300" s="7"/>
      <c r="J300" s="8"/>
    </row>
    <row r="301">
      <c r="D301" s="7"/>
      <c r="J301" s="8"/>
    </row>
    <row r="302">
      <c r="D302" s="7"/>
      <c r="J302" s="8"/>
    </row>
    <row r="303">
      <c r="D303" s="7"/>
      <c r="J303" s="8"/>
    </row>
    <row r="304">
      <c r="D304" s="7"/>
      <c r="J304" s="8"/>
    </row>
    <row r="305">
      <c r="D305" s="7"/>
      <c r="J305" s="8"/>
    </row>
    <row r="306">
      <c r="D306" s="7"/>
      <c r="J306" s="8"/>
    </row>
    <row r="307">
      <c r="D307" s="7"/>
      <c r="J307" s="8"/>
    </row>
    <row r="308">
      <c r="D308" s="7"/>
      <c r="J308" s="8"/>
    </row>
    <row r="309">
      <c r="D309" s="7"/>
      <c r="J309" s="8"/>
    </row>
    <row r="310">
      <c r="D310" s="7"/>
      <c r="J310" s="8"/>
    </row>
    <row r="311">
      <c r="D311" s="7"/>
      <c r="J311" s="8"/>
    </row>
    <row r="312">
      <c r="D312" s="7"/>
      <c r="J312" s="8"/>
    </row>
    <row r="313">
      <c r="D313" s="7"/>
      <c r="J313" s="8"/>
    </row>
    <row r="314">
      <c r="D314" s="7"/>
      <c r="J314" s="8"/>
    </row>
    <row r="315">
      <c r="D315" s="7"/>
      <c r="J315" s="8"/>
    </row>
    <row r="316">
      <c r="D316" s="7"/>
      <c r="J316" s="8"/>
    </row>
    <row r="317">
      <c r="D317" s="7"/>
      <c r="J317" s="8"/>
    </row>
    <row r="318">
      <c r="D318" s="7"/>
      <c r="J318" s="8"/>
    </row>
    <row r="319">
      <c r="D319" s="7"/>
      <c r="J319" s="8"/>
    </row>
    <row r="320">
      <c r="D320" s="7"/>
      <c r="J320" s="8"/>
    </row>
    <row r="321">
      <c r="D321" s="7"/>
      <c r="J321" s="8"/>
    </row>
    <row r="322">
      <c r="D322" s="7"/>
      <c r="J322" s="8"/>
    </row>
    <row r="323">
      <c r="D323" s="7"/>
      <c r="J323" s="8"/>
    </row>
    <row r="324">
      <c r="D324" s="7"/>
      <c r="J324" s="8"/>
    </row>
    <row r="325">
      <c r="D325" s="7"/>
      <c r="J325" s="8"/>
    </row>
    <row r="326">
      <c r="D326" s="7"/>
      <c r="J326" s="8"/>
    </row>
    <row r="327">
      <c r="D327" s="7"/>
      <c r="J327" s="8"/>
    </row>
    <row r="328">
      <c r="D328" s="7"/>
      <c r="J328" s="8"/>
    </row>
    <row r="329">
      <c r="D329" s="7"/>
      <c r="J329" s="8"/>
    </row>
    <row r="330">
      <c r="D330" s="7"/>
      <c r="J330" s="8"/>
    </row>
    <row r="331">
      <c r="D331" s="7"/>
      <c r="J331" s="8"/>
    </row>
    <row r="332">
      <c r="D332" s="7"/>
      <c r="J332" s="8"/>
    </row>
    <row r="333">
      <c r="D333" s="7"/>
      <c r="J333" s="8"/>
    </row>
    <row r="334">
      <c r="D334" s="7"/>
      <c r="J334" s="8"/>
    </row>
    <row r="335">
      <c r="D335" s="7"/>
      <c r="J335" s="8"/>
    </row>
    <row r="336">
      <c r="D336" s="7"/>
      <c r="J336" s="8"/>
    </row>
    <row r="337">
      <c r="D337" s="7"/>
      <c r="J337" s="8"/>
    </row>
    <row r="338">
      <c r="D338" s="7"/>
      <c r="J338" s="8"/>
    </row>
    <row r="339">
      <c r="D339" s="7"/>
      <c r="J339" s="8"/>
    </row>
    <row r="340">
      <c r="D340" s="7"/>
      <c r="J340" s="8"/>
    </row>
    <row r="341">
      <c r="D341" s="7"/>
      <c r="J341" s="8"/>
    </row>
    <row r="342">
      <c r="D342" s="7"/>
      <c r="J342" s="8"/>
    </row>
    <row r="343">
      <c r="D343" s="7"/>
      <c r="J343" s="8"/>
    </row>
    <row r="344">
      <c r="D344" s="7"/>
      <c r="J344" s="8"/>
    </row>
    <row r="345">
      <c r="D345" s="7"/>
      <c r="J345" s="8"/>
    </row>
    <row r="346">
      <c r="D346" s="7"/>
      <c r="J346" s="8"/>
    </row>
    <row r="347">
      <c r="D347" s="7"/>
      <c r="J347" s="8"/>
    </row>
    <row r="348">
      <c r="D348" s="7"/>
      <c r="J348" s="8"/>
    </row>
    <row r="349">
      <c r="D349" s="7"/>
      <c r="J349" s="8"/>
    </row>
    <row r="350">
      <c r="D350" s="7"/>
      <c r="J350" s="8"/>
    </row>
    <row r="351">
      <c r="D351" s="7"/>
      <c r="J351" s="8"/>
    </row>
    <row r="352">
      <c r="D352" s="7"/>
      <c r="J352" s="8"/>
    </row>
    <row r="353">
      <c r="D353" s="7"/>
      <c r="J353" s="8"/>
    </row>
    <row r="354">
      <c r="D354" s="7"/>
      <c r="J354" s="8"/>
    </row>
    <row r="355">
      <c r="D355" s="7"/>
      <c r="J355" s="8"/>
    </row>
    <row r="356">
      <c r="D356" s="7"/>
      <c r="J356" s="8"/>
    </row>
    <row r="357">
      <c r="D357" s="7"/>
      <c r="J357" s="8"/>
    </row>
    <row r="358">
      <c r="D358" s="7"/>
      <c r="J358" s="8"/>
    </row>
    <row r="359">
      <c r="D359" s="7"/>
      <c r="J359" s="8"/>
    </row>
    <row r="360">
      <c r="D360" s="7"/>
      <c r="J360" s="8"/>
    </row>
    <row r="361">
      <c r="D361" s="7"/>
      <c r="J361" s="8"/>
    </row>
    <row r="362">
      <c r="D362" s="7"/>
      <c r="J362" s="8"/>
    </row>
    <row r="363">
      <c r="D363" s="7"/>
      <c r="J363" s="8"/>
    </row>
    <row r="364">
      <c r="D364" s="7"/>
      <c r="J364" s="8"/>
    </row>
    <row r="365">
      <c r="D365" s="7"/>
      <c r="J365" s="8"/>
    </row>
    <row r="366">
      <c r="D366" s="7"/>
      <c r="J366" s="8"/>
    </row>
    <row r="367">
      <c r="D367" s="7"/>
      <c r="J367" s="8"/>
    </row>
    <row r="368">
      <c r="D368" s="7"/>
      <c r="J368" s="8"/>
    </row>
    <row r="369">
      <c r="D369" s="7"/>
      <c r="J369" s="8"/>
    </row>
    <row r="370">
      <c r="D370" s="7"/>
      <c r="J370" s="8"/>
    </row>
    <row r="371">
      <c r="D371" s="7"/>
      <c r="J371" s="8"/>
    </row>
    <row r="372">
      <c r="D372" s="7"/>
      <c r="J372" s="8"/>
    </row>
    <row r="373">
      <c r="D373" s="7"/>
      <c r="J373" s="8"/>
    </row>
    <row r="374">
      <c r="D374" s="7"/>
      <c r="J374" s="8"/>
    </row>
    <row r="375">
      <c r="D375" s="7"/>
      <c r="J375" s="8"/>
    </row>
    <row r="376">
      <c r="D376" s="7"/>
      <c r="J376" s="8"/>
    </row>
    <row r="377">
      <c r="D377" s="7"/>
      <c r="J377" s="8"/>
    </row>
    <row r="378">
      <c r="D378" s="7"/>
      <c r="J378" s="8"/>
    </row>
    <row r="379">
      <c r="D379" s="7"/>
      <c r="J379" s="8"/>
    </row>
    <row r="380">
      <c r="D380" s="7"/>
      <c r="J380" s="8"/>
    </row>
    <row r="381">
      <c r="D381" s="7"/>
      <c r="J381" s="8"/>
    </row>
    <row r="382">
      <c r="D382" s="7"/>
      <c r="J382" s="8"/>
    </row>
    <row r="383">
      <c r="D383" s="7"/>
      <c r="J383" s="8"/>
    </row>
    <row r="384">
      <c r="D384" s="7"/>
      <c r="J384" s="8"/>
    </row>
    <row r="385">
      <c r="D385" s="7"/>
      <c r="J385" s="8"/>
    </row>
    <row r="386">
      <c r="D386" s="7"/>
      <c r="J386" s="8"/>
    </row>
    <row r="387">
      <c r="D387" s="7"/>
      <c r="J387" s="8"/>
    </row>
    <row r="388">
      <c r="D388" s="7"/>
      <c r="J388" s="8"/>
    </row>
    <row r="389">
      <c r="D389" s="7"/>
      <c r="J389" s="8"/>
    </row>
    <row r="390">
      <c r="D390" s="7"/>
      <c r="J390" s="8"/>
    </row>
    <row r="391">
      <c r="D391" s="7"/>
      <c r="J391" s="8"/>
    </row>
    <row r="392">
      <c r="D392" s="7"/>
      <c r="J392" s="8"/>
    </row>
    <row r="393">
      <c r="D393" s="7"/>
      <c r="J393" s="8"/>
    </row>
    <row r="394">
      <c r="D394" s="7"/>
      <c r="J394" s="8"/>
    </row>
    <row r="395">
      <c r="D395" s="7"/>
      <c r="J395" s="8"/>
    </row>
    <row r="396">
      <c r="D396" s="7"/>
      <c r="J396" s="8"/>
    </row>
    <row r="397">
      <c r="D397" s="7"/>
      <c r="J397" s="8"/>
    </row>
    <row r="398">
      <c r="D398" s="7"/>
      <c r="J398" s="8"/>
    </row>
    <row r="399">
      <c r="D399" s="7"/>
      <c r="J399" s="8"/>
    </row>
    <row r="400">
      <c r="D400" s="7"/>
      <c r="J400" s="8"/>
    </row>
    <row r="401">
      <c r="D401" s="7"/>
      <c r="J401" s="8"/>
    </row>
    <row r="402">
      <c r="D402" s="7"/>
      <c r="J402" s="8"/>
    </row>
    <row r="403">
      <c r="D403" s="7"/>
      <c r="J403" s="8"/>
    </row>
    <row r="404">
      <c r="D404" s="7"/>
      <c r="J404" s="8"/>
    </row>
    <row r="405">
      <c r="D405" s="7"/>
      <c r="J405" s="8"/>
    </row>
    <row r="406">
      <c r="D406" s="7"/>
      <c r="J406" s="8"/>
    </row>
    <row r="407">
      <c r="D407" s="7"/>
      <c r="J407" s="8"/>
    </row>
    <row r="408">
      <c r="D408" s="7"/>
      <c r="J408" s="8"/>
    </row>
    <row r="409">
      <c r="D409" s="7"/>
      <c r="J409" s="8"/>
    </row>
    <row r="410">
      <c r="D410" s="7"/>
      <c r="J410" s="8"/>
    </row>
    <row r="411">
      <c r="D411" s="7"/>
      <c r="J411" s="8"/>
    </row>
    <row r="412">
      <c r="D412" s="7"/>
      <c r="J412" s="8"/>
    </row>
    <row r="413">
      <c r="D413" s="7"/>
      <c r="J413" s="8"/>
    </row>
    <row r="414">
      <c r="D414" s="7"/>
      <c r="J414" s="8"/>
    </row>
    <row r="415">
      <c r="D415" s="7"/>
      <c r="J415" s="8"/>
    </row>
    <row r="416">
      <c r="D416" s="7"/>
      <c r="J416" s="8"/>
    </row>
    <row r="417">
      <c r="D417" s="7"/>
      <c r="J417" s="8"/>
    </row>
    <row r="418">
      <c r="D418" s="7"/>
      <c r="J418" s="8"/>
    </row>
    <row r="419">
      <c r="D419" s="7"/>
      <c r="J419" s="8"/>
    </row>
    <row r="420">
      <c r="D420" s="7"/>
      <c r="J420" s="8"/>
    </row>
    <row r="421">
      <c r="D421" s="7"/>
      <c r="J421" s="8"/>
    </row>
    <row r="422">
      <c r="D422" s="7"/>
      <c r="J422" s="8"/>
    </row>
    <row r="423">
      <c r="D423" s="7"/>
      <c r="J423" s="8"/>
    </row>
    <row r="424">
      <c r="D424" s="7"/>
      <c r="J424" s="8"/>
    </row>
    <row r="425">
      <c r="D425" s="7"/>
      <c r="J425" s="8"/>
    </row>
    <row r="426">
      <c r="D426" s="7"/>
      <c r="J426" s="8"/>
    </row>
    <row r="427">
      <c r="D427" s="7"/>
      <c r="J427" s="8"/>
    </row>
    <row r="428">
      <c r="D428" s="7"/>
      <c r="J428" s="8"/>
    </row>
    <row r="429">
      <c r="D429" s="7"/>
      <c r="J429" s="8"/>
    </row>
    <row r="430">
      <c r="D430" s="7"/>
      <c r="J430" s="8"/>
    </row>
    <row r="431">
      <c r="D431" s="7"/>
      <c r="J431" s="8"/>
    </row>
    <row r="432">
      <c r="D432" s="7"/>
      <c r="J432" s="8"/>
    </row>
    <row r="433">
      <c r="D433" s="7"/>
      <c r="J433" s="8"/>
    </row>
    <row r="434">
      <c r="D434" s="7"/>
      <c r="J434" s="8"/>
    </row>
    <row r="435">
      <c r="D435" s="7"/>
      <c r="J435" s="8"/>
    </row>
    <row r="436">
      <c r="D436" s="7"/>
      <c r="J436" s="8"/>
    </row>
    <row r="437">
      <c r="D437" s="7"/>
      <c r="J437" s="8"/>
    </row>
    <row r="438">
      <c r="D438" s="7"/>
      <c r="J438" s="8"/>
    </row>
    <row r="439">
      <c r="D439" s="7"/>
      <c r="J439" s="8"/>
    </row>
    <row r="440">
      <c r="D440" s="7"/>
      <c r="J440" s="8"/>
    </row>
    <row r="441">
      <c r="D441" s="7"/>
      <c r="J441" s="8"/>
    </row>
    <row r="442">
      <c r="D442" s="7"/>
      <c r="J442" s="8"/>
    </row>
    <row r="443">
      <c r="D443" s="7"/>
      <c r="J443" s="8"/>
    </row>
    <row r="444">
      <c r="D444" s="7"/>
      <c r="J444" s="8"/>
    </row>
    <row r="445">
      <c r="D445" s="7"/>
      <c r="J445" s="8"/>
    </row>
    <row r="446">
      <c r="D446" s="7"/>
      <c r="J446" s="8"/>
    </row>
    <row r="447">
      <c r="D447" s="7"/>
      <c r="J447" s="8"/>
    </row>
    <row r="448">
      <c r="D448" s="7"/>
      <c r="J448" s="8"/>
    </row>
    <row r="449">
      <c r="D449" s="7"/>
      <c r="J449" s="8"/>
    </row>
    <row r="450">
      <c r="D450" s="7"/>
      <c r="J450" s="8"/>
    </row>
    <row r="451">
      <c r="D451" s="7"/>
      <c r="J451" s="8"/>
    </row>
    <row r="452">
      <c r="D452" s="7"/>
      <c r="J452" s="8"/>
    </row>
    <row r="453">
      <c r="D453" s="7"/>
      <c r="J453" s="8"/>
    </row>
    <row r="454">
      <c r="D454" s="7"/>
      <c r="J454" s="8"/>
    </row>
    <row r="455">
      <c r="D455" s="7"/>
      <c r="J455" s="8"/>
    </row>
    <row r="456">
      <c r="D456" s="7"/>
      <c r="J456" s="8"/>
    </row>
    <row r="457">
      <c r="D457" s="7"/>
      <c r="J457" s="8"/>
    </row>
    <row r="458">
      <c r="D458" s="7"/>
      <c r="J458" s="8"/>
    </row>
    <row r="459">
      <c r="D459" s="7"/>
      <c r="J459" s="8"/>
    </row>
    <row r="460">
      <c r="D460" s="7"/>
      <c r="J460" s="8"/>
    </row>
    <row r="461">
      <c r="D461" s="7"/>
      <c r="J461" s="8"/>
    </row>
    <row r="462">
      <c r="D462" s="7"/>
      <c r="J462" s="8"/>
    </row>
    <row r="463">
      <c r="D463" s="7"/>
      <c r="J463" s="8"/>
    </row>
    <row r="464">
      <c r="D464" s="7"/>
      <c r="J464" s="8"/>
    </row>
    <row r="465">
      <c r="D465" s="7"/>
      <c r="J465" s="8"/>
    </row>
    <row r="466">
      <c r="D466" s="7"/>
      <c r="J466" s="8"/>
    </row>
    <row r="467">
      <c r="D467" s="7"/>
      <c r="J467" s="8"/>
    </row>
    <row r="468">
      <c r="D468" s="7"/>
      <c r="J468" s="8"/>
    </row>
    <row r="469">
      <c r="D469" s="7"/>
      <c r="J469" s="8"/>
    </row>
    <row r="470">
      <c r="D470" s="7"/>
      <c r="J470" s="8"/>
    </row>
    <row r="471">
      <c r="D471" s="7"/>
      <c r="J471" s="8"/>
    </row>
    <row r="472">
      <c r="D472" s="7"/>
      <c r="J472" s="8"/>
    </row>
    <row r="473">
      <c r="D473" s="7"/>
      <c r="J473" s="8"/>
    </row>
    <row r="474">
      <c r="D474" s="7"/>
      <c r="J474" s="8"/>
    </row>
    <row r="475">
      <c r="D475" s="7"/>
      <c r="J475" s="8"/>
    </row>
    <row r="476">
      <c r="D476" s="7"/>
      <c r="J476" s="8"/>
    </row>
    <row r="477">
      <c r="D477" s="7"/>
      <c r="J477" s="8"/>
    </row>
    <row r="478">
      <c r="D478" s="7"/>
      <c r="J478" s="8"/>
    </row>
    <row r="479">
      <c r="D479" s="7"/>
      <c r="J479" s="8"/>
    </row>
    <row r="480">
      <c r="D480" s="7"/>
      <c r="J480" s="8"/>
    </row>
    <row r="481">
      <c r="D481" s="7"/>
      <c r="J481" s="8"/>
    </row>
    <row r="482">
      <c r="D482" s="7"/>
      <c r="J482" s="8"/>
    </row>
    <row r="483">
      <c r="D483" s="7"/>
      <c r="J483" s="8"/>
    </row>
    <row r="484">
      <c r="D484" s="7"/>
      <c r="J484" s="8"/>
    </row>
    <row r="485">
      <c r="D485" s="7"/>
      <c r="J485" s="8"/>
    </row>
    <row r="486">
      <c r="D486" s="7"/>
      <c r="J486" s="8"/>
    </row>
    <row r="487">
      <c r="D487" s="7"/>
      <c r="J487" s="8"/>
    </row>
    <row r="488">
      <c r="D488" s="7"/>
      <c r="J488" s="8"/>
    </row>
    <row r="489">
      <c r="D489" s="7"/>
      <c r="J489" s="8"/>
    </row>
    <row r="490">
      <c r="D490" s="7"/>
      <c r="J490" s="8"/>
    </row>
    <row r="491">
      <c r="D491" s="7"/>
      <c r="J491" s="8"/>
    </row>
    <row r="492">
      <c r="D492" s="7"/>
      <c r="J492" s="8"/>
    </row>
    <row r="493">
      <c r="D493" s="7"/>
      <c r="J493" s="8"/>
    </row>
    <row r="494">
      <c r="D494" s="7"/>
      <c r="J494" s="8"/>
    </row>
    <row r="495">
      <c r="D495" s="7"/>
      <c r="J495" s="8"/>
    </row>
    <row r="496">
      <c r="D496" s="7"/>
      <c r="J496" s="8"/>
    </row>
    <row r="497">
      <c r="D497" s="7"/>
      <c r="J497" s="8"/>
    </row>
    <row r="498">
      <c r="D498" s="7"/>
      <c r="J498" s="8"/>
    </row>
    <row r="499">
      <c r="D499" s="7"/>
      <c r="J499" s="8"/>
    </row>
    <row r="500">
      <c r="D500" s="7"/>
      <c r="J500" s="8"/>
    </row>
    <row r="501">
      <c r="D501" s="7"/>
      <c r="J501" s="8"/>
    </row>
    <row r="502">
      <c r="D502" s="7"/>
      <c r="J502" s="8"/>
    </row>
    <row r="503">
      <c r="D503" s="7"/>
      <c r="J503" s="8"/>
    </row>
    <row r="504">
      <c r="D504" s="7"/>
      <c r="J504" s="8"/>
    </row>
    <row r="505">
      <c r="D505" s="7"/>
      <c r="J505" s="8"/>
    </row>
    <row r="506">
      <c r="D506" s="7"/>
      <c r="J506" s="8"/>
    </row>
    <row r="507">
      <c r="D507" s="7"/>
      <c r="J507" s="8"/>
    </row>
    <row r="508">
      <c r="D508" s="7"/>
      <c r="J508" s="8"/>
    </row>
    <row r="509">
      <c r="D509" s="7"/>
      <c r="J509" s="8"/>
    </row>
    <row r="510">
      <c r="D510" s="7"/>
      <c r="J510" s="8"/>
    </row>
    <row r="511">
      <c r="D511" s="7"/>
      <c r="J511" s="8"/>
    </row>
    <row r="512">
      <c r="D512" s="7"/>
      <c r="J512" s="8"/>
    </row>
    <row r="513">
      <c r="D513" s="7"/>
      <c r="J513" s="8"/>
    </row>
    <row r="514">
      <c r="D514" s="7"/>
      <c r="J514" s="8"/>
    </row>
    <row r="515">
      <c r="D515" s="7"/>
      <c r="J515" s="8"/>
    </row>
    <row r="516">
      <c r="D516" s="7"/>
      <c r="J516" s="8"/>
    </row>
    <row r="517">
      <c r="D517" s="7"/>
      <c r="J517" s="8"/>
    </row>
    <row r="518">
      <c r="D518" s="7"/>
      <c r="J518" s="8"/>
    </row>
    <row r="519">
      <c r="D519" s="7"/>
      <c r="J519" s="8"/>
    </row>
    <row r="520">
      <c r="D520" s="7"/>
      <c r="J520" s="8"/>
    </row>
    <row r="521">
      <c r="D521" s="7"/>
      <c r="J521" s="8"/>
    </row>
    <row r="522">
      <c r="D522" s="7"/>
      <c r="J522" s="8"/>
    </row>
    <row r="523">
      <c r="D523" s="7"/>
      <c r="J523" s="8"/>
    </row>
    <row r="524">
      <c r="D524" s="7"/>
      <c r="J524" s="8"/>
    </row>
    <row r="525">
      <c r="D525" s="7"/>
      <c r="J525" s="8"/>
    </row>
    <row r="526">
      <c r="D526" s="7"/>
      <c r="J526" s="8"/>
    </row>
    <row r="527">
      <c r="D527" s="7"/>
      <c r="J527" s="8"/>
    </row>
    <row r="528">
      <c r="D528" s="7"/>
      <c r="J528" s="8"/>
    </row>
    <row r="529">
      <c r="D529" s="7"/>
      <c r="J529" s="8"/>
    </row>
    <row r="530">
      <c r="D530" s="7"/>
      <c r="J530" s="8"/>
    </row>
    <row r="531">
      <c r="D531" s="7"/>
      <c r="J531" s="8"/>
    </row>
    <row r="532">
      <c r="D532" s="7"/>
      <c r="J532" s="8"/>
    </row>
    <row r="533">
      <c r="D533" s="7"/>
      <c r="J533" s="8"/>
    </row>
    <row r="534">
      <c r="D534" s="7"/>
      <c r="J534" s="8"/>
    </row>
    <row r="535">
      <c r="D535" s="7"/>
      <c r="J535" s="8"/>
    </row>
    <row r="536">
      <c r="D536" s="7"/>
      <c r="J536" s="8"/>
    </row>
    <row r="537">
      <c r="D537" s="7"/>
      <c r="J537" s="8"/>
    </row>
    <row r="538">
      <c r="D538" s="7"/>
      <c r="J538" s="8"/>
    </row>
    <row r="539">
      <c r="D539" s="7"/>
      <c r="J539" s="8"/>
    </row>
    <row r="540">
      <c r="D540" s="7"/>
      <c r="J540" s="8"/>
    </row>
    <row r="541">
      <c r="D541" s="7"/>
      <c r="J541" s="8"/>
    </row>
    <row r="542">
      <c r="D542" s="7"/>
      <c r="J542" s="8"/>
    </row>
    <row r="543">
      <c r="D543" s="7"/>
      <c r="J543" s="8"/>
    </row>
    <row r="544">
      <c r="D544" s="7"/>
      <c r="J544" s="8"/>
    </row>
    <row r="545">
      <c r="D545" s="7"/>
      <c r="J545" s="8"/>
    </row>
    <row r="546">
      <c r="D546" s="7"/>
      <c r="J546" s="8"/>
    </row>
    <row r="547">
      <c r="D547" s="7"/>
      <c r="J547" s="8"/>
    </row>
    <row r="548">
      <c r="D548" s="7"/>
      <c r="J548" s="8"/>
    </row>
    <row r="549">
      <c r="D549" s="7"/>
      <c r="J549" s="8"/>
    </row>
    <row r="550">
      <c r="D550" s="7"/>
      <c r="J550" s="8"/>
    </row>
    <row r="551">
      <c r="D551" s="7"/>
      <c r="J551" s="8"/>
    </row>
    <row r="552">
      <c r="D552" s="7"/>
      <c r="J552" s="8"/>
    </row>
    <row r="553">
      <c r="D553" s="7"/>
      <c r="J553" s="8"/>
    </row>
    <row r="554">
      <c r="D554" s="7"/>
      <c r="J554" s="8"/>
    </row>
    <row r="555">
      <c r="D555" s="7"/>
      <c r="J555" s="8"/>
    </row>
    <row r="556">
      <c r="D556" s="7"/>
      <c r="J556" s="8"/>
    </row>
    <row r="557">
      <c r="D557" s="7"/>
      <c r="J557" s="8"/>
    </row>
    <row r="558">
      <c r="D558" s="7"/>
      <c r="J558" s="8"/>
    </row>
    <row r="559">
      <c r="D559" s="7"/>
      <c r="J559" s="8"/>
    </row>
    <row r="560">
      <c r="D560" s="7"/>
      <c r="J560" s="8"/>
    </row>
    <row r="561">
      <c r="D561" s="7"/>
      <c r="J561" s="8"/>
    </row>
    <row r="562">
      <c r="D562" s="7"/>
      <c r="J562" s="8"/>
    </row>
    <row r="563">
      <c r="D563" s="7"/>
      <c r="J563" s="8"/>
    </row>
    <row r="564">
      <c r="D564" s="7"/>
      <c r="J564" s="8"/>
    </row>
    <row r="565">
      <c r="D565" s="7"/>
      <c r="J565" s="8"/>
    </row>
    <row r="566">
      <c r="D566" s="7"/>
      <c r="J566" s="8"/>
    </row>
    <row r="567">
      <c r="D567" s="7"/>
      <c r="J567" s="8"/>
    </row>
    <row r="568">
      <c r="D568" s="7"/>
      <c r="J568" s="8"/>
    </row>
    <row r="569">
      <c r="D569" s="7"/>
      <c r="J569" s="8"/>
    </row>
    <row r="570">
      <c r="D570" s="7"/>
      <c r="J570" s="8"/>
    </row>
    <row r="571">
      <c r="D571" s="7"/>
      <c r="J571" s="8"/>
    </row>
    <row r="572">
      <c r="D572" s="7"/>
      <c r="J572" s="8"/>
    </row>
    <row r="573">
      <c r="D573" s="7"/>
      <c r="J573" s="8"/>
    </row>
    <row r="574">
      <c r="D574" s="7"/>
      <c r="J574" s="8"/>
    </row>
    <row r="575">
      <c r="D575" s="7"/>
      <c r="J575" s="8"/>
    </row>
    <row r="576">
      <c r="D576" s="7"/>
      <c r="J576" s="8"/>
    </row>
    <row r="577">
      <c r="D577" s="7"/>
      <c r="J577" s="8"/>
    </row>
    <row r="578">
      <c r="D578" s="7"/>
      <c r="J578" s="8"/>
    </row>
    <row r="579">
      <c r="D579" s="7"/>
      <c r="J579" s="8"/>
    </row>
    <row r="580">
      <c r="D580" s="7"/>
      <c r="J580" s="8"/>
    </row>
    <row r="581">
      <c r="D581" s="7"/>
      <c r="J581" s="8"/>
    </row>
    <row r="582">
      <c r="D582" s="7"/>
      <c r="J582" s="8"/>
    </row>
    <row r="583">
      <c r="D583" s="7"/>
      <c r="J583" s="8"/>
    </row>
    <row r="584">
      <c r="D584" s="7"/>
      <c r="J584" s="8"/>
    </row>
    <row r="585">
      <c r="D585" s="7"/>
      <c r="J585" s="8"/>
    </row>
    <row r="586">
      <c r="D586" s="7"/>
      <c r="J586" s="8"/>
    </row>
    <row r="587">
      <c r="D587" s="7"/>
      <c r="J587" s="8"/>
    </row>
    <row r="588">
      <c r="D588" s="7"/>
      <c r="J588" s="8"/>
    </row>
    <row r="589">
      <c r="D589" s="7"/>
      <c r="J589" s="8"/>
    </row>
    <row r="590">
      <c r="D590" s="7"/>
      <c r="J590" s="8"/>
    </row>
    <row r="591">
      <c r="D591" s="7"/>
      <c r="J591" s="8"/>
    </row>
    <row r="592">
      <c r="D592" s="7"/>
      <c r="J592" s="8"/>
    </row>
    <row r="593">
      <c r="D593" s="7"/>
      <c r="J593" s="8"/>
    </row>
    <row r="594">
      <c r="D594" s="7"/>
      <c r="J594" s="8"/>
    </row>
    <row r="595">
      <c r="D595" s="7"/>
      <c r="J595" s="8"/>
    </row>
    <row r="596">
      <c r="D596" s="7"/>
      <c r="J596" s="8"/>
    </row>
    <row r="597">
      <c r="D597" s="7"/>
      <c r="J597" s="8"/>
    </row>
    <row r="598">
      <c r="D598" s="7"/>
      <c r="J598" s="8"/>
    </row>
    <row r="599">
      <c r="D599" s="7"/>
      <c r="J599" s="8"/>
    </row>
    <row r="600">
      <c r="D600" s="7"/>
      <c r="J600" s="8"/>
    </row>
    <row r="601">
      <c r="D601" s="7"/>
      <c r="J601" s="8"/>
    </row>
    <row r="602">
      <c r="D602" s="7"/>
      <c r="J602" s="8"/>
    </row>
    <row r="603">
      <c r="D603" s="7"/>
      <c r="J603" s="8"/>
    </row>
    <row r="604">
      <c r="D604" s="7"/>
      <c r="J604" s="8"/>
    </row>
    <row r="605">
      <c r="D605" s="7"/>
      <c r="J605" s="8"/>
    </row>
    <row r="606">
      <c r="D606" s="7"/>
      <c r="J606" s="8"/>
    </row>
    <row r="607">
      <c r="D607" s="7"/>
      <c r="J607" s="8"/>
    </row>
    <row r="608">
      <c r="D608" s="7"/>
      <c r="J608" s="8"/>
    </row>
    <row r="609">
      <c r="D609" s="7"/>
      <c r="J609" s="8"/>
    </row>
    <row r="610">
      <c r="D610" s="7"/>
      <c r="J610" s="8"/>
    </row>
    <row r="611">
      <c r="D611" s="7"/>
      <c r="J611" s="8"/>
    </row>
    <row r="612">
      <c r="D612" s="7"/>
      <c r="J612" s="8"/>
    </row>
    <row r="613">
      <c r="D613" s="7"/>
      <c r="J613" s="8"/>
    </row>
    <row r="614">
      <c r="D614" s="7"/>
      <c r="J614" s="8"/>
    </row>
    <row r="615">
      <c r="D615" s="7"/>
      <c r="J615" s="8"/>
    </row>
    <row r="616">
      <c r="D616" s="7"/>
      <c r="J616" s="8"/>
    </row>
    <row r="617">
      <c r="D617" s="7"/>
      <c r="J617" s="8"/>
    </row>
    <row r="618">
      <c r="D618" s="7"/>
      <c r="J618" s="8"/>
    </row>
    <row r="619">
      <c r="D619" s="7"/>
      <c r="J619" s="8"/>
    </row>
    <row r="620">
      <c r="D620" s="7"/>
      <c r="J620" s="8"/>
    </row>
    <row r="621">
      <c r="D621" s="7"/>
      <c r="J621" s="8"/>
    </row>
    <row r="622">
      <c r="D622" s="7"/>
      <c r="J622" s="8"/>
    </row>
    <row r="623">
      <c r="D623" s="7"/>
      <c r="J623" s="8"/>
    </row>
    <row r="624">
      <c r="D624" s="7"/>
      <c r="J624" s="8"/>
    </row>
    <row r="625">
      <c r="D625" s="7"/>
      <c r="J625" s="8"/>
    </row>
    <row r="626">
      <c r="D626" s="7"/>
      <c r="J626" s="8"/>
    </row>
    <row r="627">
      <c r="D627" s="7"/>
      <c r="J627" s="8"/>
    </row>
    <row r="628">
      <c r="D628" s="7"/>
      <c r="J628" s="8"/>
    </row>
    <row r="629">
      <c r="D629" s="7"/>
      <c r="J629" s="8"/>
    </row>
    <row r="630">
      <c r="D630" s="7"/>
      <c r="J630" s="8"/>
    </row>
    <row r="631">
      <c r="D631" s="7"/>
      <c r="J631" s="8"/>
    </row>
    <row r="632">
      <c r="D632" s="7"/>
      <c r="J632" s="8"/>
    </row>
    <row r="633">
      <c r="D633" s="7"/>
      <c r="J633" s="8"/>
    </row>
    <row r="634">
      <c r="D634" s="7"/>
      <c r="J634" s="8"/>
    </row>
    <row r="635">
      <c r="D635" s="7"/>
      <c r="J635" s="8"/>
    </row>
    <row r="636">
      <c r="D636" s="7"/>
      <c r="J636" s="8"/>
    </row>
    <row r="637">
      <c r="D637" s="7"/>
      <c r="J637" s="8"/>
    </row>
    <row r="638">
      <c r="D638" s="7"/>
      <c r="J638" s="8"/>
    </row>
    <row r="639">
      <c r="D639" s="7"/>
      <c r="J639" s="8"/>
    </row>
    <row r="640">
      <c r="D640" s="7"/>
      <c r="J640" s="8"/>
    </row>
    <row r="641">
      <c r="D641" s="7"/>
      <c r="J641" s="8"/>
    </row>
    <row r="642">
      <c r="D642" s="7"/>
      <c r="J642" s="8"/>
    </row>
    <row r="643">
      <c r="D643" s="7"/>
      <c r="J643" s="8"/>
    </row>
    <row r="644">
      <c r="D644" s="7"/>
      <c r="J644" s="8"/>
    </row>
    <row r="645">
      <c r="D645" s="7"/>
      <c r="J645" s="8"/>
    </row>
    <row r="646">
      <c r="D646" s="7"/>
      <c r="J646" s="8"/>
    </row>
    <row r="647">
      <c r="D647" s="7"/>
      <c r="J647" s="8"/>
    </row>
    <row r="648">
      <c r="D648" s="7"/>
      <c r="J648" s="8"/>
    </row>
    <row r="649">
      <c r="D649" s="7"/>
      <c r="J649" s="8"/>
    </row>
    <row r="650">
      <c r="D650" s="7"/>
      <c r="J650" s="8"/>
    </row>
    <row r="651">
      <c r="D651" s="7"/>
      <c r="J651" s="8"/>
    </row>
    <row r="652">
      <c r="D652" s="7"/>
      <c r="J652" s="8"/>
    </row>
    <row r="653">
      <c r="D653" s="7"/>
      <c r="J653" s="8"/>
    </row>
    <row r="654">
      <c r="D654" s="7"/>
      <c r="J654" s="8"/>
    </row>
    <row r="655">
      <c r="D655" s="7"/>
      <c r="J655" s="8"/>
    </row>
    <row r="656">
      <c r="D656" s="7"/>
      <c r="J656" s="8"/>
    </row>
    <row r="657">
      <c r="D657" s="7"/>
      <c r="J657" s="8"/>
    </row>
    <row r="658">
      <c r="D658" s="7"/>
      <c r="J658" s="8"/>
    </row>
    <row r="659">
      <c r="D659" s="7"/>
      <c r="J659" s="8"/>
    </row>
    <row r="660">
      <c r="D660" s="7"/>
      <c r="J660" s="8"/>
    </row>
    <row r="661">
      <c r="D661" s="7"/>
      <c r="J661" s="8"/>
    </row>
    <row r="662">
      <c r="D662" s="7"/>
      <c r="J662" s="8"/>
    </row>
    <row r="663">
      <c r="D663" s="7"/>
      <c r="J663" s="8"/>
    </row>
    <row r="664">
      <c r="D664" s="7"/>
      <c r="J664" s="8"/>
    </row>
    <row r="665">
      <c r="D665" s="7"/>
      <c r="J665" s="8"/>
    </row>
    <row r="666">
      <c r="D666" s="7"/>
      <c r="J666" s="8"/>
    </row>
    <row r="667">
      <c r="D667" s="7"/>
      <c r="J667" s="8"/>
    </row>
    <row r="668">
      <c r="D668" s="7"/>
      <c r="J668" s="8"/>
    </row>
    <row r="669">
      <c r="D669" s="7"/>
      <c r="J669" s="8"/>
    </row>
    <row r="670">
      <c r="D670" s="7"/>
      <c r="J670" s="8"/>
    </row>
    <row r="671">
      <c r="D671" s="7"/>
      <c r="J671" s="8"/>
    </row>
    <row r="672">
      <c r="D672" s="7"/>
      <c r="J672" s="8"/>
    </row>
    <row r="673">
      <c r="D673" s="7"/>
      <c r="J673" s="8"/>
    </row>
    <row r="674">
      <c r="D674" s="7"/>
      <c r="J674" s="8"/>
    </row>
    <row r="675">
      <c r="D675" s="7"/>
      <c r="J675" s="8"/>
    </row>
    <row r="676">
      <c r="D676" s="7"/>
      <c r="J676" s="8"/>
    </row>
    <row r="677">
      <c r="D677" s="7"/>
      <c r="J677" s="8"/>
    </row>
    <row r="678">
      <c r="D678" s="7"/>
      <c r="J678" s="8"/>
    </row>
    <row r="679">
      <c r="D679" s="7"/>
      <c r="J679" s="8"/>
    </row>
    <row r="680">
      <c r="D680" s="7"/>
      <c r="J680" s="8"/>
    </row>
    <row r="681">
      <c r="D681" s="7"/>
      <c r="J681" s="8"/>
    </row>
    <row r="682">
      <c r="D682" s="7"/>
      <c r="J682" s="8"/>
    </row>
    <row r="683">
      <c r="D683" s="7"/>
      <c r="J683" s="8"/>
    </row>
    <row r="684">
      <c r="D684" s="7"/>
      <c r="J684" s="8"/>
    </row>
    <row r="685">
      <c r="D685" s="7"/>
      <c r="J685" s="8"/>
    </row>
    <row r="686">
      <c r="D686" s="7"/>
      <c r="J686" s="8"/>
    </row>
    <row r="687">
      <c r="D687" s="7"/>
      <c r="J687" s="8"/>
    </row>
    <row r="688">
      <c r="D688" s="7"/>
      <c r="J688" s="8"/>
    </row>
    <row r="689">
      <c r="D689" s="7"/>
      <c r="J689" s="8"/>
    </row>
    <row r="690">
      <c r="D690" s="7"/>
      <c r="J690" s="8"/>
    </row>
    <row r="691">
      <c r="D691" s="7"/>
      <c r="J691" s="8"/>
    </row>
    <row r="692">
      <c r="D692" s="7"/>
      <c r="J692" s="8"/>
    </row>
    <row r="693">
      <c r="D693" s="7"/>
      <c r="J693" s="8"/>
    </row>
    <row r="694">
      <c r="D694" s="7"/>
      <c r="J694" s="8"/>
    </row>
    <row r="695">
      <c r="D695" s="7"/>
      <c r="J695" s="8"/>
    </row>
    <row r="696">
      <c r="D696" s="7"/>
      <c r="J696" s="8"/>
    </row>
    <row r="697">
      <c r="D697" s="7"/>
      <c r="J697" s="8"/>
    </row>
    <row r="698">
      <c r="D698" s="7"/>
      <c r="J698" s="8"/>
    </row>
    <row r="699">
      <c r="D699" s="7"/>
      <c r="J699" s="8"/>
    </row>
    <row r="700">
      <c r="D700" s="7"/>
      <c r="J700" s="8"/>
    </row>
    <row r="701">
      <c r="D701" s="7"/>
      <c r="J701" s="8"/>
    </row>
    <row r="702">
      <c r="D702" s="7"/>
      <c r="J702" s="8"/>
    </row>
    <row r="703">
      <c r="D703" s="7"/>
      <c r="J703" s="8"/>
    </row>
    <row r="704">
      <c r="D704" s="7"/>
      <c r="J704" s="8"/>
    </row>
    <row r="705">
      <c r="D705" s="7"/>
      <c r="J705" s="8"/>
    </row>
    <row r="706">
      <c r="D706" s="7"/>
      <c r="J706" s="8"/>
    </row>
    <row r="707">
      <c r="D707" s="7"/>
      <c r="J707" s="8"/>
    </row>
    <row r="708">
      <c r="D708" s="7"/>
      <c r="J708" s="8"/>
    </row>
    <row r="709">
      <c r="D709" s="7"/>
      <c r="J709" s="8"/>
    </row>
    <row r="710">
      <c r="D710" s="7"/>
      <c r="J710" s="8"/>
    </row>
    <row r="711">
      <c r="D711" s="7"/>
      <c r="J711" s="8"/>
    </row>
    <row r="712">
      <c r="D712" s="7"/>
      <c r="J712" s="8"/>
    </row>
    <row r="713">
      <c r="D713" s="7"/>
      <c r="J713" s="8"/>
    </row>
    <row r="714">
      <c r="D714" s="7"/>
      <c r="J714" s="8"/>
    </row>
    <row r="715">
      <c r="D715" s="7"/>
      <c r="J715" s="8"/>
    </row>
    <row r="716">
      <c r="D716" s="7"/>
      <c r="J716" s="8"/>
    </row>
    <row r="717">
      <c r="D717" s="7"/>
      <c r="J717" s="8"/>
    </row>
    <row r="718">
      <c r="D718" s="7"/>
      <c r="J718" s="8"/>
    </row>
    <row r="719">
      <c r="D719" s="7"/>
      <c r="J719" s="8"/>
    </row>
    <row r="720">
      <c r="D720" s="7"/>
      <c r="J720" s="8"/>
    </row>
    <row r="721">
      <c r="D721" s="7"/>
      <c r="J721" s="8"/>
    </row>
    <row r="722">
      <c r="D722" s="7"/>
      <c r="J722" s="8"/>
    </row>
    <row r="723">
      <c r="D723" s="7"/>
      <c r="J723" s="8"/>
    </row>
    <row r="724">
      <c r="D724" s="7"/>
      <c r="J724" s="8"/>
    </row>
    <row r="725">
      <c r="D725" s="7"/>
      <c r="J725" s="8"/>
    </row>
    <row r="726">
      <c r="D726" s="7"/>
      <c r="J726" s="8"/>
    </row>
    <row r="727">
      <c r="D727" s="7"/>
      <c r="J727" s="8"/>
    </row>
    <row r="728">
      <c r="D728" s="7"/>
      <c r="J728" s="8"/>
    </row>
    <row r="729">
      <c r="D729" s="7"/>
      <c r="J729" s="8"/>
    </row>
    <row r="730">
      <c r="D730" s="7"/>
      <c r="J730" s="8"/>
    </row>
    <row r="731">
      <c r="D731" s="7"/>
      <c r="J731" s="8"/>
    </row>
    <row r="732">
      <c r="D732" s="7"/>
      <c r="J732" s="8"/>
    </row>
    <row r="733">
      <c r="D733" s="7"/>
      <c r="J733" s="8"/>
    </row>
    <row r="734">
      <c r="D734" s="7"/>
      <c r="J734" s="8"/>
    </row>
    <row r="735">
      <c r="D735" s="7"/>
      <c r="J735" s="8"/>
    </row>
    <row r="736">
      <c r="D736" s="7"/>
      <c r="J736" s="8"/>
    </row>
    <row r="737">
      <c r="D737" s="7"/>
      <c r="J737" s="8"/>
    </row>
    <row r="738">
      <c r="D738" s="7"/>
      <c r="J738" s="8"/>
    </row>
    <row r="739">
      <c r="D739" s="7"/>
      <c r="J739" s="8"/>
    </row>
    <row r="740">
      <c r="D740" s="7"/>
      <c r="J740" s="8"/>
    </row>
    <row r="741">
      <c r="D741" s="7"/>
      <c r="J741" s="8"/>
    </row>
    <row r="742">
      <c r="D742" s="7"/>
      <c r="J742" s="8"/>
    </row>
    <row r="743">
      <c r="D743" s="7"/>
      <c r="J743" s="8"/>
    </row>
    <row r="744">
      <c r="D744" s="7"/>
      <c r="J744" s="8"/>
    </row>
    <row r="745">
      <c r="D745" s="7"/>
      <c r="J745" s="8"/>
    </row>
    <row r="746">
      <c r="D746" s="7"/>
      <c r="J746" s="8"/>
    </row>
    <row r="747">
      <c r="D747" s="7"/>
      <c r="J747" s="8"/>
    </row>
    <row r="748">
      <c r="D748" s="7"/>
      <c r="J748" s="8"/>
    </row>
    <row r="749">
      <c r="D749" s="7"/>
      <c r="J749" s="8"/>
    </row>
    <row r="750">
      <c r="D750" s="7"/>
      <c r="J750" s="8"/>
    </row>
    <row r="751">
      <c r="D751" s="7"/>
      <c r="J751" s="8"/>
    </row>
    <row r="752">
      <c r="D752" s="7"/>
      <c r="J752" s="8"/>
    </row>
    <row r="753">
      <c r="D753" s="7"/>
      <c r="J753" s="8"/>
    </row>
    <row r="754">
      <c r="D754" s="7"/>
      <c r="J754" s="8"/>
    </row>
    <row r="755">
      <c r="D755" s="7"/>
      <c r="J755" s="8"/>
    </row>
    <row r="756">
      <c r="D756" s="7"/>
      <c r="J756" s="8"/>
    </row>
    <row r="757">
      <c r="D757" s="7"/>
      <c r="J757" s="8"/>
    </row>
    <row r="758">
      <c r="D758" s="7"/>
      <c r="J758" s="8"/>
    </row>
    <row r="759">
      <c r="D759" s="7"/>
      <c r="J759" s="8"/>
    </row>
    <row r="760">
      <c r="D760" s="7"/>
      <c r="J760" s="8"/>
    </row>
    <row r="761">
      <c r="D761" s="7"/>
      <c r="J761" s="8"/>
    </row>
    <row r="762">
      <c r="D762" s="7"/>
      <c r="J762" s="8"/>
    </row>
    <row r="763">
      <c r="D763" s="7"/>
      <c r="J763" s="8"/>
    </row>
    <row r="764">
      <c r="D764" s="7"/>
      <c r="J764" s="8"/>
    </row>
    <row r="765">
      <c r="D765" s="7"/>
      <c r="J765" s="8"/>
    </row>
    <row r="766">
      <c r="D766" s="7"/>
      <c r="J766" s="8"/>
    </row>
    <row r="767">
      <c r="D767" s="7"/>
      <c r="J767" s="8"/>
    </row>
    <row r="768">
      <c r="D768" s="7"/>
      <c r="J768" s="8"/>
    </row>
    <row r="769">
      <c r="D769" s="7"/>
      <c r="J769" s="8"/>
    </row>
    <row r="770">
      <c r="D770" s="7"/>
      <c r="J770" s="8"/>
    </row>
    <row r="771">
      <c r="D771" s="7"/>
      <c r="J771" s="8"/>
    </row>
    <row r="772">
      <c r="D772" s="7"/>
      <c r="J772" s="8"/>
    </row>
    <row r="773">
      <c r="D773" s="7"/>
      <c r="J773" s="8"/>
    </row>
    <row r="774">
      <c r="D774" s="7"/>
      <c r="J774" s="8"/>
    </row>
    <row r="775">
      <c r="D775" s="7"/>
      <c r="J775" s="8"/>
    </row>
    <row r="776">
      <c r="D776" s="7"/>
      <c r="J776" s="8"/>
    </row>
    <row r="777">
      <c r="D777" s="7"/>
      <c r="J777" s="8"/>
    </row>
    <row r="778">
      <c r="D778" s="7"/>
      <c r="J778" s="8"/>
    </row>
    <row r="779">
      <c r="D779" s="7"/>
      <c r="J779" s="8"/>
    </row>
    <row r="780">
      <c r="D780" s="7"/>
      <c r="J780" s="8"/>
    </row>
    <row r="781">
      <c r="D781" s="7"/>
      <c r="J781" s="8"/>
    </row>
    <row r="782">
      <c r="D782" s="7"/>
      <c r="J782" s="8"/>
    </row>
    <row r="783">
      <c r="D783" s="7"/>
      <c r="J783" s="8"/>
    </row>
    <row r="784">
      <c r="D784" s="7"/>
      <c r="J784" s="8"/>
    </row>
    <row r="785">
      <c r="D785" s="7"/>
      <c r="J785" s="8"/>
    </row>
    <row r="786">
      <c r="D786" s="7"/>
      <c r="J786" s="8"/>
    </row>
    <row r="787">
      <c r="D787" s="7"/>
      <c r="J787" s="8"/>
    </row>
    <row r="788">
      <c r="D788" s="7"/>
      <c r="J788" s="8"/>
    </row>
    <row r="789">
      <c r="D789" s="7"/>
      <c r="J789" s="8"/>
    </row>
    <row r="790">
      <c r="D790" s="7"/>
      <c r="J790" s="8"/>
    </row>
    <row r="791">
      <c r="D791" s="7"/>
      <c r="J791" s="8"/>
    </row>
    <row r="792">
      <c r="D792" s="7"/>
      <c r="J792" s="8"/>
    </row>
    <row r="793">
      <c r="D793" s="7"/>
      <c r="J793" s="8"/>
    </row>
    <row r="794">
      <c r="D794" s="7"/>
      <c r="J794" s="8"/>
    </row>
    <row r="795">
      <c r="D795" s="7"/>
      <c r="J795" s="8"/>
    </row>
    <row r="796">
      <c r="D796" s="7"/>
      <c r="J796" s="8"/>
    </row>
    <row r="797">
      <c r="D797" s="7"/>
      <c r="J797" s="8"/>
    </row>
    <row r="798">
      <c r="D798" s="7"/>
      <c r="J798" s="8"/>
    </row>
    <row r="799">
      <c r="D799" s="7"/>
      <c r="J799" s="8"/>
    </row>
    <row r="800">
      <c r="D800" s="7"/>
      <c r="J800" s="8"/>
    </row>
    <row r="801">
      <c r="D801" s="7"/>
      <c r="J801" s="8"/>
    </row>
    <row r="802">
      <c r="D802" s="7"/>
      <c r="J802" s="8"/>
    </row>
    <row r="803">
      <c r="D803" s="7"/>
      <c r="J803" s="8"/>
    </row>
    <row r="804">
      <c r="D804" s="7"/>
      <c r="J804" s="8"/>
    </row>
    <row r="805">
      <c r="D805" s="7"/>
      <c r="J805" s="8"/>
    </row>
    <row r="806">
      <c r="D806" s="7"/>
      <c r="J806" s="8"/>
    </row>
    <row r="807">
      <c r="D807" s="7"/>
      <c r="J807" s="8"/>
    </row>
    <row r="808">
      <c r="D808" s="7"/>
      <c r="J808" s="8"/>
    </row>
    <row r="809">
      <c r="D809" s="7"/>
      <c r="J809" s="8"/>
    </row>
    <row r="810">
      <c r="D810" s="7"/>
      <c r="J810" s="8"/>
    </row>
    <row r="811">
      <c r="D811" s="7"/>
      <c r="J811" s="8"/>
    </row>
    <row r="812">
      <c r="D812" s="7"/>
      <c r="J812" s="8"/>
    </row>
    <row r="813">
      <c r="D813" s="7"/>
      <c r="J813" s="8"/>
    </row>
    <row r="814">
      <c r="D814" s="7"/>
      <c r="J814" s="8"/>
    </row>
    <row r="815">
      <c r="D815" s="7"/>
      <c r="J815" s="8"/>
    </row>
    <row r="816">
      <c r="D816" s="7"/>
      <c r="J816" s="8"/>
    </row>
    <row r="817">
      <c r="D817" s="7"/>
      <c r="J817" s="8"/>
    </row>
    <row r="818">
      <c r="D818" s="7"/>
      <c r="J818" s="8"/>
    </row>
    <row r="819">
      <c r="D819" s="7"/>
      <c r="J819" s="8"/>
    </row>
    <row r="820">
      <c r="D820" s="7"/>
      <c r="J820" s="8"/>
    </row>
    <row r="821">
      <c r="D821" s="7"/>
      <c r="J821" s="8"/>
    </row>
    <row r="822">
      <c r="D822" s="7"/>
      <c r="J822" s="8"/>
    </row>
    <row r="823">
      <c r="D823" s="7"/>
      <c r="J823" s="8"/>
    </row>
    <row r="824">
      <c r="D824" s="7"/>
      <c r="J824" s="8"/>
    </row>
    <row r="825">
      <c r="D825" s="7"/>
      <c r="J825" s="8"/>
    </row>
    <row r="826">
      <c r="D826" s="7"/>
      <c r="J826" s="8"/>
    </row>
    <row r="827">
      <c r="D827" s="7"/>
      <c r="J827" s="8"/>
    </row>
    <row r="828">
      <c r="D828" s="7"/>
      <c r="J828" s="8"/>
    </row>
    <row r="829">
      <c r="D829" s="7"/>
      <c r="J829" s="8"/>
    </row>
    <row r="830">
      <c r="D830" s="7"/>
      <c r="J830" s="8"/>
    </row>
    <row r="831">
      <c r="D831" s="7"/>
      <c r="J831" s="8"/>
    </row>
    <row r="832">
      <c r="D832" s="7"/>
      <c r="J832" s="8"/>
    </row>
    <row r="833">
      <c r="D833" s="7"/>
      <c r="J833" s="8"/>
    </row>
    <row r="834">
      <c r="D834" s="7"/>
      <c r="J834" s="8"/>
    </row>
    <row r="835">
      <c r="D835" s="7"/>
      <c r="J835" s="8"/>
    </row>
    <row r="836">
      <c r="D836" s="7"/>
      <c r="J836" s="8"/>
    </row>
    <row r="837">
      <c r="D837" s="7"/>
      <c r="J837" s="8"/>
    </row>
    <row r="838">
      <c r="D838" s="7"/>
      <c r="J838" s="8"/>
    </row>
    <row r="839">
      <c r="D839" s="7"/>
      <c r="J839" s="8"/>
    </row>
    <row r="840">
      <c r="D840" s="7"/>
      <c r="J840" s="8"/>
    </row>
    <row r="841">
      <c r="D841" s="7"/>
      <c r="J841" s="8"/>
    </row>
    <row r="842">
      <c r="D842" s="7"/>
      <c r="J842" s="8"/>
    </row>
    <row r="843">
      <c r="D843" s="7"/>
      <c r="J843" s="8"/>
    </row>
    <row r="844">
      <c r="D844" s="7"/>
      <c r="J844" s="8"/>
    </row>
    <row r="845">
      <c r="D845" s="7"/>
      <c r="J845" s="8"/>
    </row>
    <row r="846">
      <c r="D846" s="7"/>
      <c r="J846" s="8"/>
    </row>
    <row r="847">
      <c r="D847" s="7"/>
      <c r="J847" s="8"/>
    </row>
    <row r="848">
      <c r="D848" s="7"/>
      <c r="J848" s="8"/>
    </row>
    <row r="849">
      <c r="D849" s="7"/>
      <c r="J849" s="8"/>
    </row>
    <row r="850">
      <c r="D850" s="7"/>
      <c r="J850" s="8"/>
    </row>
    <row r="851">
      <c r="D851" s="7"/>
      <c r="J851" s="8"/>
    </row>
    <row r="852">
      <c r="D852" s="7"/>
      <c r="J852" s="8"/>
    </row>
    <row r="853">
      <c r="D853" s="7"/>
      <c r="J853" s="8"/>
    </row>
    <row r="854">
      <c r="D854" s="7"/>
      <c r="J854" s="8"/>
    </row>
    <row r="855">
      <c r="D855" s="7"/>
      <c r="J855" s="8"/>
    </row>
    <row r="856">
      <c r="D856" s="7"/>
      <c r="J856" s="8"/>
    </row>
    <row r="857">
      <c r="D857" s="7"/>
      <c r="J857" s="8"/>
    </row>
    <row r="858">
      <c r="D858" s="7"/>
      <c r="J858" s="8"/>
    </row>
    <row r="859">
      <c r="D859" s="7"/>
      <c r="J859" s="8"/>
    </row>
    <row r="860">
      <c r="D860" s="7"/>
      <c r="J860" s="8"/>
    </row>
    <row r="861">
      <c r="D861" s="7"/>
      <c r="J861" s="8"/>
    </row>
    <row r="862">
      <c r="D862" s="7"/>
      <c r="J862" s="8"/>
    </row>
    <row r="863">
      <c r="D863" s="7"/>
      <c r="J863" s="8"/>
    </row>
    <row r="864">
      <c r="D864" s="7"/>
      <c r="J864" s="8"/>
    </row>
    <row r="865">
      <c r="D865" s="7"/>
      <c r="J865" s="8"/>
    </row>
    <row r="866">
      <c r="D866" s="7"/>
      <c r="J866" s="8"/>
    </row>
    <row r="867">
      <c r="D867" s="7"/>
      <c r="J867" s="8"/>
    </row>
    <row r="868">
      <c r="D868" s="7"/>
      <c r="J868" s="8"/>
    </row>
    <row r="869">
      <c r="D869" s="7"/>
      <c r="J869" s="8"/>
    </row>
    <row r="870">
      <c r="D870" s="7"/>
      <c r="J870" s="8"/>
    </row>
    <row r="871">
      <c r="D871" s="7"/>
      <c r="J871" s="8"/>
    </row>
    <row r="872">
      <c r="D872" s="7"/>
      <c r="J872" s="8"/>
    </row>
    <row r="873">
      <c r="D873" s="7"/>
      <c r="J873" s="8"/>
    </row>
    <row r="874">
      <c r="D874" s="7"/>
      <c r="J874" s="8"/>
    </row>
    <row r="875">
      <c r="D875" s="7"/>
      <c r="J875" s="8"/>
    </row>
    <row r="876">
      <c r="D876" s="7"/>
      <c r="J876" s="8"/>
    </row>
    <row r="877">
      <c r="D877" s="7"/>
      <c r="J877" s="8"/>
    </row>
    <row r="878">
      <c r="D878" s="7"/>
      <c r="J878" s="8"/>
    </row>
    <row r="879">
      <c r="D879" s="7"/>
      <c r="J879" s="8"/>
    </row>
    <row r="880">
      <c r="D880" s="7"/>
      <c r="J880" s="8"/>
    </row>
    <row r="881">
      <c r="D881" s="7"/>
      <c r="J881" s="8"/>
    </row>
    <row r="882">
      <c r="D882" s="7"/>
      <c r="J882" s="8"/>
    </row>
    <row r="883">
      <c r="D883" s="7"/>
      <c r="J883" s="8"/>
    </row>
    <row r="884">
      <c r="D884" s="7"/>
      <c r="J884" s="8"/>
    </row>
    <row r="885">
      <c r="D885" s="7"/>
      <c r="J885" s="8"/>
    </row>
    <row r="886">
      <c r="D886" s="7"/>
      <c r="J886" s="8"/>
    </row>
    <row r="887">
      <c r="D887" s="7"/>
      <c r="J887" s="8"/>
    </row>
    <row r="888">
      <c r="D888" s="7"/>
      <c r="J888" s="8"/>
    </row>
    <row r="889">
      <c r="D889" s="7"/>
      <c r="J889" s="8"/>
    </row>
    <row r="890">
      <c r="D890" s="7"/>
      <c r="J890" s="8"/>
    </row>
    <row r="891">
      <c r="D891" s="7"/>
      <c r="J891" s="8"/>
    </row>
    <row r="892">
      <c r="D892" s="7"/>
      <c r="J892" s="8"/>
    </row>
    <row r="893">
      <c r="D893" s="7"/>
      <c r="J893" s="8"/>
    </row>
    <row r="894">
      <c r="D894" s="7"/>
      <c r="J894" s="8"/>
    </row>
    <row r="895">
      <c r="D895" s="7"/>
      <c r="J895" s="8"/>
    </row>
    <row r="896">
      <c r="D896" s="7"/>
      <c r="J896" s="8"/>
    </row>
    <row r="897">
      <c r="D897" s="7"/>
      <c r="J897" s="8"/>
    </row>
    <row r="898">
      <c r="D898" s="7"/>
      <c r="J898" s="8"/>
    </row>
    <row r="899">
      <c r="D899" s="7"/>
      <c r="J899" s="8"/>
    </row>
    <row r="900">
      <c r="D900" s="7"/>
      <c r="J900" s="8"/>
    </row>
    <row r="901">
      <c r="D901" s="7"/>
      <c r="J901" s="8"/>
    </row>
    <row r="902">
      <c r="D902" s="7"/>
      <c r="J902" s="8"/>
    </row>
    <row r="903">
      <c r="D903" s="7"/>
      <c r="J903" s="8"/>
    </row>
    <row r="904">
      <c r="D904" s="7"/>
      <c r="J904" s="8"/>
    </row>
    <row r="905">
      <c r="D905" s="7"/>
      <c r="J905" s="8"/>
    </row>
    <row r="906">
      <c r="D906" s="7"/>
      <c r="J906" s="8"/>
    </row>
    <row r="907">
      <c r="D907" s="7"/>
      <c r="J907" s="8"/>
    </row>
    <row r="908">
      <c r="D908" s="7"/>
      <c r="J908" s="8"/>
    </row>
    <row r="909">
      <c r="D909" s="7"/>
      <c r="J909" s="8"/>
    </row>
    <row r="910">
      <c r="D910" s="7"/>
      <c r="J910" s="8"/>
    </row>
    <row r="911">
      <c r="D911" s="7"/>
      <c r="J911" s="8"/>
    </row>
    <row r="912">
      <c r="D912" s="7"/>
      <c r="J912" s="8"/>
    </row>
    <row r="913">
      <c r="D913" s="7"/>
      <c r="J913" s="8"/>
    </row>
    <row r="914">
      <c r="D914" s="7"/>
      <c r="J914" s="8"/>
    </row>
    <row r="915">
      <c r="D915" s="7"/>
      <c r="J915" s="8"/>
    </row>
    <row r="916">
      <c r="D916" s="7"/>
      <c r="J916" s="8"/>
    </row>
    <row r="917">
      <c r="D917" s="7"/>
      <c r="J917" s="8"/>
    </row>
    <row r="918">
      <c r="D918" s="7"/>
      <c r="J918" s="8"/>
    </row>
    <row r="919">
      <c r="D919" s="7"/>
      <c r="J919" s="8"/>
    </row>
    <row r="920">
      <c r="D920" s="7"/>
      <c r="J920" s="8"/>
    </row>
    <row r="921">
      <c r="D921" s="7"/>
      <c r="J921" s="8"/>
    </row>
    <row r="922">
      <c r="D922" s="7"/>
      <c r="J922" s="8"/>
    </row>
    <row r="923">
      <c r="D923" s="7"/>
      <c r="J923" s="8"/>
    </row>
    <row r="924">
      <c r="D924" s="7"/>
      <c r="J924" s="8"/>
    </row>
    <row r="925">
      <c r="D925" s="7"/>
      <c r="J925" s="8"/>
    </row>
    <row r="926">
      <c r="D926" s="7"/>
      <c r="J926" s="8"/>
    </row>
    <row r="927">
      <c r="D927" s="7"/>
      <c r="J927" s="8"/>
    </row>
    <row r="928">
      <c r="D928" s="7"/>
      <c r="J928" s="8"/>
    </row>
    <row r="929">
      <c r="D929" s="7"/>
      <c r="J929" s="8"/>
    </row>
    <row r="930">
      <c r="D930" s="7"/>
      <c r="J930" s="8"/>
    </row>
    <row r="931">
      <c r="D931" s="7"/>
      <c r="J931" s="8"/>
    </row>
    <row r="932">
      <c r="D932" s="7"/>
      <c r="J932" s="8"/>
    </row>
    <row r="933">
      <c r="D933" s="7"/>
      <c r="J933" s="8"/>
    </row>
    <row r="934">
      <c r="D934" s="7"/>
      <c r="J934" s="8"/>
    </row>
    <row r="935">
      <c r="D935" s="7"/>
      <c r="J935" s="8"/>
    </row>
    <row r="936">
      <c r="D936" s="7"/>
      <c r="J936" s="8"/>
    </row>
    <row r="937">
      <c r="D937" s="7"/>
      <c r="J937" s="8"/>
    </row>
    <row r="938">
      <c r="D938" s="7"/>
      <c r="J938" s="8"/>
    </row>
    <row r="939">
      <c r="D939" s="7"/>
      <c r="J939" s="8"/>
    </row>
    <row r="940">
      <c r="D940" s="7"/>
      <c r="J940" s="8"/>
    </row>
    <row r="941">
      <c r="D941" s="7"/>
      <c r="J941" s="8"/>
    </row>
    <row r="942">
      <c r="D942" s="7"/>
      <c r="J942" s="8"/>
    </row>
    <row r="943">
      <c r="D943" s="7"/>
      <c r="J943" s="8"/>
    </row>
    <row r="944">
      <c r="D944" s="7"/>
      <c r="J944" s="8"/>
    </row>
    <row r="945">
      <c r="D945" s="7"/>
      <c r="J945" s="8"/>
    </row>
    <row r="946">
      <c r="D946" s="7"/>
      <c r="J946" s="8"/>
    </row>
    <row r="947">
      <c r="D947" s="7"/>
      <c r="J947" s="8"/>
    </row>
    <row r="948">
      <c r="D948" s="7"/>
      <c r="J948" s="8"/>
    </row>
    <row r="949">
      <c r="D949" s="7"/>
      <c r="J949" s="8"/>
    </row>
    <row r="950">
      <c r="D950" s="7"/>
      <c r="J950" s="8"/>
    </row>
    <row r="951">
      <c r="D951" s="7"/>
      <c r="J951" s="8"/>
    </row>
    <row r="952">
      <c r="D952" s="7"/>
      <c r="J952" s="8"/>
    </row>
    <row r="953">
      <c r="D953" s="7"/>
      <c r="J953" s="8"/>
    </row>
    <row r="954">
      <c r="D954" s="7"/>
      <c r="J954" s="8"/>
    </row>
    <row r="955">
      <c r="D955" s="7"/>
      <c r="J955" s="8"/>
    </row>
    <row r="956">
      <c r="D956" s="7"/>
      <c r="J956" s="8"/>
    </row>
    <row r="957">
      <c r="D957" s="7"/>
      <c r="J957" s="8"/>
    </row>
    <row r="958">
      <c r="D958" s="7"/>
      <c r="J958" s="8"/>
    </row>
    <row r="959">
      <c r="D959" s="7"/>
      <c r="J959" s="8"/>
    </row>
    <row r="960">
      <c r="D960" s="7"/>
      <c r="J960" s="8"/>
    </row>
    <row r="961">
      <c r="D961" s="7"/>
      <c r="J961" s="8"/>
    </row>
    <row r="962">
      <c r="D962" s="7"/>
      <c r="J962" s="8"/>
    </row>
    <row r="963">
      <c r="D963" s="7"/>
      <c r="J963" s="8"/>
    </row>
    <row r="964">
      <c r="D964" s="7"/>
      <c r="J964" s="8"/>
    </row>
    <row r="965">
      <c r="D965" s="7"/>
      <c r="J965" s="8"/>
    </row>
    <row r="966">
      <c r="D966" s="7"/>
      <c r="J966" s="8"/>
    </row>
    <row r="967">
      <c r="D967" s="7"/>
      <c r="J967" s="8"/>
    </row>
    <row r="968">
      <c r="D968" s="7"/>
      <c r="J968" s="8"/>
    </row>
    <row r="969">
      <c r="D969" s="7"/>
      <c r="J969" s="8"/>
    </row>
    <row r="970">
      <c r="D970" s="7"/>
      <c r="J970" s="8"/>
    </row>
    <row r="971">
      <c r="D971" s="7"/>
      <c r="J971" s="8"/>
    </row>
    <row r="972">
      <c r="D972" s="7"/>
      <c r="J972" s="8"/>
    </row>
    <row r="973">
      <c r="D973" s="7"/>
      <c r="J973" s="8"/>
    </row>
    <row r="974">
      <c r="D974" s="7"/>
      <c r="J974" s="8"/>
    </row>
    <row r="975">
      <c r="D975" s="7"/>
      <c r="J975" s="8"/>
    </row>
    <row r="976">
      <c r="D976" s="7"/>
      <c r="J976" s="8"/>
    </row>
    <row r="977">
      <c r="D977" s="7"/>
      <c r="J977" s="8"/>
    </row>
    <row r="978">
      <c r="D978" s="7"/>
      <c r="J978" s="8"/>
    </row>
    <row r="979">
      <c r="D979" s="7"/>
      <c r="J979" s="8"/>
    </row>
    <row r="980">
      <c r="D980" s="7"/>
      <c r="J980" s="8"/>
    </row>
    <row r="981">
      <c r="D981" s="7"/>
      <c r="J981" s="8"/>
    </row>
    <row r="982">
      <c r="D982" s="7"/>
      <c r="J982" s="8"/>
    </row>
    <row r="983">
      <c r="D983" s="7"/>
      <c r="J983" s="8"/>
    </row>
    <row r="984">
      <c r="D984" s="7"/>
      <c r="J984" s="8"/>
    </row>
    <row r="985">
      <c r="D985" s="7"/>
      <c r="J985" s="8"/>
    </row>
    <row r="986">
      <c r="D986" s="7"/>
      <c r="J986" s="8"/>
    </row>
    <row r="987">
      <c r="D987" s="7"/>
      <c r="J987" s="8"/>
    </row>
    <row r="988">
      <c r="D988" s="7"/>
      <c r="J988" s="8"/>
    </row>
    <row r="989">
      <c r="D989" s="7"/>
      <c r="J989" s="8"/>
    </row>
    <row r="990">
      <c r="D990" s="7"/>
      <c r="J990" s="8"/>
    </row>
    <row r="991">
      <c r="D991" s="7"/>
      <c r="J991" s="8"/>
    </row>
    <row r="992">
      <c r="D992" s="7"/>
      <c r="J992" s="8"/>
    </row>
    <row r="993">
      <c r="D993" s="7"/>
      <c r="J993" s="8"/>
    </row>
    <row r="994">
      <c r="D994" s="7"/>
      <c r="J994" s="8"/>
    </row>
    <row r="995">
      <c r="D995" s="7"/>
      <c r="J995" s="8"/>
    </row>
    <row r="996">
      <c r="D996" s="7"/>
      <c r="J996" s="8"/>
    </row>
    <row r="997">
      <c r="D997" s="7"/>
      <c r="J997" s="8"/>
    </row>
    <row r="998">
      <c r="D998" s="7"/>
      <c r="J998" s="8"/>
    </row>
    <row r="999">
      <c r="D999" s="7"/>
      <c r="J999" s="8"/>
    </row>
    <row r="1000">
      <c r="D1000" s="7"/>
      <c r="J1000" s="8"/>
    </row>
  </sheetData>
  <hyperlinks>
    <hyperlink r:id="rId1" ref="A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 t="s">
        <v>1</v>
      </c>
      <c r="B1" s="10" t="s">
        <v>3</v>
      </c>
      <c r="C1" s="9" t="s">
        <v>4</v>
      </c>
    </row>
    <row r="2">
      <c r="A2" s="6" t="s">
        <v>5</v>
      </c>
      <c r="B2" s="8">
        <v>1.2466316E7</v>
      </c>
      <c r="C2" s="8">
        <f t="shared" ref="C2:C11" si="1">B2/1000</f>
        <v>12466.316</v>
      </c>
    </row>
    <row r="3">
      <c r="A3" s="6" t="s">
        <v>6</v>
      </c>
      <c r="B3" s="8">
        <v>4752079.0</v>
      </c>
      <c r="C3" s="8">
        <f t="shared" si="1"/>
        <v>4752.079</v>
      </c>
    </row>
    <row r="4">
      <c r="A4" s="6" t="s">
        <v>7</v>
      </c>
      <c r="B4" s="8">
        <v>1084691.0</v>
      </c>
      <c r="C4" s="8">
        <f t="shared" si="1"/>
        <v>1084.691</v>
      </c>
    </row>
    <row r="5">
      <c r="A5" s="6" t="s">
        <v>8</v>
      </c>
      <c r="B5" s="8">
        <v>665884.0</v>
      </c>
      <c r="C5" s="8">
        <f t="shared" si="1"/>
        <v>665.884</v>
      </c>
    </row>
    <row r="6">
      <c r="A6" s="6" t="s">
        <v>9</v>
      </c>
      <c r="B6" s="8">
        <v>335363.0</v>
      </c>
      <c r="C6" s="8">
        <f t="shared" si="1"/>
        <v>335.363</v>
      </c>
    </row>
    <row r="7">
      <c r="A7" s="6" t="s">
        <v>10</v>
      </c>
      <c r="B7" s="8">
        <v>319669.0</v>
      </c>
      <c r="C7" s="8">
        <f t="shared" si="1"/>
        <v>319.669</v>
      </c>
    </row>
    <row r="8">
      <c r="A8" s="6" t="s">
        <v>11</v>
      </c>
      <c r="B8" s="8">
        <v>302327.0</v>
      </c>
      <c r="C8" s="8">
        <f t="shared" si="1"/>
        <v>302.327</v>
      </c>
    </row>
    <row r="9">
      <c r="A9" s="6" t="s">
        <v>12</v>
      </c>
      <c r="B9" s="8">
        <v>231914.0</v>
      </c>
      <c r="C9" s="8">
        <f t="shared" si="1"/>
        <v>231.914</v>
      </c>
    </row>
    <row r="10">
      <c r="A10" s="6" t="s">
        <v>13</v>
      </c>
      <c r="B10" s="8">
        <v>193507.0</v>
      </c>
      <c r="C10" s="8">
        <f t="shared" si="1"/>
        <v>193.507</v>
      </c>
    </row>
    <row r="11">
      <c r="A11" s="6" t="s">
        <v>14</v>
      </c>
      <c r="B11" s="8">
        <v>38677.0</v>
      </c>
      <c r="C11" s="8">
        <f t="shared" si="1"/>
        <v>38.677</v>
      </c>
    </row>
    <row r="12">
      <c r="B12" s="8"/>
    </row>
    <row r="13">
      <c r="B13" s="8"/>
    </row>
    <row r="14">
      <c r="B14" s="8"/>
    </row>
    <row r="15">
      <c r="B15" s="8"/>
    </row>
    <row r="16">
      <c r="B16" s="8"/>
    </row>
    <row r="17">
      <c r="B17" s="8"/>
    </row>
    <row r="18">
      <c r="B18" s="8"/>
    </row>
    <row r="19">
      <c r="B19" s="8"/>
    </row>
    <row r="20">
      <c r="B20" s="8"/>
    </row>
    <row r="21">
      <c r="B21" s="8"/>
    </row>
    <row r="22">
      <c r="B22" s="8"/>
    </row>
    <row r="23">
      <c r="B23" s="8"/>
    </row>
    <row r="24">
      <c r="B24" s="8"/>
    </row>
    <row r="25">
      <c r="B25" s="8"/>
    </row>
    <row r="26">
      <c r="B26" s="8"/>
    </row>
    <row r="27">
      <c r="B27" s="8"/>
    </row>
    <row r="28">
      <c r="B28" s="8"/>
    </row>
    <row r="29">
      <c r="B29" s="8"/>
    </row>
    <row r="30">
      <c r="B30" s="8"/>
    </row>
    <row r="31">
      <c r="B31" s="8"/>
    </row>
    <row r="32">
      <c r="B32" s="8"/>
    </row>
    <row r="33">
      <c r="B33" s="8"/>
    </row>
    <row r="34">
      <c r="B34" s="8"/>
    </row>
    <row r="35">
      <c r="B35" s="8"/>
    </row>
    <row r="36">
      <c r="B36" s="8"/>
    </row>
    <row r="37">
      <c r="B37" s="8"/>
    </row>
    <row r="38">
      <c r="B38" s="8"/>
    </row>
    <row r="39">
      <c r="B39" s="8"/>
    </row>
    <row r="40">
      <c r="B40" s="8"/>
    </row>
    <row r="41">
      <c r="B41" s="8"/>
    </row>
    <row r="42">
      <c r="B42" s="8"/>
    </row>
    <row r="43">
      <c r="B43" s="8"/>
    </row>
    <row r="44">
      <c r="B44" s="8"/>
    </row>
    <row r="45">
      <c r="B45" s="8"/>
    </row>
    <row r="46">
      <c r="B46" s="8"/>
    </row>
    <row r="47">
      <c r="B47" s="8"/>
    </row>
    <row r="48">
      <c r="B48" s="8"/>
    </row>
    <row r="49">
      <c r="B49" s="8"/>
    </row>
    <row r="50">
      <c r="B50" s="8"/>
    </row>
    <row r="51">
      <c r="B51" s="8"/>
    </row>
    <row r="52">
      <c r="B52" s="8"/>
    </row>
    <row r="53">
      <c r="B53" s="8"/>
    </row>
    <row r="54">
      <c r="B54" s="8"/>
    </row>
    <row r="55">
      <c r="B55" s="8"/>
    </row>
    <row r="56">
      <c r="B56" s="8"/>
    </row>
    <row r="57">
      <c r="B57" s="8"/>
    </row>
    <row r="58">
      <c r="B58" s="8"/>
    </row>
    <row r="59">
      <c r="B59" s="8"/>
    </row>
    <row r="60">
      <c r="B60" s="8"/>
    </row>
    <row r="61">
      <c r="B61" s="8"/>
    </row>
    <row r="62">
      <c r="B62" s="8"/>
    </row>
    <row r="63">
      <c r="B63" s="8"/>
    </row>
    <row r="64">
      <c r="B64" s="8"/>
    </row>
    <row r="65">
      <c r="B65" s="8"/>
    </row>
    <row r="66">
      <c r="B66" s="8"/>
    </row>
    <row r="67">
      <c r="B67" s="8"/>
    </row>
    <row r="68">
      <c r="B68" s="8"/>
    </row>
    <row r="69">
      <c r="B69" s="8"/>
    </row>
    <row r="70">
      <c r="B70" s="8"/>
    </row>
    <row r="71">
      <c r="B71" s="8"/>
    </row>
    <row r="72">
      <c r="B72" s="8"/>
    </row>
    <row r="73">
      <c r="B73" s="8"/>
    </row>
    <row r="74">
      <c r="B74" s="8"/>
    </row>
    <row r="75">
      <c r="B75" s="8"/>
    </row>
    <row r="76">
      <c r="B76" s="8"/>
    </row>
    <row r="77">
      <c r="B77" s="8"/>
    </row>
    <row r="78">
      <c r="B78" s="8"/>
    </row>
    <row r="79">
      <c r="B79" s="8"/>
    </row>
    <row r="80">
      <c r="B80" s="8"/>
    </row>
    <row r="81">
      <c r="B81" s="8"/>
    </row>
    <row r="82">
      <c r="B82" s="8"/>
    </row>
    <row r="83">
      <c r="B83" s="8"/>
    </row>
    <row r="84">
      <c r="B84" s="8"/>
    </row>
    <row r="85">
      <c r="B85" s="8"/>
    </row>
    <row r="86">
      <c r="B86" s="8"/>
    </row>
    <row r="87">
      <c r="B87" s="8"/>
    </row>
    <row r="88">
      <c r="B88" s="8"/>
    </row>
    <row r="89">
      <c r="B89" s="8"/>
    </row>
    <row r="90">
      <c r="B90" s="8"/>
    </row>
    <row r="91">
      <c r="B91" s="8"/>
    </row>
    <row r="92">
      <c r="B92" s="8"/>
    </row>
    <row r="93">
      <c r="B93" s="8"/>
    </row>
    <row r="94">
      <c r="B94" s="8"/>
    </row>
    <row r="95">
      <c r="B95" s="8"/>
    </row>
    <row r="96">
      <c r="B96" s="8"/>
    </row>
    <row r="97">
      <c r="B97" s="8"/>
    </row>
    <row r="98">
      <c r="B98" s="8"/>
    </row>
    <row r="99">
      <c r="B99" s="8"/>
    </row>
    <row r="100">
      <c r="B100" s="8"/>
    </row>
    <row r="101">
      <c r="B101" s="8"/>
    </row>
    <row r="102">
      <c r="B102" s="8"/>
    </row>
    <row r="103">
      <c r="B103" s="8"/>
    </row>
    <row r="104">
      <c r="B104" s="8"/>
    </row>
    <row r="105">
      <c r="B105" s="8"/>
    </row>
    <row r="106">
      <c r="B106" s="8"/>
    </row>
    <row r="107">
      <c r="B107" s="8"/>
    </row>
    <row r="108">
      <c r="B108" s="8"/>
    </row>
    <row r="109">
      <c r="B109" s="8"/>
    </row>
    <row r="110">
      <c r="B110" s="8"/>
    </row>
    <row r="111">
      <c r="B111" s="8"/>
    </row>
    <row r="112">
      <c r="B112" s="8"/>
    </row>
    <row r="113">
      <c r="B113" s="8"/>
    </row>
    <row r="114">
      <c r="B114" s="8"/>
    </row>
    <row r="115">
      <c r="B115" s="8"/>
    </row>
    <row r="116">
      <c r="B116" s="8"/>
    </row>
    <row r="117">
      <c r="B117" s="8"/>
    </row>
    <row r="118">
      <c r="B118" s="8"/>
    </row>
    <row r="119">
      <c r="B119" s="8"/>
    </row>
    <row r="120">
      <c r="B120" s="8"/>
    </row>
    <row r="121">
      <c r="B121" s="8"/>
    </row>
    <row r="122">
      <c r="B122" s="8"/>
    </row>
    <row r="123">
      <c r="B123" s="8"/>
    </row>
    <row r="124">
      <c r="B124" s="8"/>
    </row>
    <row r="125">
      <c r="B125" s="8"/>
    </row>
    <row r="126">
      <c r="B126" s="8"/>
    </row>
    <row r="127">
      <c r="B127" s="8"/>
    </row>
    <row r="128">
      <c r="B128" s="8"/>
    </row>
    <row r="129">
      <c r="B129" s="8"/>
    </row>
    <row r="130">
      <c r="B130" s="8"/>
    </row>
    <row r="131">
      <c r="B131" s="8"/>
    </row>
    <row r="132">
      <c r="B132" s="8"/>
    </row>
    <row r="133">
      <c r="B133" s="8"/>
    </row>
    <row r="134">
      <c r="B134" s="8"/>
    </row>
    <row r="135">
      <c r="B135" s="8"/>
    </row>
    <row r="136">
      <c r="B136" s="8"/>
    </row>
    <row r="137">
      <c r="B137" s="8"/>
    </row>
    <row r="138">
      <c r="B138" s="8"/>
    </row>
    <row r="139">
      <c r="B139" s="8"/>
    </row>
    <row r="140">
      <c r="B140" s="8"/>
    </row>
    <row r="141">
      <c r="B141" s="8"/>
    </row>
    <row r="142">
      <c r="B142" s="8"/>
    </row>
    <row r="143">
      <c r="B143" s="8"/>
    </row>
    <row r="144">
      <c r="B144" s="8"/>
    </row>
    <row r="145">
      <c r="B145" s="8"/>
    </row>
    <row r="146">
      <c r="B146" s="8"/>
    </row>
    <row r="147">
      <c r="B147" s="8"/>
    </row>
    <row r="148">
      <c r="B148" s="8"/>
    </row>
    <row r="149">
      <c r="B149" s="8"/>
    </row>
    <row r="150">
      <c r="B150" s="8"/>
    </row>
    <row r="151">
      <c r="B151" s="8"/>
    </row>
    <row r="152">
      <c r="B152" s="8"/>
    </row>
    <row r="153">
      <c r="B153" s="8"/>
    </row>
    <row r="154">
      <c r="B154" s="8"/>
    </row>
    <row r="155">
      <c r="B155" s="8"/>
    </row>
    <row r="156">
      <c r="B156" s="8"/>
    </row>
    <row r="157">
      <c r="B157" s="8"/>
    </row>
    <row r="158">
      <c r="B158" s="8"/>
    </row>
    <row r="159">
      <c r="B159" s="8"/>
    </row>
    <row r="160">
      <c r="B160" s="8"/>
    </row>
    <row r="161">
      <c r="B161" s="8"/>
    </row>
    <row r="162">
      <c r="B162" s="8"/>
    </row>
    <row r="163">
      <c r="B163" s="8"/>
    </row>
    <row r="164">
      <c r="B164" s="8"/>
    </row>
    <row r="165">
      <c r="B165" s="8"/>
    </row>
    <row r="166">
      <c r="B166" s="8"/>
    </row>
    <row r="167">
      <c r="B167" s="8"/>
    </row>
    <row r="168">
      <c r="B168" s="8"/>
    </row>
    <row r="169">
      <c r="B169" s="8"/>
    </row>
    <row r="170">
      <c r="B170" s="8"/>
    </row>
    <row r="171">
      <c r="B171" s="8"/>
    </row>
    <row r="172">
      <c r="B172" s="8"/>
    </row>
    <row r="173">
      <c r="B173" s="8"/>
    </row>
    <row r="174">
      <c r="B174" s="8"/>
    </row>
    <row r="175">
      <c r="B175" s="8"/>
    </row>
    <row r="176">
      <c r="B176" s="8"/>
    </row>
    <row r="177">
      <c r="B177" s="8"/>
    </row>
    <row r="178">
      <c r="B178" s="8"/>
    </row>
    <row r="179">
      <c r="B179" s="8"/>
    </row>
    <row r="180">
      <c r="B180" s="8"/>
    </row>
    <row r="181">
      <c r="B181" s="8"/>
    </row>
    <row r="182">
      <c r="B182" s="8"/>
    </row>
    <row r="183">
      <c r="B183" s="8"/>
    </row>
    <row r="184">
      <c r="B184" s="8"/>
    </row>
    <row r="185">
      <c r="B185" s="8"/>
    </row>
    <row r="186">
      <c r="B186" s="8"/>
    </row>
    <row r="187">
      <c r="B187" s="8"/>
    </row>
    <row r="188">
      <c r="B188" s="8"/>
    </row>
    <row r="189">
      <c r="B189" s="8"/>
    </row>
    <row r="190">
      <c r="B190" s="8"/>
    </row>
    <row r="191">
      <c r="B191" s="8"/>
    </row>
    <row r="192">
      <c r="B192" s="8"/>
    </row>
    <row r="193">
      <c r="B193" s="8"/>
    </row>
    <row r="194">
      <c r="B194" s="8"/>
    </row>
    <row r="195">
      <c r="B195" s="8"/>
    </row>
    <row r="196">
      <c r="B196" s="8"/>
    </row>
    <row r="197">
      <c r="B197" s="8"/>
    </row>
    <row r="198">
      <c r="B198" s="8"/>
    </row>
    <row r="199">
      <c r="B199" s="8"/>
    </row>
    <row r="200">
      <c r="B200" s="8"/>
    </row>
    <row r="201">
      <c r="B201" s="8"/>
    </row>
    <row r="202">
      <c r="B202" s="8"/>
    </row>
    <row r="203">
      <c r="B203" s="8"/>
    </row>
    <row r="204">
      <c r="B204" s="8"/>
    </row>
    <row r="205">
      <c r="B205" s="8"/>
    </row>
    <row r="206">
      <c r="B206" s="8"/>
    </row>
    <row r="207">
      <c r="B207" s="8"/>
    </row>
    <row r="208">
      <c r="B208" s="8"/>
    </row>
    <row r="209">
      <c r="B209" s="8"/>
    </row>
    <row r="210">
      <c r="B210" s="8"/>
    </row>
    <row r="211">
      <c r="B211" s="8"/>
    </row>
    <row r="212">
      <c r="B212" s="8"/>
    </row>
    <row r="213">
      <c r="B213" s="8"/>
    </row>
    <row r="214">
      <c r="B214" s="8"/>
    </row>
    <row r="215">
      <c r="B215" s="8"/>
    </row>
    <row r="216">
      <c r="B216" s="8"/>
    </row>
    <row r="217">
      <c r="B217" s="8"/>
    </row>
    <row r="218">
      <c r="B218" s="8"/>
    </row>
    <row r="219">
      <c r="B219" s="8"/>
    </row>
    <row r="220">
      <c r="B220" s="8"/>
    </row>
    <row r="221">
      <c r="B221" s="8"/>
    </row>
    <row r="222">
      <c r="B222" s="8"/>
    </row>
    <row r="223">
      <c r="B223" s="8"/>
    </row>
    <row r="224">
      <c r="B224" s="8"/>
    </row>
    <row r="225">
      <c r="B225" s="8"/>
    </row>
    <row r="226">
      <c r="B226" s="8"/>
    </row>
    <row r="227">
      <c r="B227" s="8"/>
    </row>
    <row r="228">
      <c r="B228" s="8"/>
    </row>
    <row r="229">
      <c r="B229" s="8"/>
    </row>
    <row r="230">
      <c r="B230" s="8"/>
    </row>
    <row r="231">
      <c r="B231" s="8"/>
    </row>
    <row r="232">
      <c r="B232" s="8"/>
    </row>
    <row r="233">
      <c r="B233" s="8"/>
    </row>
    <row r="234">
      <c r="B234" s="8"/>
    </row>
    <row r="235">
      <c r="B235" s="8"/>
    </row>
    <row r="236">
      <c r="B236" s="8"/>
    </row>
    <row r="237">
      <c r="B237" s="8"/>
    </row>
    <row r="238">
      <c r="B238" s="8"/>
    </row>
    <row r="239">
      <c r="B239" s="8"/>
    </row>
    <row r="240">
      <c r="B240" s="8"/>
    </row>
    <row r="241">
      <c r="B241" s="8"/>
    </row>
    <row r="242">
      <c r="B242" s="8"/>
    </row>
    <row r="243">
      <c r="B243" s="8"/>
    </row>
    <row r="244">
      <c r="B244" s="8"/>
    </row>
    <row r="245">
      <c r="B245" s="8"/>
    </row>
    <row r="246">
      <c r="B246" s="8"/>
    </row>
    <row r="247">
      <c r="B247" s="8"/>
    </row>
    <row r="248">
      <c r="B248" s="8"/>
    </row>
    <row r="249">
      <c r="B249" s="8"/>
    </row>
    <row r="250">
      <c r="B250" s="8"/>
    </row>
    <row r="251">
      <c r="B251" s="8"/>
    </row>
    <row r="252">
      <c r="B252" s="8"/>
    </row>
    <row r="253">
      <c r="B253" s="8"/>
    </row>
    <row r="254">
      <c r="B254" s="8"/>
    </row>
    <row r="255">
      <c r="B255" s="8"/>
    </row>
    <row r="256">
      <c r="B256" s="8"/>
    </row>
    <row r="257">
      <c r="B257" s="8"/>
    </row>
    <row r="258">
      <c r="B258" s="8"/>
    </row>
    <row r="259">
      <c r="B259" s="8"/>
    </row>
    <row r="260">
      <c r="B260" s="8"/>
    </row>
    <row r="261">
      <c r="B261" s="8"/>
    </row>
    <row r="262">
      <c r="B262" s="8"/>
    </row>
    <row r="263">
      <c r="B263" s="8"/>
    </row>
    <row r="264">
      <c r="B264" s="8"/>
    </row>
    <row r="265">
      <c r="B265" s="8"/>
    </row>
    <row r="266">
      <c r="B266" s="8"/>
    </row>
    <row r="267">
      <c r="B267" s="8"/>
    </row>
    <row r="268">
      <c r="B268" s="8"/>
    </row>
    <row r="269">
      <c r="B269" s="8"/>
    </row>
    <row r="270">
      <c r="B270" s="8"/>
    </row>
    <row r="271">
      <c r="B271" s="8"/>
    </row>
    <row r="272">
      <c r="B272" s="8"/>
    </row>
    <row r="273">
      <c r="B273" s="8"/>
    </row>
    <row r="274">
      <c r="B274" s="8"/>
    </row>
    <row r="275">
      <c r="B275" s="8"/>
    </row>
    <row r="276">
      <c r="B276" s="8"/>
    </row>
    <row r="277">
      <c r="B277" s="8"/>
    </row>
    <row r="278">
      <c r="B278" s="8"/>
    </row>
    <row r="279">
      <c r="B279" s="8"/>
    </row>
    <row r="280">
      <c r="B280" s="8"/>
    </row>
    <row r="281">
      <c r="B281" s="8"/>
    </row>
    <row r="282">
      <c r="B282" s="8"/>
    </row>
    <row r="283">
      <c r="B283" s="8"/>
    </row>
    <row r="284">
      <c r="B284" s="8"/>
    </row>
    <row r="285">
      <c r="B285" s="8"/>
    </row>
    <row r="286">
      <c r="B286" s="8"/>
    </row>
    <row r="287">
      <c r="B287" s="8"/>
    </row>
    <row r="288">
      <c r="B288" s="8"/>
    </row>
    <row r="289">
      <c r="B289" s="8"/>
    </row>
    <row r="290">
      <c r="B290" s="8"/>
    </row>
    <row r="291">
      <c r="B291" s="8"/>
    </row>
    <row r="292">
      <c r="B292" s="8"/>
    </row>
    <row r="293">
      <c r="B293" s="8"/>
    </row>
    <row r="294">
      <c r="B294" s="8"/>
    </row>
    <row r="295">
      <c r="B295" s="8"/>
    </row>
    <row r="296">
      <c r="B296" s="8"/>
    </row>
    <row r="297">
      <c r="B297" s="8"/>
    </row>
    <row r="298">
      <c r="B298" s="8"/>
    </row>
    <row r="299">
      <c r="B299" s="8"/>
    </row>
    <row r="300">
      <c r="B300" s="8"/>
    </row>
    <row r="301">
      <c r="B301" s="8"/>
    </row>
    <row r="302">
      <c r="B302" s="8"/>
    </row>
    <row r="303">
      <c r="B303" s="8"/>
    </row>
    <row r="304">
      <c r="B304" s="8"/>
    </row>
    <row r="305">
      <c r="B305" s="8"/>
    </row>
    <row r="306">
      <c r="B306" s="8"/>
    </row>
    <row r="307">
      <c r="B307" s="8"/>
    </row>
    <row r="308">
      <c r="B308" s="8"/>
    </row>
    <row r="309">
      <c r="B309" s="8"/>
    </row>
    <row r="310">
      <c r="B310" s="8"/>
    </row>
    <row r="311">
      <c r="B311" s="8"/>
    </row>
    <row r="312">
      <c r="B312" s="8"/>
    </row>
    <row r="313">
      <c r="B313" s="8"/>
    </row>
    <row r="314">
      <c r="B314" s="8"/>
    </row>
    <row r="315">
      <c r="B315" s="8"/>
    </row>
    <row r="316">
      <c r="B316" s="8"/>
    </row>
    <row r="317">
      <c r="B317" s="8"/>
    </row>
    <row r="318">
      <c r="B318" s="8"/>
    </row>
    <row r="319">
      <c r="B319" s="8"/>
    </row>
    <row r="320">
      <c r="B320" s="8"/>
    </row>
    <row r="321">
      <c r="B321" s="8"/>
    </row>
    <row r="322">
      <c r="B322" s="8"/>
    </row>
    <row r="323">
      <c r="B323" s="8"/>
    </row>
    <row r="324">
      <c r="B324" s="8"/>
    </row>
    <row r="325">
      <c r="B325" s="8"/>
    </row>
    <row r="326">
      <c r="B326" s="8"/>
    </row>
    <row r="327">
      <c r="B327" s="8"/>
    </row>
    <row r="328">
      <c r="B328" s="8"/>
    </row>
    <row r="329">
      <c r="B329" s="8"/>
    </row>
    <row r="330">
      <c r="B330" s="8"/>
    </row>
    <row r="331">
      <c r="B331" s="8"/>
    </row>
    <row r="332">
      <c r="B332" s="8"/>
    </row>
    <row r="333">
      <c r="B333" s="8"/>
    </row>
    <row r="334">
      <c r="B334" s="8"/>
    </row>
    <row r="335">
      <c r="B335" s="8"/>
    </row>
    <row r="336">
      <c r="B336" s="8"/>
    </row>
    <row r="337">
      <c r="B337" s="8"/>
    </row>
    <row r="338">
      <c r="B338" s="8"/>
    </row>
    <row r="339">
      <c r="B339" s="8"/>
    </row>
    <row r="340">
      <c r="B340" s="8"/>
    </row>
    <row r="341">
      <c r="B341" s="8"/>
    </row>
    <row r="342">
      <c r="B342" s="8"/>
    </row>
    <row r="343">
      <c r="B343" s="8"/>
    </row>
    <row r="344">
      <c r="B344" s="8"/>
    </row>
    <row r="345">
      <c r="B345" s="8"/>
    </row>
    <row r="346">
      <c r="B346" s="8"/>
    </row>
    <row r="347">
      <c r="B347" s="8"/>
    </row>
    <row r="348">
      <c r="B348" s="8"/>
    </row>
    <row r="349">
      <c r="B349" s="8"/>
    </row>
    <row r="350">
      <c r="B350" s="8"/>
    </row>
    <row r="351">
      <c r="B351" s="8"/>
    </row>
    <row r="352">
      <c r="B352" s="8"/>
    </row>
    <row r="353">
      <c r="B353" s="8"/>
    </row>
    <row r="354">
      <c r="B354" s="8"/>
    </row>
    <row r="355">
      <c r="B355" s="8"/>
    </row>
    <row r="356">
      <c r="B356" s="8"/>
    </row>
    <row r="357">
      <c r="B357" s="8"/>
    </row>
    <row r="358">
      <c r="B358" s="8"/>
    </row>
    <row r="359">
      <c r="B359" s="8"/>
    </row>
    <row r="360">
      <c r="B360" s="8"/>
    </row>
    <row r="361">
      <c r="B361" s="8"/>
    </row>
    <row r="362">
      <c r="B362" s="8"/>
    </row>
    <row r="363">
      <c r="B363" s="8"/>
    </row>
    <row r="364">
      <c r="B364" s="8"/>
    </row>
    <row r="365">
      <c r="B365" s="8"/>
    </row>
    <row r="366">
      <c r="B366" s="8"/>
    </row>
    <row r="367">
      <c r="B367" s="8"/>
    </row>
    <row r="368">
      <c r="B368" s="8"/>
    </row>
    <row r="369">
      <c r="B369" s="8"/>
    </row>
    <row r="370">
      <c r="B370" s="8"/>
    </row>
    <row r="371">
      <c r="B371" s="8"/>
    </row>
    <row r="372">
      <c r="B372" s="8"/>
    </row>
    <row r="373">
      <c r="B373" s="8"/>
    </row>
    <row r="374">
      <c r="B374" s="8"/>
    </row>
    <row r="375">
      <c r="B375" s="8"/>
    </row>
    <row r="376">
      <c r="B376" s="8"/>
    </row>
    <row r="377">
      <c r="B377" s="8"/>
    </row>
    <row r="378">
      <c r="B378" s="8"/>
    </row>
    <row r="379">
      <c r="B379" s="8"/>
    </row>
    <row r="380">
      <c r="B380" s="8"/>
    </row>
    <row r="381">
      <c r="B381" s="8"/>
    </row>
    <row r="382">
      <c r="B382" s="8"/>
    </row>
    <row r="383">
      <c r="B383" s="8"/>
    </row>
    <row r="384">
      <c r="B384" s="8"/>
    </row>
    <row r="385">
      <c r="B385" s="8"/>
    </row>
    <row r="386">
      <c r="B386" s="8"/>
    </row>
    <row r="387">
      <c r="B387" s="8"/>
    </row>
    <row r="388">
      <c r="B388" s="8"/>
    </row>
    <row r="389">
      <c r="B389" s="8"/>
    </row>
    <row r="390">
      <c r="B390" s="8"/>
    </row>
    <row r="391">
      <c r="B391" s="8"/>
    </row>
    <row r="392">
      <c r="B392" s="8"/>
    </row>
    <row r="393">
      <c r="B393" s="8"/>
    </row>
    <row r="394">
      <c r="B394" s="8"/>
    </row>
    <row r="395">
      <c r="B395" s="8"/>
    </row>
    <row r="396">
      <c r="B396" s="8"/>
    </row>
    <row r="397">
      <c r="B397" s="8"/>
    </row>
    <row r="398">
      <c r="B398" s="8"/>
    </row>
    <row r="399">
      <c r="B399" s="8"/>
    </row>
    <row r="400">
      <c r="B400" s="8"/>
    </row>
    <row r="401">
      <c r="B401" s="8"/>
    </row>
    <row r="402">
      <c r="B402" s="8"/>
    </row>
    <row r="403">
      <c r="B403" s="8"/>
    </row>
    <row r="404">
      <c r="B404" s="8"/>
    </row>
    <row r="405">
      <c r="B405" s="8"/>
    </row>
    <row r="406">
      <c r="B406" s="8"/>
    </row>
    <row r="407">
      <c r="B407" s="8"/>
    </row>
    <row r="408">
      <c r="B408" s="8"/>
    </row>
    <row r="409">
      <c r="B409" s="8"/>
    </row>
    <row r="410">
      <c r="B410" s="8"/>
    </row>
    <row r="411">
      <c r="B411" s="8"/>
    </row>
    <row r="412">
      <c r="B412" s="8"/>
    </row>
    <row r="413">
      <c r="B413" s="8"/>
    </row>
    <row r="414">
      <c r="B414" s="8"/>
    </row>
    <row r="415">
      <c r="B415" s="8"/>
    </row>
    <row r="416">
      <c r="B416" s="8"/>
    </row>
    <row r="417">
      <c r="B417" s="8"/>
    </row>
    <row r="418">
      <c r="B418" s="8"/>
    </row>
    <row r="419">
      <c r="B419" s="8"/>
    </row>
    <row r="420">
      <c r="B420" s="8"/>
    </row>
    <row r="421">
      <c r="B421" s="8"/>
    </row>
    <row r="422">
      <c r="B422" s="8"/>
    </row>
    <row r="423">
      <c r="B423" s="8"/>
    </row>
    <row r="424">
      <c r="B424" s="8"/>
    </row>
    <row r="425">
      <c r="B425" s="8"/>
    </row>
    <row r="426">
      <c r="B426" s="8"/>
    </row>
    <row r="427">
      <c r="B427" s="8"/>
    </row>
    <row r="428">
      <c r="B428" s="8"/>
    </row>
    <row r="429">
      <c r="B429" s="8"/>
    </row>
    <row r="430">
      <c r="B430" s="8"/>
    </row>
    <row r="431">
      <c r="B431" s="8"/>
    </row>
    <row r="432">
      <c r="B432" s="8"/>
    </row>
    <row r="433">
      <c r="B433" s="8"/>
    </row>
    <row r="434">
      <c r="B434" s="8"/>
    </row>
    <row r="435">
      <c r="B435" s="8"/>
    </row>
    <row r="436">
      <c r="B436" s="8"/>
    </row>
    <row r="437">
      <c r="B437" s="8"/>
    </row>
    <row r="438">
      <c r="B438" s="8"/>
    </row>
    <row r="439">
      <c r="B439" s="8"/>
    </row>
    <row r="440">
      <c r="B440" s="8"/>
    </row>
    <row r="441">
      <c r="B441" s="8"/>
    </row>
    <row r="442">
      <c r="B442" s="8"/>
    </row>
    <row r="443">
      <c r="B443" s="8"/>
    </row>
    <row r="444">
      <c r="B444" s="8"/>
    </row>
    <row r="445">
      <c r="B445" s="8"/>
    </row>
    <row r="446">
      <c r="B446" s="8"/>
    </row>
    <row r="447">
      <c r="B447" s="8"/>
    </row>
    <row r="448">
      <c r="B448" s="8"/>
    </row>
    <row r="449">
      <c r="B449" s="8"/>
    </row>
    <row r="450">
      <c r="B450" s="8"/>
    </row>
    <row r="451">
      <c r="B451" s="8"/>
    </row>
    <row r="452">
      <c r="B452" s="8"/>
    </row>
    <row r="453">
      <c r="B453" s="8"/>
    </row>
    <row r="454">
      <c r="B454" s="8"/>
    </row>
    <row r="455">
      <c r="B455" s="8"/>
    </row>
    <row r="456">
      <c r="B456" s="8"/>
    </row>
    <row r="457">
      <c r="B457" s="8"/>
    </row>
    <row r="458">
      <c r="B458" s="8"/>
    </row>
    <row r="459">
      <c r="B459" s="8"/>
    </row>
    <row r="460">
      <c r="B460" s="8"/>
    </row>
    <row r="461">
      <c r="B461" s="8"/>
    </row>
    <row r="462">
      <c r="B462" s="8"/>
    </row>
    <row r="463">
      <c r="B463" s="8"/>
    </row>
    <row r="464">
      <c r="B464" s="8"/>
    </row>
    <row r="465">
      <c r="B465" s="8"/>
    </row>
    <row r="466">
      <c r="B466" s="8"/>
    </row>
    <row r="467">
      <c r="B467" s="8"/>
    </row>
    <row r="468">
      <c r="B468" s="8"/>
    </row>
    <row r="469">
      <c r="B469" s="8"/>
    </row>
    <row r="470">
      <c r="B470" s="8"/>
    </row>
    <row r="471">
      <c r="B471" s="8"/>
    </row>
    <row r="472">
      <c r="B472" s="8"/>
    </row>
    <row r="473">
      <c r="B473" s="8"/>
    </row>
    <row r="474">
      <c r="B474" s="8"/>
    </row>
    <row r="475">
      <c r="B475" s="8"/>
    </row>
    <row r="476">
      <c r="B476" s="8"/>
    </row>
    <row r="477">
      <c r="B477" s="8"/>
    </row>
    <row r="478">
      <c r="B478" s="8"/>
    </row>
    <row r="479">
      <c r="B479" s="8"/>
    </row>
    <row r="480">
      <c r="B480" s="8"/>
    </row>
    <row r="481">
      <c r="B481" s="8"/>
    </row>
    <row r="482">
      <c r="B482" s="8"/>
    </row>
    <row r="483">
      <c r="B483" s="8"/>
    </row>
    <row r="484">
      <c r="B484" s="8"/>
    </row>
    <row r="485">
      <c r="B485" s="8"/>
    </row>
    <row r="486">
      <c r="B486" s="8"/>
    </row>
    <row r="487">
      <c r="B487" s="8"/>
    </row>
    <row r="488">
      <c r="B488" s="8"/>
    </row>
    <row r="489">
      <c r="B489" s="8"/>
    </row>
    <row r="490">
      <c r="B490" s="8"/>
    </row>
    <row r="491">
      <c r="B491" s="8"/>
    </row>
    <row r="492">
      <c r="B492" s="8"/>
    </row>
    <row r="493">
      <c r="B493" s="8"/>
    </row>
    <row r="494">
      <c r="B494" s="8"/>
    </row>
    <row r="495">
      <c r="B495" s="8"/>
    </row>
    <row r="496">
      <c r="B496" s="8"/>
    </row>
    <row r="497">
      <c r="B497" s="8"/>
    </row>
    <row r="498">
      <c r="B498" s="8"/>
    </row>
    <row r="499">
      <c r="B499" s="8"/>
    </row>
    <row r="500">
      <c r="B500" s="8"/>
    </row>
    <row r="501">
      <c r="B501" s="8"/>
    </row>
    <row r="502">
      <c r="B502" s="8"/>
    </row>
    <row r="503">
      <c r="B503" s="8"/>
    </row>
    <row r="504">
      <c r="B504" s="8"/>
    </row>
    <row r="505">
      <c r="B505" s="8"/>
    </row>
    <row r="506">
      <c r="B506" s="8"/>
    </row>
    <row r="507">
      <c r="B507" s="8"/>
    </row>
    <row r="508">
      <c r="B508" s="8"/>
    </row>
    <row r="509">
      <c r="B509" s="8"/>
    </row>
    <row r="510">
      <c r="B510" s="8"/>
    </row>
    <row r="511">
      <c r="B511" s="8"/>
    </row>
    <row r="512">
      <c r="B512" s="8"/>
    </row>
    <row r="513">
      <c r="B513" s="8"/>
    </row>
    <row r="514">
      <c r="B514" s="8"/>
    </row>
    <row r="515">
      <c r="B515" s="8"/>
    </row>
    <row r="516">
      <c r="B516" s="8"/>
    </row>
    <row r="517">
      <c r="B517" s="8"/>
    </row>
    <row r="518">
      <c r="B518" s="8"/>
    </row>
    <row r="519">
      <c r="B519" s="8"/>
    </row>
    <row r="520">
      <c r="B520" s="8"/>
    </row>
    <row r="521">
      <c r="B521" s="8"/>
    </row>
    <row r="522">
      <c r="B522" s="8"/>
    </row>
    <row r="523">
      <c r="B523" s="8"/>
    </row>
    <row r="524">
      <c r="B524" s="8"/>
    </row>
    <row r="525">
      <c r="B525" s="8"/>
    </row>
    <row r="526">
      <c r="B526" s="8"/>
    </row>
    <row r="527">
      <c r="B527" s="8"/>
    </row>
    <row r="528">
      <c r="B528" s="8"/>
    </row>
    <row r="529">
      <c r="B529" s="8"/>
    </row>
    <row r="530">
      <c r="B530" s="8"/>
    </row>
    <row r="531">
      <c r="B531" s="8"/>
    </row>
    <row r="532">
      <c r="B532" s="8"/>
    </row>
    <row r="533">
      <c r="B533" s="8"/>
    </row>
    <row r="534">
      <c r="B534" s="8"/>
    </row>
    <row r="535">
      <c r="B535" s="8"/>
    </row>
    <row r="536">
      <c r="B536" s="8"/>
    </row>
    <row r="537">
      <c r="B537" s="8"/>
    </row>
    <row r="538">
      <c r="B538" s="8"/>
    </row>
    <row r="539">
      <c r="B539" s="8"/>
    </row>
    <row r="540">
      <c r="B540" s="8"/>
    </row>
    <row r="541">
      <c r="B541" s="8"/>
    </row>
    <row r="542">
      <c r="B542" s="8"/>
    </row>
    <row r="543">
      <c r="B543" s="8"/>
    </row>
    <row r="544">
      <c r="B544" s="8"/>
    </row>
    <row r="545">
      <c r="B545" s="8"/>
    </row>
    <row r="546">
      <c r="B546" s="8"/>
    </row>
    <row r="547">
      <c r="B547" s="8"/>
    </row>
    <row r="548">
      <c r="B548" s="8"/>
    </row>
    <row r="549">
      <c r="B549" s="8"/>
    </row>
    <row r="550">
      <c r="B550" s="8"/>
    </row>
    <row r="551">
      <c r="B551" s="8"/>
    </row>
    <row r="552">
      <c r="B552" s="8"/>
    </row>
    <row r="553">
      <c r="B553" s="8"/>
    </row>
    <row r="554">
      <c r="B554" s="8"/>
    </row>
    <row r="555">
      <c r="B555" s="8"/>
    </row>
    <row r="556">
      <c r="B556" s="8"/>
    </row>
    <row r="557">
      <c r="B557" s="8"/>
    </row>
    <row r="558">
      <c r="B558" s="8"/>
    </row>
    <row r="559">
      <c r="B559" s="8"/>
    </row>
    <row r="560">
      <c r="B560" s="8"/>
    </row>
    <row r="561">
      <c r="B561" s="8"/>
    </row>
    <row r="562">
      <c r="B562" s="8"/>
    </row>
    <row r="563">
      <c r="B563" s="8"/>
    </row>
    <row r="564">
      <c r="B564" s="8"/>
    </row>
    <row r="565">
      <c r="B565" s="8"/>
    </row>
    <row r="566">
      <c r="B566" s="8"/>
    </row>
    <row r="567">
      <c r="B567" s="8"/>
    </row>
    <row r="568">
      <c r="B568" s="8"/>
    </row>
    <row r="569">
      <c r="B569" s="8"/>
    </row>
    <row r="570">
      <c r="B570" s="8"/>
    </row>
    <row r="571">
      <c r="B571" s="8"/>
    </row>
    <row r="572">
      <c r="B572" s="8"/>
    </row>
    <row r="573">
      <c r="B573" s="8"/>
    </row>
    <row r="574">
      <c r="B574" s="8"/>
    </row>
    <row r="575">
      <c r="B575" s="8"/>
    </row>
    <row r="576">
      <c r="B576" s="8"/>
    </row>
    <row r="577">
      <c r="B577" s="8"/>
    </row>
    <row r="578">
      <c r="B578" s="8"/>
    </row>
    <row r="579">
      <c r="B579" s="8"/>
    </row>
    <row r="580">
      <c r="B580" s="8"/>
    </row>
    <row r="581">
      <c r="B581" s="8"/>
    </row>
    <row r="582">
      <c r="B582" s="8"/>
    </row>
    <row r="583">
      <c r="B583" s="8"/>
    </row>
    <row r="584">
      <c r="B584" s="8"/>
    </row>
    <row r="585">
      <c r="B585" s="8"/>
    </row>
    <row r="586">
      <c r="B586" s="8"/>
    </row>
    <row r="587">
      <c r="B587" s="8"/>
    </row>
    <row r="588">
      <c r="B588" s="8"/>
    </row>
    <row r="589">
      <c r="B589" s="8"/>
    </row>
    <row r="590">
      <c r="B590" s="8"/>
    </row>
    <row r="591">
      <c r="B591" s="8"/>
    </row>
    <row r="592">
      <c r="B592" s="8"/>
    </row>
    <row r="593">
      <c r="B593" s="8"/>
    </row>
    <row r="594">
      <c r="B594" s="8"/>
    </row>
    <row r="595">
      <c r="B595" s="8"/>
    </row>
    <row r="596">
      <c r="B596" s="8"/>
    </row>
    <row r="597">
      <c r="B597" s="8"/>
    </row>
    <row r="598">
      <c r="B598" s="8"/>
    </row>
    <row r="599">
      <c r="B599" s="8"/>
    </row>
    <row r="600">
      <c r="B600" s="8"/>
    </row>
    <row r="601">
      <c r="B601" s="8"/>
    </row>
    <row r="602">
      <c r="B602" s="8"/>
    </row>
    <row r="603">
      <c r="B603" s="8"/>
    </row>
    <row r="604">
      <c r="B604" s="8"/>
    </row>
    <row r="605">
      <c r="B605" s="8"/>
    </row>
    <row r="606">
      <c r="B606" s="8"/>
    </row>
    <row r="607">
      <c r="B607" s="8"/>
    </row>
    <row r="608">
      <c r="B608" s="8"/>
    </row>
    <row r="609">
      <c r="B609" s="8"/>
    </row>
    <row r="610">
      <c r="B610" s="8"/>
    </row>
    <row r="611">
      <c r="B611" s="8"/>
    </row>
    <row r="612">
      <c r="B612" s="8"/>
    </row>
    <row r="613">
      <c r="B613" s="8"/>
    </row>
    <row r="614">
      <c r="B614" s="8"/>
    </row>
    <row r="615">
      <c r="B615" s="8"/>
    </row>
    <row r="616">
      <c r="B616" s="8"/>
    </row>
    <row r="617">
      <c r="B617" s="8"/>
    </row>
    <row r="618">
      <c r="B618" s="8"/>
    </row>
    <row r="619">
      <c r="B619" s="8"/>
    </row>
    <row r="620">
      <c r="B620" s="8"/>
    </row>
    <row r="621">
      <c r="B621" s="8"/>
    </row>
    <row r="622">
      <c r="B622" s="8"/>
    </row>
    <row r="623">
      <c r="B623" s="8"/>
    </row>
    <row r="624">
      <c r="B624" s="8"/>
    </row>
    <row r="625">
      <c r="B625" s="8"/>
    </row>
    <row r="626">
      <c r="B626" s="8"/>
    </row>
    <row r="627">
      <c r="B627" s="8"/>
    </row>
    <row r="628">
      <c r="B628" s="8"/>
    </row>
    <row r="629">
      <c r="B629" s="8"/>
    </row>
    <row r="630">
      <c r="B630" s="8"/>
    </row>
    <row r="631">
      <c r="B631" s="8"/>
    </row>
    <row r="632">
      <c r="B632" s="8"/>
    </row>
    <row r="633">
      <c r="B633" s="8"/>
    </row>
    <row r="634">
      <c r="B634" s="8"/>
    </row>
    <row r="635">
      <c r="B635" s="8"/>
    </row>
    <row r="636">
      <c r="B636" s="8"/>
    </row>
    <row r="637">
      <c r="B637" s="8"/>
    </row>
    <row r="638">
      <c r="B638" s="8"/>
    </row>
    <row r="639">
      <c r="B639" s="8"/>
    </row>
    <row r="640">
      <c r="B640" s="8"/>
    </row>
    <row r="641">
      <c r="B641" s="8"/>
    </row>
    <row r="642">
      <c r="B642" s="8"/>
    </row>
    <row r="643">
      <c r="B643" s="8"/>
    </row>
    <row r="644">
      <c r="B644" s="8"/>
    </row>
    <row r="645">
      <c r="B645" s="8"/>
    </row>
    <row r="646">
      <c r="B646" s="8"/>
    </row>
    <row r="647">
      <c r="B647" s="8"/>
    </row>
    <row r="648">
      <c r="B648" s="8"/>
    </row>
    <row r="649">
      <c r="B649" s="8"/>
    </row>
    <row r="650">
      <c r="B650" s="8"/>
    </row>
    <row r="651">
      <c r="B651" s="8"/>
    </row>
    <row r="652">
      <c r="B652" s="8"/>
    </row>
    <row r="653">
      <c r="B653" s="8"/>
    </row>
    <row r="654">
      <c r="B654" s="8"/>
    </row>
    <row r="655">
      <c r="B655" s="8"/>
    </row>
    <row r="656">
      <c r="B656" s="8"/>
    </row>
    <row r="657">
      <c r="B657" s="8"/>
    </row>
    <row r="658">
      <c r="B658" s="8"/>
    </row>
    <row r="659">
      <c r="B659" s="8"/>
    </row>
    <row r="660">
      <c r="B660" s="8"/>
    </row>
    <row r="661">
      <c r="B661" s="8"/>
    </row>
    <row r="662">
      <c r="B662" s="8"/>
    </row>
    <row r="663">
      <c r="B663" s="8"/>
    </row>
    <row r="664">
      <c r="B664" s="8"/>
    </row>
    <row r="665">
      <c r="B665" s="8"/>
    </row>
    <row r="666">
      <c r="B666" s="8"/>
    </row>
    <row r="667">
      <c r="B667" s="8"/>
    </row>
    <row r="668">
      <c r="B668" s="8"/>
    </row>
    <row r="669">
      <c r="B669" s="8"/>
    </row>
    <row r="670">
      <c r="B670" s="8"/>
    </row>
    <row r="671">
      <c r="B671" s="8"/>
    </row>
    <row r="672">
      <c r="B672" s="8"/>
    </row>
    <row r="673">
      <c r="B673" s="8"/>
    </row>
    <row r="674">
      <c r="B674" s="8"/>
    </row>
    <row r="675">
      <c r="B675" s="8"/>
    </row>
    <row r="676">
      <c r="B676" s="8"/>
    </row>
    <row r="677">
      <c r="B677" s="8"/>
    </row>
    <row r="678">
      <c r="B678" s="8"/>
    </row>
    <row r="679">
      <c r="B679" s="8"/>
    </row>
    <row r="680">
      <c r="B680" s="8"/>
    </row>
    <row r="681">
      <c r="B681" s="8"/>
    </row>
    <row r="682">
      <c r="B682" s="8"/>
    </row>
    <row r="683">
      <c r="B683" s="8"/>
    </row>
    <row r="684">
      <c r="B684" s="8"/>
    </row>
    <row r="685">
      <c r="B685" s="8"/>
    </row>
    <row r="686">
      <c r="B686" s="8"/>
    </row>
    <row r="687">
      <c r="B687" s="8"/>
    </row>
    <row r="688">
      <c r="B688" s="8"/>
    </row>
    <row r="689">
      <c r="B689" s="8"/>
    </row>
    <row r="690">
      <c r="B690" s="8"/>
    </row>
    <row r="691">
      <c r="B691" s="8"/>
    </row>
    <row r="692">
      <c r="B692" s="8"/>
    </row>
    <row r="693">
      <c r="B693" s="8"/>
    </row>
    <row r="694">
      <c r="B694" s="8"/>
    </row>
    <row r="695">
      <c r="B695" s="8"/>
    </row>
    <row r="696">
      <c r="B696" s="8"/>
    </row>
    <row r="697">
      <c r="B697" s="8"/>
    </row>
    <row r="698">
      <c r="B698" s="8"/>
    </row>
    <row r="699">
      <c r="B699" s="8"/>
    </row>
    <row r="700">
      <c r="B700" s="8"/>
    </row>
    <row r="701">
      <c r="B701" s="8"/>
    </row>
    <row r="702">
      <c r="B702" s="8"/>
    </row>
    <row r="703">
      <c r="B703" s="8"/>
    </row>
    <row r="704">
      <c r="B704" s="8"/>
    </row>
    <row r="705">
      <c r="B705" s="8"/>
    </row>
    <row r="706">
      <c r="B706" s="8"/>
    </row>
    <row r="707">
      <c r="B707" s="8"/>
    </row>
    <row r="708">
      <c r="B708" s="8"/>
    </row>
    <row r="709">
      <c r="B709" s="8"/>
    </row>
    <row r="710">
      <c r="B710" s="8"/>
    </row>
    <row r="711">
      <c r="B711" s="8"/>
    </row>
    <row r="712">
      <c r="B712" s="8"/>
    </row>
    <row r="713">
      <c r="B713" s="8"/>
    </row>
    <row r="714">
      <c r="B714" s="8"/>
    </row>
    <row r="715">
      <c r="B715" s="8"/>
    </row>
    <row r="716">
      <c r="B716" s="8"/>
    </row>
    <row r="717">
      <c r="B717" s="8"/>
    </row>
    <row r="718">
      <c r="B718" s="8"/>
    </row>
    <row r="719">
      <c r="B719" s="8"/>
    </row>
    <row r="720">
      <c r="B720" s="8"/>
    </row>
    <row r="721">
      <c r="B721" s="8"/>
    </row>
    <row r="722">
      <c r="B722" s="8"/>
    </row>
    <row r="723">
      <c r="B723" s="8"/>
    </row>
    <row r="724">
      <c r="B724" s="8"/>
    </row>
    <row r="725">
      <c r="B725" s="8"/>
    </row>
    <row r="726">
      <c r="B726" s="8"/>
    </row>
    <row r="727">
      <c r="B727" s="8"/>
    </row>
    <row r="728">
      <c r="B728" s="8"/>
    </row>
    <row r="729">
      <c r="B729" s="8"/>
    </row>
    <row r="730">
      <c r="B730" s="8"/>
    </row>
    <row r="731">
      <c r="B731" s="8"/>
    </row>
    <row r="732">
      <c r="B732" s="8"/>
    </row>
    <row r="733">
      <c r="B733" s="8"/>
    </row>
    <row r="734">
      <c r="B734" s="8"/>
    </row>
    <row r="735">
      <c r="B735" s="8"/>
    </row>
    <row r="736">
      <c r="B736" s="8"/>
    </row>
    <row r="737">
      <c r="B737" s="8"/>
    </row>
    <row r="738">
      <c r="B738" s="8"/>
    </row>
    <row r="739">
      <c r="B739" s="8"/>
    </row>
    <row r="740">
      <c r="B740" s="8"/>
    </row>
    <row r="741">
      <c r="B741" s="8"/>
    </row>
    <row r="742">
      <c r="B742" s="8"/>
    </row>
    <row r="743">
      <c r="B743" s="8"/>
    </row>
    <row r="744">
      <c r="B744" s="8"/>
    </row>
    <row r="745">
      <c r="B745" s="8"/>
    </row>
    <row r="746">
      <c r="B746" s="8"/>
    </row>
    <row r="747">
      <c r="B747" s="8"/>
    </row>
    <row r="748">
      <c r="B748" s="8"/>
    </row>
    <row r="749">
      <c r="B749" s="8"/>
    </row>
    <row r="750">
      <c r="B750" s="8"/>
    </row>
    <row r="751">
      <c r="B751" s="8"/>
    </row>
    <row r="752">
      <c r="B752" s="8"/>
    </row>
    <row r="753">
      <c r="B753" s="8"/>
    </row>
    <row r="754">
      <c r="B754" s="8"/>
    </row>
    <row r="755">
      <c r="B755" s="8"/>
    </row>
    <row r="756">
      <c r="B756" s="8"/>
    </row>
    <row r="757">
      <c r="B757" s="8"/>
    </row>
    <row r="758">
      <c r="B758" s="8"/>
    </row>
    <row r="759">
      <c r="B759" s="8"/>
    </row>
    <row r="760">
      <c r="B760" s="8"/>
    </row>
    <row r="761">
      <c r="B761" s="8"/>
    </row>
    <row r="762">
      <c r="B762" s="8"/>
    </row>
    <row r="763">
      <c r="B763" s="8"/>
    </row>
    <row r="764">
      <c r="B764" s="8"/>
    </row>
    <row r="765">
      <c r="B765" s="8"/>
    </row>
    <row r="766">
      <c r="B766" s="8"/>
    </row>
    <row r="767">
      <c r="B767" s="8"/>
    </row>
    <row r="768">
      <c r="B768" s="8"/>
    </row>
    <row r="769">
      <c r="B769" s="8"/>
    </row>
    <row r="770">
      <c r="B770" s="8"/>
    </row>
    <row r="771">
      <c r="B771" s="8"/>
    </row>
    <row r="772">
      <c r="B772" s="8"/>
    </row>
    <row r="773">
      <c r="B773" s="8"/>
    </row>
    <row r="774">
      <c r="B774" s="8"/>
    </row>
    <row r="775">
      <c r="B775" s="8"/>
    </row>
    <row r="776">
      <c r="B776" s="8"/>
    </row>
    <row r="777">
      <c r="B777" s="8"/>
    </row>
    <row r="778">
      <c r="B778" s="8"/>
    </row>
    <row r="779">
      <c r="B779" s="8"/>
    </row>
    <row r="780">
      <c r="B780" s="8"/>
    </row>
    <row r="781">
      <c r="B781" s="8"/>
    </row>
    <row r="782">
      <c r="B782" s="8"/>
    </row>
    <row r="783">
      <c r="B783" s="8"/>
    </row>
    <row r="784">
      <c r="B784" s="8"/>
    </row>
    <row r="785">
      <c r="B785" s="8"/>
    </row>
    <row r="786">
      <c r="B786" s="8"/>
    </row>
    <row r="787">
      <c r="B787" s="8"/>
    </row>
    <row r="788">
      <c r="B788" s="8"/>
    </row>
    <row r="789">
      <c r="B789" s="8"/>
    </row>
    <row r="790">
      <c r="B790" s="8"/>
    </row>
    <row r="791">
      <c r="B791" s="8"/>
    </row>
    <row r="792">
      <c r="B792" s="8"/>
    </row>
    <row r="793">
      <c r="B793" s="8"/>
    </row>
    <row r="794">
      <c r="B794" s="8"/>
    </row>
    <row r="795">
      <c r="B795" s="8"/>
    </row>
    <row r="796">
      <c r="B796" s="8"/>
    </row>
    <row r="797">
      <c r="B797" s="8"/>
    </row>
    <row r="798">
      <c r="B798" s="8"/>
    </row>
    <row r="799">
      <c r="B799" s="8"/>
    </row>
    <row r="800">
      <c r="B800" s="8"/>
    </row>
    <row r="801">
      <c r="B801" s="8"/>
    </row>
    <row r="802">
      <c r="B802" s="8"/>
    </row>
    <row r="803">
      <c r="B803" s="8"/>
    </row>
    <row r="804">
      <c r="B804" s="8"/>
    </row>
    <row r="805">
      <c r="B805" s="8"/>
    </row>
    <row r="806">
      <c r="B806" s="8"/>
    </row>
    <row r="807">
      <c r="B807" s="8"/>
    </row>
    <row r="808">
      <c r="B808" s="8"/>
    </row>
    <row r="809">
      <c r="B809" s="8"/>
    </row>
    <row r="810">
      <c r="B810" s="8"/>
    </row>
    <row r="811">
      <c r="B811" s="8"/>
    </row>
    <row r="812">
      <c r="B812" s="8"/>
    </row>
    <row r="813">
      <c r="B813" s="8"/>
    </row>
    <row r="814">
      <c r="B814" s="8"/>
    </row>
    <row r="815">
      <c r="B815" s="8"/>
    </row>
    <row r="816">
      <c r="B816" s="8"/>
    </row>
    <row r="817">
      <c r="B817" s="8"/>
    </row>
    <row r="818">
      <c r="B818" s="8"/>
    </row>
    <row r="819">
      <c r="B819" s="8"/>
    </row>
    <row r="820">
      <c r="B820" s="8"/>
    </row>
    <row r="821">
      <c r="B821" s="8"/>
    </row>
    <row r="822">
      <c r="B822" s="8"/>
    </row>
    <row r="823">
      <c r="B823" s="8"/>
    </row>
    <row r="824">
      <c r="B824" s="8"/>
    </row>
    <row r="825">
      <c r="B825" s="8"/>
    </row>
    <row r="826">
      <c r="B826" s="8"/>
    </row>
    <row r="827">
      <c r="B827" s="8"/>
    </row>
    <row r="828">
      <c r="B828" s="8"/>
    </row>
    <row r="829">
      <c r="B829" s="8"/>
    </row>
    <row r="830">
      <c r="B830" s="8"/>
    </row>
    <row r="831">
      <c r="B831" s="8"/>
    </row>
    <row r="832">
      <c r="B832" s="8"/>
    </row>
    <row r="833">
      <c r="B833" s="8"/>
    </row>
    <row r="834">
      <c r="B834" s="8"/>
    </row>
    <row r="835">
      <c r="B835" s="8"/>
    </row>
    <row r="836">
      <c r="B836" s="8"/>
    </row>
    <row r="837">
      <c r="B837" s="8"/>
    </row>
    <row r="838">
      <c r="B838" s="8"/>
    </row>
    <row r="839">
      <c r="B839" s="8"/>
    </row>
    <row r="840">
      <c r="B840" s="8"/>
    </row>
    <row r="841">
      <c r="B841" s="8"/>
    </row>
    <row r="842">
      <c r="B842" s="8"/>
    </row>
    <row r="843">
      <c r="B843" s="8"/>
    </row>
    <row r="844">
      <c r="B844" s="8"/>
    </row>
    <row r="845">
      <c r="B845" s="8"/>
    </row>
    <row r="846">
      <c r="B846" s="8"/>
    </row>
    <row r="847">
      <c r="B847" s="8"/>
    </row>
    <row r="848">
      <c r="B848" s="8"/>
    </row>
    <row r="849">
      <c r="B849" s="8"/>
    </row>
    <row r="850">
      <c r="B850" s="8"/>
    </row>
    <row r="851">
      <c r="B851" s="8"/>
    </row>
    <row r="852">
      <c r="B852" s="8"/>
    </row>
    <row r="853">
      <c r="B853" s="8"/>
    </row>
    <row r="854">
      <c r="B854" s="8"/>
    </row>
    <row r="855">
      <c r="B855" s="8"/>
    </row>
    <row r="856">
      <c r="B856" s="8"/>
    </row>
    <row r="857">
      <c r="B857" s="8"/>
    </row>
    <row r="858">
      <c r="B858" s="8"/>
    </row>
    <row r="859">
      <c r="B859" s="8"/>
    </row>
    <row r="860">
      <c r="B860" s="8"/>
    </row>
    <row r="861">
      <c r="B861" s="8"/>
    </row>
    <row r="862">
      <c r="B862" s="8"/>
    </row>
    <row r="863">
      <c r="B863" s="8"/>
    </row>
    <row r="864">
      <c r="B864" s="8"/>
    </row>
    <row r="865">
      <c r="B865" s="8"/>
    </row>
    <row r="866">
      <c r="B866" s="8"/>
    </row>
    <row r="867">
      <c r="B867" s="8"/>
    </row>
    <row r="868">
      <c r="B868" s="8"/>
    </row>
    <row r="869">
      <c r="B869" s="8"/>
    </row>
    <row r="870">
      <c r="B870" s="8"/>
    </row>
    <row r="871">
      <c r="B871" s="8"/>
    </row>
    <row r="872">
      <c r="B872" s="8"/>
    </row>
    <row r="873">
      <c r="B873" s="8"/>
    </row>
    <row r="874">
      <c r="B874" s="8"/>
    </row>
    <row r="875">
      <c r="B875" s="8"/>
    </row>
    <row r="876">
      <c r="B876" s="8"/>
    </row>
    <row r="877">
      <c r="B877" s="8"/>
    </row>
    <row r="878">
      <c r="B878" s="8"/>
    </row>
    <row r="879">
      <c r="B879" s="8"/>
    </row>
    <row r="880">
      <c r="B880" s="8"/>
    </row>
    <row r="881">
      <c r="B881" s="8"/>
    </row>
    <row r="882">
      <c r="B882" s="8"/>
    </row>
    <row r="883">
      <c r="B883" s="8"/>
    </row>
    <row r="884">
      <c r="B884" s="8"/>
    </row>
    <row r="885">
      <c r="B885" s="8"/>
    </row>
    <row r="886">
      <c r="B886" s="8"/>
    </row>
    <row r="887">
      <c r="B887" s="8"/>
    </row>
    <row r="888">
      <c r="B888" s="8"/>
    </row>
    <row r="889">
      <c r="B889" s="8"/>
    </row>
    <row r="890">
      <c r="B890" s="8"/>
    </row>
    <row r="891">
      <c r="B891" s="8"/>
    </row>
    <row r="892">
      <c r="B892" s="8"/>
    </row>
    <row r="893">
      <c r="B893" s="8"/>
    </row>
    <row r="894">
      <c r="B894" s="8"/>
    </row>
    <row r="895">
      <c r="B895" s="8"/>
    </row>
    <row r="896">
      <c r="B896" s="8"/>
    </row>
    <row r="897">
      <c r="B897" s="8"/>
    </row>
    <row r="898">
      <c r="B898" s="8"/>
    </row>
    <row r="899">
      <c r="B899" s="8"/>
    </row>
    <row r="900">
      <c r="B900" s="8"/>
    </row>
    <row r="901">
      <c r="B901" s="8"/>
    </row>
    <row r="902">
      <c r="B902" s="8"/>
    </row>
    <row r="903">
      <c r="B903" s="8"/>
    </row>
    <row r="904">
      <c r="B904" s="8"/>
    </row>
    <row r="905">
      <c r="B905" s="8"/>
    </row>
    <row r="906">
      <c r="B906" s="8"/>
    </row>
    <row r="907">
      <c r="B907" s="8"/>
    </row>
    <row r="908">
      <c r="B908" s="8"/>
    </row>
    <row r="909">
      <c r="B909" s="8"/>
    </row>
    <row r="910">
      <c r="B910" s="8"/>
    </row>
    <row r="911">
      <c r="B911" s="8"/>
    </row>
    <row r="912">
      <c r="B912" s="8"/>
    </row>
    <row r="913">
      <c r="B913" s="8"/>
    </row>
    <row r="914">
      <c r="B914" s="8"/>
    </row>
    <row r="915">
      <c r="B915" s="8"/>
    </row>
    <row r="916">
      <c r="B916" s="8"/>
    </row>
    <row r="917">
      <c r="B917" s="8"/>
    </row>
    <row r="918">
      <c r="B918" s="8"/>
    </row>
    <row r="919">
      <c r="B919" s="8"/>
    </row>
    <row r="920">
      <c r="B920" s="8"/>
    </row>
    <row r="921">
      <c r="B921" s="8"/>
    </row>
    <row r="922">
      <c r="B922" s="8"/>
    </row>
    <row r="923">
      <c r="B923" s="8"/>
    </row>
    <row r="924">
      <c r="B924" s="8"/>
    </row>
    <row r="925">
      <c r="B925" s="8"/>
    </row>
    <row r="926">
      <c r="B926" s="8"/>
    </row>
    <row r="927">
      <c r="B927" s="8"/>
    </row>
    <row r="928">
      <c r="B928" s="8"/>
    </row>
    <row r="929">
      <c r="B929" s="8"/>
    </row>
    <row r="930">
      <c r="B930" s="8"/>
    </row>
    <row r="931">
      <c r="B931" s="8"/>
    </row>
    <row r="932">
      <c r="B932" s="8"/>
    </row>
    <row r="933">
      <c r="B933" s="8"/>
    </row>
    <row r="934">
      <c r="B934" s="8"/>
    </row>
    <row r="935">
      <c r="B935" s="8"/>
    </row>
    <row r="936">
      <c r="B936" s="8"/>
    </row>
    <row r="937">
      <c r="B937" s="8"/>
    </row>
    <row r="938">
      <c r="B938" s="8"/>
    </row>
    <row r="939">
      <c r="B939" s="8"/>
    </row>
    <row r="940">
      <c r="B940" s="8"/>
    </row>
    <row r="941">
      <c r="B941" s="8"/>
    </row>
    <row r="942">
      <c r="B942" s="8"/>
    </row>
    <row r="943">
      <c r="B943" s="8"/>
    </row>
    <row r="944">
      <c r="B944" s="8"/>
    </row>
    <row r="945">
      <c r="B945" s="8"/>
    </row>
    <row r="946">
      <c r="B946" s="8"/>
    </row>
    <row r="947">
      <c r="B947" s="8"/>
    </row>
    <row r="948">
      <c r="B948" s="8"/>
    </row>
    <row r="949">
      <c r="B949" s="8"/>
    </row>
    <row r="950">
      <c r="B950" s="8"/>
    </row>
    <row r="951">
      <c r="B951" s="8"/>
    </row>
    <row r="952">
      <c r="B952" s="8"/>
    </row>
    <row r="953">
      <c r="B953" s="8"/>
    </row>
    <row r="954">
      <c r="B954" s="8"/>
    </row>
    <row r="955">
      <c r="B955" s="8"/>
    </row>
    <row r="956">
      <c r="B956" s="8"/>
    </row>
    <row r="957">
      <c r="B957" s="8"/>
    </row>
    <row r="958">
      <c r="B958" s="8"/>
    </row>
    <row r="959">
      <c r="B959" s="8"/>
    </row>
    <row r="960">
      <c r="B960" s="8"/>
    </row>
    <row r="961">
      <c r="B961" s="8"/>
    </row>
    <row r="962">
      <c r="B962" s="8"/>
    </row>
    <row r="963">
      <c r="B963" s="8"/>
    </row>
    <row r="964">
      <c r="B964" s="8"/>
    </row>
    <row r="965">
      <c r="B965" s="8"/>
    </row>
    <row r="966">
      <c r="B966" s="8"/>
    </row>
    <row r="967">
      <c r="B967" s="8"/>
    </row>
    <row r="968">
      <c r="B968" s="8"/>
    </row>
    <row r="969">
      <c r="B969" s="8"/>
    </row>
    <row r="970">
      <c r="B970" s="8"/>
    </row>
    <row r="971">
      <c r="B971" s="8"/>
    </row>
    <row r="972">
      <c r="B972" s="8"/>
    </row>
    <row r="973">
      <c r="B973" s="8"/>
    </row>
    <row r="974">
      <c r="B974" s="8"/>
    </row>
    <row r="975">
      <c r="B975" s="8"/>
    </row>
    <row r="976">
      <c r="B976" s="8"/>
    </row>
    <row r="977">
      <c r="B977" s="8"/>
    </row>
    <row r="978">
      <c r="B978" s="8"/>
    </row>
    <row r="979">
      <c r="B979" s="8"/>
    </row>
    <row r="980">
      <c r="B980" s="8"/>
    </row>
    <row r="981">
      <c r="B981" s="8"/>
    </row>
    <row r="982">
      <c r="B982" s="8"/>
    </row>
    <row r="983">
      <c r="B983" s="8"/>
    </row>
    <row r="984">
      <c r="B984" s="8"/>
    </row>
    <row r="985">
      <c r="B985" s="8"/>
    </row>
    <row r="986">
      <c r="B986" s="8"/>
    </row>
    <row r="987">
      <c r="B987" s="8"/>
    </row>
    <row r="988">
      <c r="B988" s="8"/>
    </row>
    <row r="989">
      <c r="B989" s="8"/>
    </row>
    <row r="990">
      <c r="B990" s="8"/>
    </row>
    <row r="991">
      <c r="B991" s="8"/>
    </row>
    <row r="992">
      <c r="B992" s="8"/>
    </row>
    <row r="993">
      <c r="B993" s="8"/>
    </row>
    <row r="994">
      <c r="B994" s="8"/>
    </row>
    <row r="995">
      <c r="B995" s="8"/>
    </row>
    <row r="996">
      <c r="B996" s="8"/>
    </row>
    <row r="997">
      <c r="B997" s="8"/>
    </row>
    <row r="998">
      <c r="B998" s="8"/>
    </row>
    <row r="999">
      <c r="B999" s="8"/>
    </row>
    <row r="1000">
      <c r="B1000" s="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3" max="8" width="12.63"/>
  </cols>
  <sheetData>
    <row r="1">
      <c r="A1" s="1" t="s">
        <v>0</v>
      </c>
      <c r="B1" s="2" t="s">
        <v>1</v>
      </c>
      <c r="C1" s="3" t="s">
        <v>15</v>
      </c>
      <c r="D1" s="4" t="s">
        <v>4</v>
      </c>
      <c r="E1" s="3" t="s">
        <v>16</v>
      </c>
      <c r="F1" s="3" t="s">
        <v>17</v>
      </c>
      <c r="G1" s="3" t="s">
        <v>18</v>
      </c>
      <c r="H1" s="2" t="s">
        <v>2</v>
      </c>
      <c r="I1" s="2" t="s">
        <v>3</v>
      </c>
      <c r="J1" s="5" t="s">
        <v>4</v>
      </c>
    </row>
    <row r="2">
      <c r="B2" s="6" t="s">
        <v>5</v>
      </c>
      <c r="C2" s="6" t="s">
        <v>19</v>
      </c>
      <c r="D2" s="7" t="s">
        <v>20</v>
      </c>
      <c r="E2" s="6" t="s">
        <v>21</v>
      </c>
      <c r="F2" s="6" t="s">
        <v>22</v>
      </c>
      <c r="H2" s="6" t="s">
        <v>23</v>
      </c>
      <c r="I2" s="8">
        <v>1.2466316E7</v>
      </c>
      <c r="J2" s="8">
        <v>12466.316</v>
      </c>
    </row>
    <row r="3">
      <c r="B3" s="6" t="s">
        <v>6</v>
      </c>
      <c r="C3" s="6" t="s">
        <v>24</v>
      </c>
      <c r="D3" s="7" t="s">
        <v>25</v>
      </c>
      <c r="E3" s="6" t="s">
        <v>26</v>
      </c>
      <c r="F3" s="6" t="s">
        <v>27</v>
      </c>
      <c r="H3" s="6" t="s">
        <v>28</v>
      </c>
      <c r="I3" s="8">
        <v>4752079.0</v>
      </c>
      <c r="J3" s="8">
        <v>4752.079</v>
      </c>
    </row>
    <row r="4">
      <c r="B4" s="6" t="s">
        <v>29</v>
      </c>
      <c r="C4" s="6" t="s">
        <v>30</v>
      </c>
      <c r="D4" s="7" t="s">
        <v>31</v>
      </c>
      <c r="E4" s="6" t="s">
        <v>32</v>
      </c>
      <c r="F4" s="6" t="s">
        <v>33</v>
      </c>
      <c r="H4" s="6" t="s">
        <v>34</v>
      </c>
      <c r="I4" s="8">
        <v>2648779.0</v>
      </c>
      <c r="J4" s="8">
        <v>2648.779</v>
      </c>
    </row>
    <row r="5">
      <c r="B5" s="6" t="s">
        <v>35</v>
      </c>
      <c r="C5" s="6" t="s">
        <v>36</v>
      </c>
      <c r="D5" s="7" t="s">
        <v>37</v>
      </c>
      <c r="E5" s="6" t="s">
        <v>38</v>
      </c>
      <c r="F5" s="6" t="s">
        <v>39</v>
      </c>
      <c r="H5" s="6" t="s">
        <v>40</v>
      </c>
      <c r="I5" s="8">
        <v>1942535.0</v>
      </c>
      <c r="J5" s="8">
        <v>1942.535</v>
      </c>
    </row>
    <row r="6">
      <c r="B6" s="6" t="s">
        <v>7</v>
      </c>
      <c r="C6" s="6" t="s">
        <v>41</v>
      </c>
      <c r="D6" s="7" t="s">
        <v>42</v>
      </c>
      <c r="E6" s="6" t="s">
        <v>43</v>
      </c>
      <c r="F6" s="6" t="s">
        <v>44</v>
      </c>
      <c r="H6" s="6" t="s">
        <v>45</v>
      </c>
      <c r="I6" s="8">
        <v>1084691.0</v>
      </c>
      <c r="J6" s="8">
        <v>1084.691</v>
      </c>
    </row>
    <row r="7">
      <c r="B7" s="6" t="s">
        <v>46</v>
      </c>
      <c r="C7" s="6" t="s">
        <v>47</v>
      </c>
      <c r="D7" s="7">
        <v>710831.0</v>
      </c>
      <c r="E7" s="6" t="s">
        <v>48</v>
      </c>
      <c r="F7" s="6" t="s">
        <v>49</v>
      </c>
      <c r="H7" s="6" t="s">
        <v>50</v>
      </c>
      <c r="I7" s="8">
        <v>710831.0</v>
      </c>
      <c r="J7" s="8">
        <v>710.831</v>
      </c>
    </row>
    <row r="8">
      <c r="B8" s="6" t="s">
        <v>8</v>
      </c>
      <c r="C8" s="6" t="s">
        <v>51</v>
      </c>
      <c r="D8" s="7">
        <v>665884.0</v>
      </c>
      <c r="E8" s="6" t="s">
        <v>52</v>
      </c>
      <c r="F8" s="6" t="s">
        <v>53</v>
      </c>
      <c r="H8" s="6" t="s">
        <v>54</v>
      </c>
      <c r="I8" s="8">
        <v>665884.0</v>
      </c>
      <c r="J8" s="8">
        <v>665.884</v>
      </c>
    </row>
    <row r="9">
      <c r="B9" s="6" t="s">
        <v>55</v>
      </c>
      <c r="C9" s="6" t="s">
        <v>56</v>
      </c>
      <c r="D9" s="7">
        <v>626800.0</v>
      </c>
      <c r="E9" s="6" t="s">
        <v>57</v>
      </c>
      <c r="F9" s="6" t="s">
        <v>58</v>
      </c>
      <c r="H9" s="6" t="s">
        <v>59</v>
      </c>
      <c r="I9" s="8">
        <v>626800.0</v>
      </c>
      <c r="J9" s="8">
        <v>626.8</v>
      </c>
    </row>
    <row r="10">
      <c r="B10" s="6" t="s">
        <v>60</v>
      </c>
      <c r="C10" s="6" t="s">
        <v>61</v>
      </c>
      <c r="D10" s="7">
        <v>586398.0</v>
      </c>
      <c r="E10" s="6" t="s">
        <v>62</v>
      </c>
      <c r="F10" s="6" t="s">
        <v>63</v>
      </c>
      <c r="H10" s="6" t="s">
        <v>64</v>
      </c>
      <c r="I10" s="8">
        <v>586398.0</v>
      </c>
      <c r="J10" s="8">
        <v>586.398</v>
      </c>
    </row>
    <row r="11">
      <c r="B11" s="6" t="s">
        <v>65</v>
      </c>
      <c r="C11" s="6" t="s">
        <v>66</v>
      </c>
      <c r="D11" s="7">
        <v>563538.0</v>
      </c>
      <c r="E11" s="6" t="s">
        <v>67</v>
      </c>
      <c r="F11" s="6" t="s">
        <v>68</v>
      </c>
      <c r="H11" s="6" t="s">
        <v>69</v>
      </c>
      <c r="I11" s="8">
        <v>563538.0</v>
      </c>
      <c r="J11" s="8">
        <v>563.538</v>
      </c>
    </row>
  </sheetData>
  <autoFilter ref="$A$1:$J$11">
    <sortState ref="A1:J11">
      <sortCondition descending="1" ref="I1:I11"/>
    </sortState>
  </autoFilter>
  <hyperlinks>
    <hyperlink r:id="rId1" ref="A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t="s">
        <v>70</v>
      </c>
      <c r="B1" s="11" t="s">
        <v>71</v>
      </c>
      <c r="C1" s="11" t="s">
        <v>72</v>
      </c>
      <c r="D1" s="12" t="s">
        <v>73</v>
      </c>
      <c r="E1" s="12" t="s">
        <v>74</v>
      </c>
    </row>
    <row r="2">
      <c r="A2" s="13">
        <v>43141.0</v>
      </c>
      <c r="B2" s="14">
        <v>50.0</v>
      </c>
      <c r="C2" s="14">
        <v>12.0</v>
      </c>
      <c r="D2" s="15">
        <v>32.0</v>
      </c>
      <c r="E2" s="15">
        <v>7.0</v>
      </c>
    </row>
    <row r="3">
      <c r="A3" s="13">
        <v>43142.0</v>
      </c>
      <c r="B3" s="14">
        <v>53.0</v>
      </c>
      <c r="C3" s="14">
        <v>13.0</v>
      </c>
      <c r="D3" s="15">
        <v>34.0</v>
      </c>
      <c r="E3" s="15">
        <v>7.0</v>
      </c>
    </row>
    <row r="4">
      <c r="A4" s="13">
        <v>43143.0</v>
      </c>
      <c r="B4" s="14">
        <v>60.0</v>
      </c>
      <c r="C4" s="14">
        <v>14.0</v>
      </c>
      <c r="D4" s="15">
        <v>33.0</v>
      </c>
      <c r="E4" s="15">
        <v>6.0</v>
      </c>
    </row>
    <row r="5">
      <c r="A5" s="13">
        <v>43144.0</v>
      </c>
      <c r="B5" s="14">
        <v>43.0</v>
      </c>
      <c r="C5" s="14">
        <v>12.0</v>
      </c>
      <c r="D5" s="15">
        <v>35.0</v>
      </c>
      <c r="E5" s="15">
        <v>5.0</v>
      </c>
    </row>
    <row r="6">
      <c r="A6" s="13">
        <v>43145.0</v>
      </c>
      <c r="B6" s="14">
        <v>45.0</v>
      </c>
      <c r="C6" s="14">
        <v>12.0</v>
      </c>
      <c r="D6" s="15">
        <v>36.0</v>
      </c>
      <c r="E6" s="15">
        <v>4.0</v>
      </c>
    </row>
    <row r="7">
      <c r="A7" s="13">
        <v>43146.0</v>
      </c>
      <c r="B7" s="14">
        <v>47.0</v>
      </c>
      <c r="C7" s="14">
        <v>11.0</v>
      </c>
      <c r="D7" s="15">
        <v>34.0</v>
      </c>
      <c r="E7" s="15">
        <v>8.0</v>
      </c>
    </row>
    <row r="8">
      <c r="A8" s="13">
        <v>43147.0</v>
      </c>
      <c r="B8" s="14">
        <v>43.0</v>
      </c>
      <c r="C8" s="14">
        <v>10.0</v>
      </c>
      <c r="D8" s="15">
        <v>33.0</v>
      </c>
      <c r="E8" s="15">
        <v>5.0</v>
      </c>
    </row>
    <row r="9">
      <c r="A9" s="13">
        <v>43148.0</v>
      </c>
      <c r="B9" s="14">
        <v>47.0</v>
      </c>
      <c r="C9" s="14">
        <v>12.0</v>
      </c>
      <c r="D9" s="15">
        <v>32.0</v>
      </c>
      <c r="E9" s="15">
        <v>7.0</v>
      </c>
    </row>
    <row r="10">
      <c r="A10" s="13">
        <v>43149.0</v>
      </c>
      <c r="B10" s="14">
        <v>53.0</v>
      </c>
      <c r="C10" s="14">
        <v>13.0</v>
      </c>
      <c r="D10" s="15">
        <v>33.0</v>
      </c>
      <c r="E10" s="15">
        <v>7.0</v>
      </c>
    </row>
    <row r="11">
      <c r="A11" s="13">
        <v>43150.0</v>
      </c>
      <c r="B11" s="14">
        <v>48.0</v>
      </c>
      <c r="C11" s="14">
        <v>15.0</v>
      </c>
      <c r="D11" s="15">
        <v>37.0</v>
      </c>
      <c r="E11" s="15">
        <v>5.0</v>
      </c>
    </row>
    <row r="12">
      <c r="A12" s="13">
        <v>43151.0</v>
      </c>
      <c r="B12" s="14">
        <v>43.0</v>
      </c>
      <c r="C12" s="14">
        <v>16.0</v>
      </c>
      <c r="D12" s="15">
        <v>38.0</v>
      </c>
      <c r="E12" s="15">
        <v>6.0</v>
      </c>
    </row>
    <row r="16">
      <c r="A16" s="16" t="s">
        <v>75</v>
      </c>
    </row>
  </sheetData>
  <mergeCells count="1">
    <mergeCell ref="A16:E20"/>
  </mergeCells>
  <drawing r:id="rId1"/>
</worksheet>
</file>