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il\Desktop\praca_CB\"/>
    </mc:Choice>
  </mc:AlternateContent>
  <bookViews>
    <workbookView xWindow="0" yWindow="0" windowWidth="28800" windowHeight="12450" activeTab="1"/>
  </bookViews>
  <sheets>
    <sheet name="CoCrFeMnNi" sheetId="1" r:id="rId1"/>
    <sheet name="Co10Cr10Fe20Mn30Ni30" sheetId="2" r:id="rId2"/>
    <sheet name="AlCrFeMnV" sheetId="3" r:id="rId3"/>
  </sheets>
  <calcPr calcId="162913"/>
</workbook>
</file>

<file path=xl/calcChain.xml><?xml version="1.0" encoding="utf-8"?>
<calcChain xmlns="http://schemas.openxmlformats.org/spreadsheetml/2006/main">
  <c r="N19" i="2" l="1"/>
  <c r="G2" i="2" l="1"/>
  <c r="N7" i="3" l="1"/>
  <c r="L7" i="3"/>
  <c r="K7" i="3"/>
  <c r="J7" i="3"/>
  <c r="I7" i="3"/>
  <c r="H7" i="3"/>
  <c r="I9" i="3" l="1"/>
  <c r="D29" i="2" l="1"/>
  <c r="K16" i="3" l="1"/>
  <c r="K16" i="1"/>
  <c r="I4" i="3" l="1"/>
  <c r="Q35" i="3" l="1"/>
  <c r="N35" i="3"/>
  <c r="O35" i="3"/>
  <c r="P35" i="3"/>
  <c r="M35" i="3"/>
  <c r="N33" i="3"/>
  <c r="J32" i="3"/>
  <c r="J17" i="3"/>
  <c r="J16" i="3"/>
  <c r="N35" i="2"/>
  <c r="O35" i="2"/>
  <c r="P35" i="2"/>
  <c r="Q35" i="2"/>
  <c r="M35" i="2"/>
  <c r="N14" i="2"/>
  <c r="N36" i="3" l="1"/>
  <c r="N29" i="3"/>
  <c r="O29" i="3"/>
  <c r="P29" i="3"/>
  <c r="Q29" i="3"/>
  <c r="N30" i="3" s="1"/>
  <c r="M29" i="3"/>
  <c r="N24" i="3"/>
  <c r="O24" i="3"/>
  <c r="P24" i="3"/>
  <c r="Q24" i="3"/>
  <c r="N25" i="3" s="1"/>
  <c r="M24" i="3"/>
  <c r="J39" i="3"/>
  <c r="J38" i="3"/>
  <c r="J37" i="3"/>
  <c r="J36" i="3"/>
  <c r="J34" i="3"/>
  <c r="J33" i="3"/>
  <c r="J31" i="3"/>
  <c r="J29" i="3"/>
  <c r="J28" i="3"/>
  <c r="J27" i="3"/>
  <c r="J26" i="3"/>
  <c r="J24" i="3"/>
  <c r="J23" i="3"/>
  <c r="J22" i="3"/>
  <c r="J21" i="3"/>
  <c r="J19" i="3"/>
  <c r="N18" i="3"/>
  <c r="J18" i="3"/>
  <c r="N17" i="3"/>
  <c r="N16" i="3"/>
  <c r="N15" i="3"/>
  <c r="N14" i="3"/>
  <c r="N19" i="3" s="1"/>
  <c r="N20" i="3" s="1"/>
  <c r="N29" i="2"/>
  <c r="O29" i="2"/>
  <c r="P29" i="2"/>
  <c r="Q29" i="2"/>
  <c r="M29" i="2"/>
  <c r="N25" i="2"/>
  <c r="N24" i="2"/>
  <c r="O24" i="2"/>
  <c r="P24" i="2"/>
  <c r="Q24" i="2"/>
  <c r="M24" i="2"/>
  <c r="N15" i="2"/>
  <c r="N16" i="2"/>
  <c r="N17" i="2"/>
  <c r="N18" i="2"/>
  <c r="J39" i="2"/>
  <c r="J38" i="2"/>
  <c r="J37" i="2"/>
  <c r="J36" i="2"/>
  <c r="J34" i="2"/>
  <c r="J33" i="2"/>
  <c r="J32" i="2"/>
  <c r="J31" i="2"/>
  <c r="J29" i="2"/>
  <c r="J28" i="2"/>
  <c r="J27" i="2"/>
  <c r="J26" i="2"/>
  <c r="J24" i="2"/>
  <c r="J23" i="2"/>
  <c r="J22" i="2"/>
  <c r="J21" i="2"/>
  <c r="J19" i="2"/>
  <c r="J18" i="2"/>
  <c r="J17" i="2"/>
  <c r="J16" i="2"/>
  <c r="H7" i="2"/>
  <c r="L7" i="2"/>
  <c r="I7" i="2"/>
  <c r="J7" i="2"/>
  <c r="K7" i="2"/>
  <c r="L3" i="2"/>
  <c r="K3" i="2"/>
  <c r="J3" i="2"/>
  <c r="I3" i="2"/>
  <c r="H3" i="2"/>
  <c r="M3" i="2"/>
  <c r="N33" i="2"/>
  <c r="N20" i="2"/>
  <c r="I4" i="2"/>
  <c r="K16" i="2" l="1"/>
  <c r="N30" i="2"/>
  <c r="N7" i="2"/>
  <c r="I9" i="2" s="1"/>
  <c r="N36" i="2"/>
  <c r="N36" i="1"/>
  <c r="N35" i="1"/>
  <c r="O35" i="1"/>
  <c r="P35" i="1"/>
  <c r="Q35" i="1"/>
  <c r="M35" i="1"/>
  <c r="N33" i="1"/>
  <c r="N30" i="1"/>
  <c r="N29" i="1"/>
  <c r="O29" i="1"/>
  <c r="P29" i="1"/>
  <c r="Q29" i="1"/>
  <c r="M29" i="1"/>
  <c r="N25" i="1"/>
  <c r="N24" i="1"/>
  <c r="O24" i="1"/>
  <c r="P24" i="1"/>
  <c r="Q24" i="1"/>
  <c r="M24" i="1"/>
  <c r="N20" i="1"/>
  <c r="N19" i="1"/>
  <c r="N15" i="1"/>
  <c r="N16" i="1"/>
  <c r="N17" i="1"/>
  <c r="N18" i="1"/>
  <c r="N14" i="1"/>
  <c r="J17" i="1"/>
  <c r="J18" i="1"/>
  <c r="J19" i="1"/>
  <c r="J21" i="1"/>
  <c r="J22" i="1"/>
  <c r="J23" i="1"/>
  <c r="J24" i="1"/>
  <c r="J26" i="1"/>
  <c r="J27" i="1"/>
  <c r="J28" i="1"/>
  <c r="J29" i="1"/>
  <c r="J31" i="1"/>
  <c r="J32" i="1"/>
  <c r="J33" i="1"/>
  <c r="J34" i="1"/>
  <c r="J36" i="1"/>
  <c r="J37" i="1"/>
  <c r="J38" i="1"/>
  <c r="J39" i="1"/>
  <c r="J16" i="1"/>
  <c r="H7" i="1"/>
  <c r="N7" i="1"/>
  <c r="I9" i="1" s="1"/>
  <c r="I7" i="1"/>
  <c r="J7" i="1"/>
  <c r="K7" i="1"/>
  <c r="L7" i="1"/>
  <c r="I4" i="1"/>
</calcChain>
</file>

<file path=xl/sharedStrings.xml><?xml version="1.0" encoding="utf-8"?>
<sst xmlns="http://schemas.openxmlformats.org/spreadsheetml/2006/main" count="348" uniqueCount="51">
  <si>
    <t>Co</t>
  </si>
  <si>
    <t>Cr</t>
  </si>
  <si>
    <t>Fe</t>
  </si>
  <si>
    <t>Mn</t>
  </si>
  <si>
    <t>Ni</t>
  </si>
  <si>
    <t>atomic radii</t>
  </si>
  <si>
    <t>VEC</t>
  </si>
  <si>
    <t>Tm</t>
  </si>
  <si>
    <t>Al.</t>
  </si>
  <si>
    <t>V</t>
  </si>
  <si>
    <t>1.28</t>
  </si>
  <si>
    <t>Obliczanie delty</t>
  </si>
  <si>
    <t>ci</t>
  </si>
  <si>
    <t>każdy stechiometrycznie, więc każdego 20%</t>
  </si>
  <si>
    <t>srednie r</t>
  </si>
  <si>
    <t>i=1</t>
  </si>
  <si>
    <t>i=2</t>
  </si>
  <si>
    <t>i=3</t>
  </si>
  <si>
    <t>i=4</t>
  </si>
  <si>
    <t>i=5</t>
  </si>
  <si>
    <t>suma i</t>
  </si>
  <si>
    <t>&gt;&gt;&gt;&gt;&gt;</t>
  </si>
  <si>
    <t>δ </t>
  </si>
  <si>
    <t>j=2</t>
  </si>
  <si>
    <t>j=3</t>
  </si>
  <si>
    <t>j=4</t>
  </si>
  <si>
    <t>j=5</t>
  </si>
  <si>
    <t>j=1</t>
  </si>
  <si>
    <t>ci, cj</t>
  </si>
  <si>
    <t>omega 0 ij</t>
  </si>
  <si>
    <t>ΔH</t>
  </si>
  <si>
    <t>ΔHmix</t>
  </si>
  <si>
    <t>ΔH ij</t>
  </si>
  <si>
    <t>ΔS</t>
  </si>
  <si>
    <t xml:space="preserve">Suma </t>
  </si>
  <si>
    <t>Pauling</t>
  </si>
  <si>
    <t>χ</t>
  </si>
  <si>
    <t>χ średnie</t>
  </si>
  <si>
    <t>Δχ</t>
  </si>
  <si>
    <t>Wyniki:</t>
  </si>
  <si>
    <t>c1</t>
  </si>
  <si>
    <t>c2</t>
  </si>
  <si>
    <t>c3</t>
  </si>
  <si>
    <t>c4</t>
  </si>
  <si>
    <t>c5</t>
  </si>
  <si>
    <t>csuma</t>
  </si>
  <si>
    <t>al.</t>
  </si>
  <si>
    <t>cr</t>
  </si>
  <si>
    <t>fe</t>
  </si>
  <si>
    <t>mn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</si>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</sst>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0"/>
  </numFmts>
  <fonts count="5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charset val="238"/>
    </font>
    <font>
      <b/>
      <sz val="11"/>
      <color rgb="FFFA7D00"/>
      <name val="Calibri"/>
      <family val="2"/>
      <charset val="238"/>
      <scheme val="minor"/>
    </font>
    <font>
      <sz val="11"/>
      <color rgb="FF222222"/>
      <name val="Arial"/>
      <family val="2"/>
      <charset val="238"/>
    </font>
    <font>
      <sz val="11"/>
      <color rgb="FF3F3F7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FFCC99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2" fillId="3" borderId="19" applyNumberFormat="0" applyAlignment="0" applyProtection="0"/>
    <xf numFmtId="0" fontId="4" fillId="5" borderId="19" applyNumberFormat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3" borderId="19" xfId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2" fontId="0" fillId="0" borderId="0" xfId="0" applyNumberFormat="1" applyBorder="1"/>
    <xf numFmtId="0" fontId="2" fillId="3" borderId="25" xfId="1" applyBorder="1"/>
    <xf numFmtId="0" fontId="2" fillId="3" borderId="26" xfId="1" applyBorder="1"/>
    <xf numFmtId="0" fontId="0" fillId="0" borderId="27" xfId="0" applyBorder="1"/>
    <xf numFmtId="0" fontId="0" fillId="0" borderId="28" xfId="0" applyBorder="1"/>
    <xf numFmtId="0" fontId="0" fillId="0" borderId="0" xfId="0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0" fillId="4" borderId="2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2" fillId="3" borderId="29" xfId="1" applyBorder="1"/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3" borderId="0" xfId="1" applyBorder="1"/>
    <xf numFmtId="0" fontId="3" fillId="0" borderId="20" xfId="0" applyFont="1" applyBorder="1"/>
    <xf numFmtId="0" fontId="3" fillId="0" borderId="23" xfId="0" applyFont="1" applyBorder="1"/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Fill="1" applyBorder="1"/>
    <xf numFmtId="0" fontId="0" fillId="0" borderId="3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5" borderId="19" xfId="2"/>
    <xf numFmtId="0" fontId="4" fillId="5" borderId="19" xfId="2" applyAlignment="1"/>
    <xf numFmtId="164" fontId="2" fillId="3" borderId="19" xfId="1" applyNumberFormat="1"/>
    <xf numFmtId="2" fontId="2" fillId="3" borderId="19" xfId="1" applyNumberFormat="1"/>
    <xf numFmtId="0" fontId="0" fillId="0" borderId="32" xfId="0" applyBorder="1"/>
    <xf numFmtId="165" fontId="2" fillId="3" borderId="19" xfId="1" applyNumberFormat="1"/>
    <xf numFmtId="1" fontId="2" fillId="3" borderId="19" xfId="1" applyNumberFormat="1"/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164" fontId="0" fillId="0" borderId="0" xfId="0" applyNumberFormat="1" applyBorder="1"/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0" xfId="0"/>
    <xf numFmtId="0" fontId="0" fillId="2" borderId="0" xfId="0" applyFill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/>
  </cellXfs>
  <cellStyles count="3">
    <cellStyle name="Dane wejściowe" xfId="2" builtinId="20"/>
    <cellStyle name="Normalny" xfId="0" builtinId="0"/>
    <cellStyle name="Obliczenia" xfId="1" builtin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85" zoomScaleNormal="85" workbookViewId="0">
      <selection activeCell="K17" sqref="K17"/>
    </sheetView>
  </sheetViews>
  <sheetFormatPr defaultRowHeight="14.25"/>
  <cols>
    <col min="1" max="1" width="10" bestFit="1" customWidth="1"/>
    <col min="8" max="8" width="9.25" bestFit="1" customWidth="1"/>
    <col min="14" max="14" width="12.25" bestFit="1" customWidth="1"/>
    <col min="21" max="21" width="9.25" bestFit="1" customWidth="1"/>
  </cols>
  <sheetData>
    <row r="1" spans="1:21" ht="15" thickBot="1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3" t="s">
        <v>4</v>
      </c>
      <c r="T1" s="70" t="s">
        <v>39</v>
      </c>
      <c r="U1" s="70"/>
    </row>
    <row r="2" spans="1:21" ht="15">
      <c r="A2" s="2" t="s">
        <v>5</v>
      </c>
      <c r="B2" s="3">
        <v>1.25</v>
      </c>
      <c r="C2" s="3">
        <v>1.28</v>
      </c>
      <c r="D2" s="3">
        <v>1.27</v>
      </c>
      <c r="E2" s="3">
        <v>1.26</v>
      </c>
      <c r="F2" s="4">
        <v>1.25</v>
      </c>
      <c r="H2" s="68" t="s">
        <v>11</v>
      </c>
      <c r="I2" s="69"/>
      <c r="J2" s="26"/>
      <c r="K2" s="26"/>
      <c r="L2" s="26"/>
      <c r="M2" s="26"/>
      <c r="N2" s="27"/>
      <c r="T2" s="25" t="s">
        <v>22</v>
      </c>
      <c r="U2" s="57">
        <v>0.92408112438119283</v>
      </c>
    </row>
    <row r="3" spans="1:21" ht="15.75" thickBot="1">
      <c r="A3" s="5" t="s">
        <v>6</v>
      </c>
      <c r="B3" s="6">
        <v>9</v>
      </c>
      <c r="C3" s="6">
        <v>6</v>
      </c>
      <c r="D3" s="6">
        <v>8</v>
      </c>
      <c r="E3" s="6">
        <v>7</v>
      </c>
      <c r="F3" s="7">
        <v>10</v>
      </c>
      <c r="H3" s="28" t="s">
        <v>12</v>
      </c>
      <c r="I3" s="29">
        <v>0.2</v>
      </c>
      <c r="J3" s="29" t="s">
        <v>13</v>
      </c>
      <c r="K3" s="29"/>
      <c r="L3" s="29"/>
      <c r="M3" s="29"/>
      <c r="N3" s="30"/>
      <c r="T3" s="25" t="s">
        <v>31</v>
      </c>
      <c r="U3" s="57">
        <v>-2.0960000000000001</v>
      </c>
    </row>
    <row r="4" spans="1:21" ht="15">
      <c r="A4" s="16" t="s">
        <v>0</v>
      </c>
      <c r="B4" s="14"/>
      <c r="C4" s="10">
        <v>-4.5</v>
      </c>
      <c r="D4" s="10">
        <v>-0.6</v>
      </c>
      <c r="E4" s="10">
        <v>-5.2</v>
      </c>
      <c r="F4" s="17">
        <v>-0.2</v>
      </c>
      <c r="H4" s="28" t="s">
        <v>14</v>
      </c>
      <c r="I4" s="31">
        <f>AVERAGE(B2:F2)</f>
        <v>1.262</v>
      </c>
      <c r="J4" s="29"/>
      <c r="K4" s="29"/>
      <c r="L4" s="29"/>
      <c r="M4" s="29"/>
      <c r="N4" s="30"/>
      <c r="T4" s="25" t="s">
        <v>33</v>
      </c>
      <c r="U4" s="57">
        <v>13.380866803977112</v>
      </c>
    </row>
    <row r="5" spans="1:21" ht="15">
      <c r="A5" s="18" t="s">
        <v>1</v>
      </c>
      <c r="B5" s="8"/>
      <c r="C5" s="9"/>
      <c r="D5" s="8">
        <v>-1.5</v>
      </c>
      <c r="E5" s="8">
        <v>2.1</v>
      </c>
      <c r="F5" s="19">
        <v>-6.7</v>
      </c>
      <c r="H5" s="28"/>
      <c r="I5" s="29"/>
      <c r="J5" s="29"/>
      <c r="K5" s="29"/>
      <c r="L5" s="29"/>
      <c r="M5" s="29"/>
      <c r="N5" s="30"/>
      <c r="T5" s="25" t="s">
        <v>7</v>
      </c>
      <c r="U5" s="60">
        <v>1801.2000000000003</v>
      </c>
    </row>
    <row r="6" spans="1:21" ht="15">
      <c r="A6" s="18" t="s">
        <v>2</v>
      </c>
      <c r="B6" s="8"/>
      <c r="C6" s="8"/>
      <c r="D6" s="9"/>
      <c r="E6" s="8">
        <v>0.2</v>
      </c>
      <c r="F6" s="19">
        <v>-1.6</v>
      </c>
      <c r="H6" s="28" t="s">
        <v>15</v>
      </c>
      <c r="I6" s="29" t="s">
        <v>16</v>
      </c>
      <c r="J6" s="29" t="s">
        <v>17</v>
      </c>
      <c r="K6" s="29" t="s">
        <v>18</v>
      </c>
      <c r="L6" s="29" t="s">
        <v>19</v>
      </c>
      <c r="M6" s="29" t="s">
        <v>21</v>
      </c>
      <c r="N6" s="30" t="s">
        <v>20</v>
      </c>
      <c r="T6" s="25" t="s">
        <v>6</v>
      </c>
      <c r="U6" s="59">
        <v>8</v>
      </c>
    </row>
    <row r="7" spans="1:21" ht="15">
      <c r="A7" s="18" t="s">
        <v>3</v>
      </c>
      <c r="B7" s="8"/>
      <c r="C7" s="8"/>
      <c r="D7" s="8"/>
      <c r="E7" s="9"/>
      <c r="F7" s="19">
        <v>-8.1999999999999993</v>
      </c>
      <c r="H7" s="28">
        <f>$I$3*(1-(B2/$I$4))^2</f>
        <v>1.8083137223384748E-5</v>
      </c>
      <c r="I7" s="29">
        <f t="shared" ref="I7:L7" si="0">$I$3*(1-(C2/$I$4))^2</f>
        <v>4.0687058752615374E-5</v>
      </c>
      <c r="J7" s="29">
        <f t="shared" si="0"/>
        <v>8.0369498770598891E-6</v>
      </c>
      <c r="K7" s="29">
        <f t="shared" si="0"/>
        <v>5.0230936731620792E-7</v>
      </c>
      <c r="L7" s="29">
        <f t="shared" si="0"/>
        <v>1.8083137223384748E-5</v>
      </c>
      <c r="M7" s="29" t="s">
        <v>21</v>
      </c>
      <c r="N7" s="30">
        <f>SUM(H7:L7)</f>
        <v>8.5392592443760972E-5</v>
      </c>
      <c r="T7" s="25" t="s">
        <v>38</v>
      </c>
      <c r="U7" s="57">
        <v>0.1383618444514238</v>
      </c>
    </row>
    <row r="8" spans="1:21" ht="15" thickBot="1">
      <c r="A8" s="20" t="s">
        <v>4</v>
      </c>
      <c r="B8" s="1"/>
      <c r="C8" s="1"/>
      <c r="D8" s="1"/>
      <c r="E8" s="1"/>
      <c r="F8" s="21"/>
      <c r="H8" s="28"/>
      <c r="I8" s="29"/>
      <c r="J8" s="29"/>
      <c r="K8" s="29"/>
      <c r="L8" s="29"/>
      <c r="M8" s="29"/>
      <c r="N8" s="30"/>
    </row>
    <row r="9" spans="1:21" ht="15.75" thickBot="1">
      <c r="A9" s="11" t="s">
        <v>7</v>
      </c>
      <c r="B9" s="12">
        <v>1768</v>
      </c>
      <c r="C9" s="12">
        <v>2180</v>
      </c>
      <c r="D9" s="12">
        <v>1811</v>
      </c>
      <c r="E9" s="12">
        <v>1519</v>
      </c>
      <c r="F9" s="15">
        <v>1728</v>
      </c>
      <c r="H9" s="32" t="s">
        <v>22</v>
      </c>
      <c r="I9" s="33">
        <f>100*SQRT(N7)</f>
        <v>0.92408112438119283</v>
      </c>
      <c r="J9" s="34"/>
      <c r="K9" s="34"/>
      <c r="L9" s="34"/>
      <c r="M9" s="34"/>
      <c r="N9" s="35"/>
    </row>
    <row r="10" spans="1:21" ht="15">
      <c r="A10" s="40" t="s">
        <v>35</v>
      </c>
      <c r="B10" s="40">
        <v>1.88</v>
      </c>
      <c r="C10" s="40">
        <v>1.66</v>
      </c>
      <c r="D10" s="40">
        <v>1.83</v>
      </c>
      <c r="E10" s="40">
        <v>1.55</v>
      </c>
      <c r="F10" s="36">
        <v>1.91</v>
      </c>
      <c r="H10" s="46"/>
      <c r="I10" s="46"/>
      <c r="J10" s="29"/>
      <c r="K10" s="29"/>
      <c r="L10" s="29"/>
      <c r="M10" s="29"/>
      <c r="N10" s="29"/>
    </row>
    <row r="11" spans="1:21" ht="15" thickBot="1"/>
    <row r="12" spans="1:21" ht="15" thickBot="1">
      <c r="A12" s="11"/>
      <c r="B12" s="12" t="s">
        <v>8</v>
      </c>
      <c r="C12" s="12" t="s">
        <v>1</v>
      </c>
      <c r="D12" s="12" t="s">
        <v>2</v>
      </c>
      <c r="E12" s="12" t="s">
        <v>3</v>
      </c>
      <c r="F12" s="13" t="s">
        <v>9</v>
      </c>
    </row>
    <row r="13" spans="1:21">
      <c r="A13" s="2" t="s">
        <v>5</v>
      </c>
      <c r="B13" s="3">
        <v>1.43</v>
      </c>
      <c r="C13" s="3" t="s">
        <v>10</v>
      </c>
      <c r="D13" s="3">
        <v>1.27</v>
      </c>
      <c r="E13" s="3">
        <v>1.26</v>
      </c>
      <c r="F13" s="4">
        <v>1.35</v>
      </c>
      <c r="H13" s="37" t="s">
        <v>30</v>
      </c>
      <c r="I13" s="38" t="s">
        <v>28</v>
      </c>
      <c r="J13" s="38">
        <v>0.2</v>
      </c>
      <c r="K13" s="27"/>
      <c r="M13" s="37" t="s">
        <v>33</v>
      </c>
      <c r="N13" s="26"/>
      <c r="O13" s="27">
        <v>8.3140000000000001</v>
      </c>
    </row>
    <row r="14" spans="1:21" ht="15" thickBot="1">
      <c r="A14" s="5" t="s">
        <v>6</v>
      </c>
      <c r="B14" s="6">
        <v>3</v>
      </c>
      <c r="C14" s="6">
        <v>6</v>
      </c>
      <c r="D14" s="6">
        <v>8</v>
      </c>
      <c r="E14" s="6">
        <v>7</v>
      </c>
      <c r="F14" s="7">
        <v>5</v>
      </c>
      <c r="H14" s="28"/>
      <c r="I14" s="29"/>
      <c r="J14" s="29"/>
      <c r="K14" s="30"/>
      <c r="M14" s="28" t="s">
        <v>15</v>
      </c>
      <c r="N14" s="29">
        <f>$J$13*LN($J$13)</f>
        <v>-0.32188758248682009</v>
      </c>
      <c r="O14" s="30"/>
    </row>
    <row r="15" spans="1:21" ht="15">
      <c r="A15" s="16" t="s">
        <v>0</v>
      </c>
      <c r="B15" s="14"/>
      <c r="C15" s="10">
        <v>-9.9</v>
      </c>
      <c r="D15" s="10">
        <v>-11.1</v>
      </c>
      <c r="E15" s="10">
        <v>-19.100000000000001</v>
      </c>
      <c r="F15" s="17">
        <v>-16.3</v>
      </c>
      <c r="H15" s="39" t="s">
        <v>15</v>
      </c>
      <c r="I15" s="40" t="s">
        <v>29</v>
      </c>
      <c r="J15" s="41" t="s">
        <v>32</v>
      </c>
      <c r="K15" s="42" t="s">
        <v>31</v>
      </c>
      <c r="M15" s="28" t="s">
        <v>16</v>
      </c>
      <c r="N15" s="29">
        <f t="shared" ref="N15:N18" si="1">$J$13*LN($J$13)</f>
        <v>-0.32188758248682009</v>
      </c>
      <c r="O15" s="30"/>
    </row>
    <row r="16" spans="1:21" ht="15">
      <c r="A16" s="18" t="s">
        <v>1</v>
      </c>
      <c r="B16" s="8"/>
      <c r="C16" s="9"/>
      <c r="D16" s="8">
        <v>-1.5</v>
      </c>
      <c r="E16" s="8">
        <v>2.1</v>
      </c>
      <c r="F16" s="19">
        <v>-2</v>
      </c>
      <c r="H16" s="43" t="s">
        <v>23</v>
      </c>
      <c r="I16" s="36">
        <v>-4.5</v>
      </c>
      <c r="J16" s="29">
        <f>I16*$J$13*$J$13</f>
        <v>-0.18000000000000002</v>
      </c>
      <c r="K16" s="42">
        <f>SUM(J16:J39)*2</f>
        <v>-4.1920000000000002</v>
      </c>
      <c r="M16" s="28" t="s">
        <v>17</v>
      </c>
      <c r="N16" s="29">
        <f t="shared" si="1"/>
        <v>-0.32188758248682009</v>
      </c>
      <c r="O16" s="30"/>
    </row>
    <row r="17" spans="1:17">
      <c r="A17" s="18" t="s">
        <v>2</v>
      </c>
      <c r="B17" s="8"/>
      <c r="C17" s="8"/>
      <c r="D17" s="9"/>
      <c r="E17" s="8">
        <v>0.2</v>
      </c>
      <c r="F17" s="19">
        <v>-7.1</v>
      </c>
      <c r="H17" s="43" t="s">
        <v>24</v>
      </c>
      <c r="I17" s="40">
        <v>-0.6</v>
      </c>
      <c r="J17" s="29">
        <f>I17*$J$13*$J$13</f>
        <v>-2.4E-2</v>
      </c>
      <c r="K17" s="30"/>
      <c r="M17" s="28" t="s">
        <v>18</v>
      </c>
      <c r="N17" s="29">
        <f t="shared" si="1"/>
        <v>-0.32188758248682009</v>
      </c>
      <c r="O17" s="30"/>
    </row>
    <row r="18" spans="1:17">
      <c r="A18" s="18" t="s">
        <v>3</v>
      </c>
      <c r="B18" s="8"/>
      <c r="C18" s="8"/>
      <c r="D18" s="8"/>
      <c r="E18" s="9"/>
      <c r="F18" s="19">
        <v>-0.7</v>
      </c>
      <c r="H18" s="43" t="s">
        <v>25</v>
      </c>
      <c r="I18" s="40">
        <v>-5.2</v>
      </c>
      <c r="J18" s="29">
        <f>I18*$J$13*$J$13</f>
        <v>-0.20800000000000002</v>
      </c>
      <c r="K18" s="30"/>
      <c r="M18" s="28" t="s">
        <v>19</v>
      </c>
      <c r="N18" s="29">
        <f t="shared" si="1"/>
        <v>-0.32188758248682009</v>
      </c>
      <c r="O18" s="30"/>
    </row>
    <row r="19" spans="1:17" ht="15" thickBot="1">
      <c r="A19" s="20" t="s">
        <v>4</v>
      </c>
      <c r="B19" s="1"/>
      <c r="C19" s="1"/>
      <c r="D19" s="1"/>
      <c r="E19" s="1"/>
      <c r="F19" s="21"/>
      <c r="H19" s="43" t="s">
        <v>26</v>
      </c>
      <c r="I19" s="40">
        <v>-0.2</v>
      </c>
      <c r="J19" s="29">
        <f>I19*$J$13*$J$13</f>
        <v>-8.0000000000000019E-3</v>
      </c>
      <c r="K19" s="30"/>
      <c r="M19" s="28" t="s">
        <v>34</v>
      </c>
      <c r="N19" s="29">
        <f>SUM(N14:N18)</f>
        <v>-1.6094379124341005</v>
      </c>
      <c r="O19" s="30"/>
    </row>
    <row r="20" spans="1:17" ht="15.75" thickBot="1">
      <c r="A20" s="22" t="s">
        <v>7</v>
      </c>
      <c r="B20" s="23">
        <v>933.47</v>
      </c>
      <c r="C20" s="23">
        <v>2180</v>
      </c>
      <c r="D20" s="23">
        <v>1811</v>
      </c>
      <c r="E20" s="23">
        <v>1519</v>
      </c>
      <c r="F20" s="24">
        <v>2183</v>
      </c>
      <c r="H20" s="39" t="s">
        <v>16</v>
      </c>
      <c r="I20" s="40"/>
      <c r="J20" s="29"/>
      <c r="K20" s="30"/>
      <c r="M20" s="32" t="s">
        <v>33</v>
      </c>
      <c r="N20" s="33">
        <f>-O13*N19</f>
        <v>13.380866803977112</v>
      </c>
      <c r="O20" s="35"/>
    </row>
    <row r="21" spans="1:17">
      <c r="H21" s="43" t="s">
        <v>27</v>
      </c>
      <c r="I21" s="40">
        <v>-4.5</v>
      </c>
      <c r="J21" s="29">
        <f>I21*$J$13*$J$13</f>
        <v>-0.18000000000000002</v>
      </c>
      <c r="K21" s="30"/>
    </row>
    <row r="22" spans="1:17">
      <c r="H22" s="43" t="s">
        <v>24</v>
      </c>
      <c r="I22" s="40">
        <v>-1.5</v>
      </c>
      <c r="J22" s="29">
        <f>I22*$J$13*$J$13</f>
        <v>-6.0000000000000012E-2</v>
      </c>
      <c r="K22" s="30"/>
      <c r="M22" s="37" t="s">
        <v>7</v>
      </c>
      <c r="N22" s="26"/>
      <c r="O22" s="26"/>
      <c r="P22" s="26"/>
      <c r="Q22" s="27"/>
    </row>
    <row r="23" spans="1:17">
      <c r="H23" s="43" t="s">
        <v>25</v>
      </c>
      <c r="I23" s="40">
        <v>2.1</v>
      </c>
      <c r="J23" s="29">
        <f>I23*$J$13*$J$13</f>
        <v>8.4000000000000019E-2</v>
      </c>
      <c r="K23" s="30"/>
      <c r="M23" s="28" t="s">
        <v>15</v>
      </c>
      <c r="N23" s="29" t="s">
        <v>16</v>
      </c>
      <c r="O23" s="29" t="s">
        <v>17</v>
      </c>
      <c r="P23" s="29" t="s">
        <v>18</v>
      </c>
      <c r="Q23" s="30" t="s">
        <v>19</v>
      </c>
    </row>
    <row r="24" spans="1:17">
      <c r="H24" s="43" t="s">
        <v>26</v>
      </c>
      <c r="I24" s="40">
        <v>-6.7</v>
      </c>
      <c r="J24" s="29">
        <f>I24*$J$13*$J$13</f>
        <v>-0.26800000000000002</v>
      </c>
      <c r="K24" s="30"/>
      <c r="M24" s="28">
        <f>$I$3*B9</f>
        <v>353.6</v>
      </c>
      <c r="N24" s="29">
        <f t="shared" ref="N24:Q24" si="2">$I$3*C9</f>
        <v>436</v>
      </c>
      <c r="O24" s="29">
        <f t="shared" si="2"/>
        <v>362.20000000000005</v>
      </c>
      <c r="P24" s="29">
        <f t="shared" si="2"/>
        <v>303.8</v>
      </c>
      <c r="Q24" s="30">
        <f t="shared" si="2"/>
        <v>345.6</v>
      </c>
    </row>
    <row r="25" spans="1:17" ht="15">
      <c r="H25" s="39" t="s">
        <v>17</v>
      </c>
      <c r="I25" s="40"/>
      <c r="J25" s="29"/>
      <c r="K25" s="30"/>
      <c r="M25" s="32" t="s">
        <v>7</v>
      </c>
      <c r="N25" s="33">
        <f>SUM(M24:Q24)</f>
        <v>1801.2000000000003</v>
      </c>
      <c r="O25" s="34"/>
      <c r="P25" s="34"/>
      <c r="Q25" s="35"/>
    </row>
    <row r="26" spans="1:17">
      <c r="H26" s="43" t="s">
        <v>27</v>
      </c>
      <c r="I26" s="40">
        <v>-0.6</v>
      </c>
      <c r="J26" s="29">
        <f>I26*$J$13*$J$13</f>
        <v>-2.4E-2</v>
      </c>
      <c r="K26" s="30"/>
    </row>
    <row r="27" spans="1:17">
      <c r="H27" s="43" t="s">
        <v>23</v>
      </c>
      <c r="I27" s="40">
        <v>-1.5</v>
      </c>
      <c r="J27" s="29">
        <f>I27*$J$13*$J$13</f>
        <v>-6.0000000000000012E-2</v>
      </c>
      <c r="K27" s="30"/>
      <c r="M27" s="37" t="s">
        <v>6</v>
      </c>
      <c r="N27" s="26"/>
      <c r="O27" s="26"/>
      <c r="P27" s="26"/>
      <c r="Q27" s="27"/>
    </row>
    <row r="28" spans="1:17">
      <c r="H28" s="43" t="s">
        <v>25</v>
      </c>
      <c r="I28" s="40">
        <v>0.2</v>
      </c>
      <c r="J28" s="29">
        <f>I28*$J$13*$J$13</f>
        <v>8.0000000000000019E-3</v>
      </c>
      <c r="K28" s="30"/>
      <c r="M28" s="28" t="s">
        <v>15</v>
      </c>
      <c r="N28" s="29" t="s">
        <v>16</v>
      </c>
      <c r="O28" s="29" t="s">
        <v>17</v>
      </c>
      <c r="P28" s="29" t="s">
        <v>18</v>
      </c>
      <c r="Q28" s="30" t="s">
        <v>19</v>
      </c>
    </row>
    <row r="29" spans="1:17">
      <c r="H29" s="43" t="s">
        <v>26</v>
      </c>
      <c r="I29" s="40">
        <v>-1.6</v>
      </c>
      <c r="J29" s="29">
        <f>I29*$J$13*$J$13</f>
        <v>-6.4000000000000015E-2</v>
      </c>
      <c r="K29" s="30"/>
      <c r="M29" s="28">
        <f>$I$3*B3</f>
        <v>1.8</v>
      </c>
      <c r="N29" s="29">
        <f t="shared" ref="N29:Q29" si="3">$I$3*C3</f>
        <v>1.2000000000000002</v>
      </c>
      <c r="O29" s="29">
        <f t="shared" si="3"/>
        <v>1.6</v>
      </c>
      <c r="P29" s="29">
        <f t="shared" si="3"/>
        <v>1.4000000000000001</v>
      </c>
      <c r="Q29" s="30">
        <f t="shared" si="3"/>
        <v>2</v>
      </c>
    </row>
    <row r="30" spans="1:17" ht="15">
      <c r="H30" s="39" t="s">
        <v>18</v>
      </c>
      <c r="I30" s="40"/>
      <c r="J30" s="29"/>
      <c r="K30" s="30"/>
      <c r="M30" s="25" t="s">
        <v>6</v>
      </c>
      <c r="N30" s="25">
        <f>SUM(M29:Q29)</f>
        <v>8</v>
      </c>
      <c r="O30" s="34"/>
      <c r="P30" s="34"/>
      <c r="Q30" s="35"/>
    </row>
    <row r="31" spans="1:17">
      <c r="H31" s="43" t="s">
        <v>27</v>
      </c>
      <c r="I31" s="40">
        <v>-5.2</v>
      </c>
      <c r="J31" s="29">
        <f>I31*$J$13*$J$13</f>
        <v>-0.20800000000000002</v>
      </c>
      <c r="K31" s="30"/>
    </row>
    <row r="32" spans="1:17">
      <c r="H32" s="43" t="s">
        <v>23</v>
      </c>
      <c r="I32" s="40">
        <v>2.1</v>
      </c>
      <c r="J32" s="29">
        <f>I32*$J$13*$J$13</f>
        <v>8.4000000000000019E-2</v>
      </c>
      <c r="K32" s="30"/>
      <c r="M32" s="47" t="s">
        <v>36</v>
      </c>
      <c r="N32" s="26"/>
      <c r="O32" s="26"/>
      <c r="P32" s="26"/>
      <c r="Q32" s="27"/>
    </row>
    <row r="33" spans="8:17">
      <c r="H33" s="43" t="s">
        <v>24</v>
      </c>
      <c r="I33" s="40">
        <v>0.2</v>
      </c>
      <c r="J33" s="29">
        <f>I33*$J$13*$J$13</f>
        <v>8.0000000000000019E-3</v>
      </c>
      <c r="K33" s="30"/>
      <c r="M33" s="48" t="s">
        <v>37</v>
      </c>
      <c r="N33" s="29">
        <f>AVERAGE(B10:F10)</f>
        <v>1.766</v>
      </c>
      <c r="O33" s="29"/>
      <c r="P33" s="29"/>
      <c r="Q33" s="30"/>
    </row>
    <row r="34" spans="8:17">
      <c r="H34" s="43" t="s">
        <v>26</v>
      </c>
      <c r="I34" s="40">
        <v>-8.1999999999999993</v>
      </c>
      <c r="J34" s="29">
        <f>I34*$J$13*$J$13</f>
        <v>-0.32800000000000001</v>
      </c>
      <c r="K34" s="30"/>
      <c r="M34" s="28" t="s">
        <v>15</v>
      </c>
      <c r="N34" s="29" t="s">
        <v>16</v>
      </c>
      <c r="O34" s="29" t="s">
        <v>17</v>
      </c>
      <c r="P34" s="29" t="s">
        <v>18</v>
      </c>
      <c r="Q34" s="30" t="s">
        <v>19</v>
      </c>
    </row>
    <row r="35" spans="8:17">
      <c r="H35" s="39" t="s">
        <v>19</v>
      </c>
      <c r="I35" s="40"/>
      <c r="J35" s="29"/>
      <c r="K35" s="30"/>
      <c r="M35" s="43">
        <f>$I$3*(B10-$N$33)^2</f>
        <v>2.5991999999999947E-3</v>
      </c>
      <c r="N35" s="40">
        <f t="shared" ref="N35:Q35" si="4">$I$3*(C10-$N$33)^2</f>
        <v>2.2472000000000043E-3</v>
      </c>
      <c r="O35" s="40">
        <f t="shared" si="4"/>
        <v>8.1920000000000159E-4</v>
      </c>
      <c r="P35" s="40">
        <f t="shared" si="4"/>
        <v>9.3311999999999978E-3</v>
      </c>
      <c r="Q35" s="49">
        <f t="shared" si="4"/>
        <v>4.147199999999995E-3</v>
      </c>
    </row>
    <row r="36" spans="8:17" ht="15">
      <c r="H36" s="43" t="s">
        <v>27</v>
      </c>
      <c r="I36" s="40">
        <v>-0.2</v>
      </c>
      <c r="J36" s="29">
        <f>I36*$J$13*$J$13</f>
        <v>-8.0000000000000019E-3</v>
      </c>
      <c r="K36" s="30"/>
      <c r="M36" s="32" t="s">
        <v>38</v>
      </c>
      <c r="N36" s="33">
        <f>SQRT(SUM(M35:Q35))</f>
        <v>0.1383618444514238</v>
      </c>
      <c r="O36" s="34"/>
      <c r="P36" s="34"/>
      <c r="Q36" s="35"/>
    </row>
    <row r="37" spans="8:17">
      <c r="H37" s="43" t="s">
        <v>23</v>
      </c>
      <c r="I37" s="40">
        <v>-6.7</v>
      </c>
      <c r="J37" s="29">
        <f>I37*$J$13*$J$13</f>
        <v>-0.26800000000000002</v>
      </c>
      <c r="K37" s="30"/>
    </row>
    <row r="38" spans="8:17">
      <c r="H38" s="43" t="s">
        <v>24</v>
      </c>
      <c r="I38" s="40">
        <v>-1.6</v>
      </c>
      <c r="J38" s="29">
        <f>I38*$J$13*$J$13</f>
        <v>-6.4000000000000015E-2</v>
      </c>
      <c r="K38" s="30"/>
    </row>
    <row r="39" spans="8:17">
      <c r="H39" s="44" t="s">
        <v>25</v>
      </c>
      <c r="I39" s="45">
        <v>-8.1999999999999993</v>
      </c>
      <c r="J39" s="34">
        <f>I39*$J$13*$J$13</f>
        <v>-0.32800000000000001</v>
      </c>
      <c r="K39" s="35"/>
    </row>
  </sheetData>
  <mergeCells count="2">
    <mergeCell ref="H2:I2"/>
    <mergeCell ref="T1:U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zoomScale="85" zoomScaleNormal="85" workbookViewId="0">
      <selection activeCell="O13" sqref="O13"/>
    </sheetView>
  </sheetViews>
  <sheetFormatPr defaultRowHeight="14.25"/>
  <cols>
    <col min="8" max="8" width="12.25" bestFit="1" customWidth="1"/>
    <col min="12" max="12" width="12.25" bestFit="1" customWidth="1"/>
  </cols>
  <sheetData>
    <row r="1" spans="1:21" ht="15" thickBot="1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3" t="s">
        <v>4</v>
      </c>
      <c r="T1" s="70" t="s">
        <v>39</v>
      </c>
      <c r="U1" s="70"/>
    </row>
    <row r="2" spans="1:21" ht="15">
      <c r="A2" s="2" t="s">
        <v>5</v>
      </c>
      <c r="B2" s="3">
        <v>1.25</v>
      </c>
      <c r="C2" s="3">
        <v>1.28</v>
      </c>
      <c r="D2" s="3">
        <v>1.27</v>
      </c>
      <c r="E2" s="3">
        <v>1.26</v>
      </c>
      <c r="F2" s="4">
        <v>1.25</v>
      </c>
      <c r="G2">
        <f>SUM(B2:F2)</f>
        <v>6.3100000000000005</v>
      </c>
      <c r="H2" s="55" t="s">
        <v>40</v>
      </c>
      <c r="I2" s="55" t="s">
        <v>41</v>
      </c>
      <c r="J2" s="54" t="s">
        <v>42</v>
      </c>
      <c r="K2" s="54" t="s">
        <v>43</v>
      </c>
      <c r="L2" s="54" t="s">
        <v>44</v>
      </c>
      <c r="M2" s="26" t="s">
        <v>45</v>
      </c>
      <c r="N2" s="27"/>
      <c r="O2" s="54" t="s">
        <v>40</v>
      </c>
      <c r="P2" s="54">
        <v>0.1</v>
      </c>
      <c r="T2" s="25" t="s">
        <v>22</v>
      </c>
      <c r="U2" s="57">
        <v>0.80808550136177659</v>
      </c>
    </row>
    <row r="3" spans="1:21" ht="15.75" thickBot="1">
      <c r="A3" s="5" t="s">
        <v>6</v>
      </c>
      <c r="B3" s="6">
        <v>9</v>
      </c>
      <c r="C3" s="6">
        <v>6</v>
      </c>
      <c r="D3" s="6">
        <v>8</v>
      </c>
      <c r="E3" s="6">
        <v>7</v>
      </c>
      <c r="F3" s="7">
        <v>10</v>
      </c>
      <c r="H3" s="54">
        <f>10/M3</f>
        <v>0.1</v>
      </c>
      <c r="I3" s="54">
        <f>10/M3</f>
        <v>0.1</v>
      </c>
      <c r="J3" s="54">
        <f>20/M3</f>
        <v>0.2</v>
      </c>
      <c r="K3" s="54">
        <f>30/M3</f>
        <v>0.3</v>
      </c>
      <c r="L3" s="54">
        <f>30/M3</f>
        <v>0.3</v>
      </c>
      <c r="M3" s="29">
        <f>10+10+20+30+30</f>
        <v>100</v>
      </c>
      <c r="N3" s="30"/>
      <c r="O3" s="54" t="s">
        <v>41</v>
      </c>
      <c r="P3" s="54">
        <v>0.1</v>
      </c>
      <c r="T3" s="25" t="s">
        <v>31</v>
      </c>
      <c r="U3" s="57">
        <v>-4.8359999999999994</v>
      </c>
    </row>
    <row r="4" spans="1:21" ht="15">
      <c r="A4" s="16" t="s">
        <v>0</v>
      </c>
      <c r="B4" s="14"/>
      <c r="C4" s="10">
        <v>-4.5</v>
      </c>
      <c r="D4" s="10">
        <v>-0.6</v>
      </c>
      <c r="E4" s="10">
        <v>-5.2</v>
      </c>
      <c r="F4" s="17">
        <v>-0.2</v>
      </c>
      <c r="H4" s="28" t="s">
        <v>14</v>
      </c>
      <c r="I4" s="63">
        <f>AVERAGE(B2:F2)</f>
        <v>1.262</v>
      </c>
      <c r="J4" s="29"/>
      <c r="K4" s="29"/>
      <c r="L4" s="29"/>
      <c r="M4" s="29"/>
      <c r="N4" s="30"/>
      <c r="O4" s="54" t="s">
        <v>42</v>
      </c>
      <c r="P4" s="54">
        <v>0.2</v>
      </c>
      <c r="T4" s="25" t="s">
        <v>33</v>
      </c>
      <c r="U4" s="57">
        <v>12.510809790525419</v>
      </c>
    </row>
    <row r="5" spans="1:21" ht="15">
      <c r="A5" s="18" t="s">
        <v>1</v>
      </c>
      <c r="B5" s="8"/>
      <c r="C5" s="9"/>
      <c r="D5" s="8">
        <v>-1.5</v>
      </c>
      <c r="E5" s="8">
        <v>2.1</v>
      </c>
      <c r="F5" s="19">
        <v>-6.7</v>
      </c>
      <c r="H5" s="28"/>
      <c r="I5" s="29"/>
      <c r="J5" s="29"/>
      <c r="K5" s="29"/>
      <c r="L5" s="29"/>
      <c r="M5" s="29"/>
      <c r="N5" s="30"/>
      <c r="O5" s="54" t="s">
        <v>43</v>
      </c>
      <c r="P5" s="54">
        <v>0.3</v>
      </c>
      <c r="T5" s="25" t="s">
        <v>7</v>
      </c>
      <c r="U5" s="60">
        <v>1731.1</v>
      </c>
    </row>
    <row r="6" spans="1:21" ht="15">
      <c r="A6" s="18" t="s">
        <v>2</v>
      </c>
      <c r="B6" s="8"/>
      <c r="C6" s="8"/>
      <c r="D6" s="9"/>
      <c r="E6" s="8">
        <v>0.2</v>
      </c>
      <c r="F6" s="19">
        <v>-1.6</v>
      </c>
      <c r="H6" s="28" t="s">
        <v>15</v>
      </c>
      <c r="I6" s="29" t="s">
        <v>16</v>
      </c>
      <c r="J6" s="29" t="s">
        <v>17</v>
      </c>
      <c r="K6" s="29" t="s">
        <v>18</v>
      </c>
      <c r="L6" s="29" t="s">
        <v>19</v>
      </c>
      <c r="M6" s="29" t="s">
        <v>21</v>
      </c>
      <c r="N6" s="30" t="s">
        <v>20</v>
      </c>
      <c r="O6" s="54" t="s">
        <v>44</v>
      </c>
      <c r="P6" s="54">
        <v>0.3</v>
      </c>
      <c r="T6" s="25" t="s">
        <v>6</v>
      </c>
      <c r="U6" s="25">
        <v>8.1999999999999993</v>
      </c>
    </row>
    <row r="7" spans="1:21" ht="15">
      <c r="A7" s="18" t="s">
        <v>3</v>
      </c>
      <c r="B7" s="8"/>
      <c r="C7" s="8"/>
      <c r="D7" s="8"/>
      <c r="E7" s="9"/>
      <c r="F7" s="19">
        <v>-8.1999999999999993</v>
      </c>
      <c r="H7" s="28">
        <f>H3*(1-(B2/$I$4))^2</f>
        <v>9.0415686116923738E-6</v>
      </c>
      <c r="I7" s="28">
        <f t="shared" ref="I7:K7" si="0">I3*(1-(C2/$I$4))^2</f>
        <v>2.0343529376307687E-5</v>
      </c>
      <c r="J7" s="28">
        <f t="shared" si="0"/>
        <v>8.0369498770598891E-6</v>
      </c>
      <c r="K7" s="28">
        <f t="shared" si="0"/>
        <v>7.5346405097431172E-7</v>
      </c>
      <c r="L7" s="28">
        <f>L3*(1-(F2/$I$4))^2</f>
        <v>2.7124705835077123E-5</v>
      </c>
      <c r="M7" s="29" t="s">
        <v>21</v>
      </c>
      <c r="N7" s="30">
        <f>SUM(H7:L7)</f>
        <v>6.5300217751111387E-5</v>
      </c>
      <c r="T7" s="25" t="s">
        <v>38</v>
      </c>
      <c r="U7" s="57">
        <v>0.1531665759883663</v>
      </c>
    </row>
    <row r="8" spans="1:21" ht="15" thickBot="1">
      <c r="A8" s="20" t="s">
        <v>4</v>
      </c>
      <c r="B8" s="1"/>
      <c r="C8" s="1"/>
      <c r="D8" s="1"/>
      <c r="E8" s="1"/>
      <c r="F8" s="21"/>
      <c r="H8" s="28"/>
      <c r="I8" s="29"/>
      <c r="J8" s="29"/>
      <c r="K8" s="29"/>
      <c r="L8" s="29"/>
      <c r="M8" s="29"/>
      <c r="N8" s="30"/>
    </row>
    <row r="9" spans="1:21" ht="15.75" thickBot="1">
      <c r="A9" s="11" t="s">
        <v>7</v>
      </c>
      <c r="B9" s="12">
        <v>1768</v>
      </c>
      <c r="C9" s="12">
        <v>2180</v>
      </c>
      <c r="D9" s="12">
        <v>1811</v>
      </c>
      <c r="E9" s="12">
        <v>1519</v>
      </c>
      <c r="F9" s="15">
        <v>1728</v>
      </c>
      <c r="H9" s="32" t="s">
        <v>22</v>
      </c>
      <c r="I9" s="33">
        <f>100*SQRT(N7)</f>
        <v>0.80808550136177659</v>
      </c>
      <c r="J9" s="34"/>
      <c r="K9" s="34"/>
      <c r="L9" s="34"/>
      <c r="M9" s="34"/>
      <c r="N9" s="35"/>
    </row>
    <row r="10" spans="1:21">
      <c r="A10" s="40" t="s">
        <v>35</v>
      </c>
      <c r="B10" s="40">
        <v>1.88</v>
      </c>
      <c r="C10" s="40">
        <v>1.66</v>
      </c>
      <c r="D10" s="40">
        <v>1.83</v>
      </c>
      <c r="E10" s="40">
        <v>1.55</v>
      </c>
      <c r="F10" s="36">
        <v>1.91</v>
      </c>
      <c r="J10" s="29"/>
      <c r="K10" s="29"/>
      <c r="L10" s="29"/>
      <c r="M10" s="29"/>
      <c r="N10" s="29"/>
    </row>
    <row r="11" spans="1:21" ht="15" thickBot="1"/>
    <row r="12" spans="1:21" ht="15" thickBot="1">
      <c r="A12" s="11"/>
      <c r="B12" s="12" t="s">
        <v>8</v>
      </c>
      <c r="C12" s="12" t="s">
        <v>1</v>
      </c>
      <c r="D12" s="12" t="s">
        <v>2</v>
      </c>
      <c r="E12" s="12" t="s">
        <v>3</v>
      </c>
      <c r="F12" s="13" t="s">
        <v>9</v>
      </c>
    </row>
    <row r="13" spans="1:21">
      <c r="A13" s="2" t="s">
        <v>5</v>
      </c>
      <c r="B13" s="3">
        <v>1.43</v>
      </c>
      <c r="C13" s="3" t="s">
        <v>10</v>
      </c>
      <c r="D13" s="3">
        <v>1.27</v>
      </c>
      <c r="E13" s="3">
        <v>1.26</v>
      </c>
      <c r="F13" s="4">
        <v>1.35</v>
      </c>
      <c r="H13" s="37" t="s">
        <v>30</v>
      </c>
      <c r="I13" s="50"/>
      <c r="J13" s="50"/>
      <c r="K13" s="27"/>
      <c r="M13" s="37" t="s">
        <v>33</v>
      </c>
      <c r="N13" s="26"/>
      <c r="O13" s="27">
        <v>8.3144597999999998</v>
      </c>
    </row>
    <row r="14" spans="1:21" ht="15" thickBot="1">
      <c r="A14" s="5" t="s">
        <v>6</v>
      </c>
      <c r="B14" s="6">
        <v>3</v>
      </c>
      <c r="C14" s="6">
        <v>6</v>
      </c>
      <c r="D14" s="6">
        <v>8</v>
      </c>
      <c r="E14" s="6">
        <v>7</v>
      </c>
      <c r="F14" s="7">
        <v>5</v>
      </c>
      <c r="H14" s="28"/>
      <c r="I14" s="29"/>
      <c r="J14" s="29"/>
      <c r="K14" s="30"/>
      <c r="M14" s="28" t="s">
        <v>15</v>
      </c>
      <c r="N14" s="29">
        <f>P2*LN(P2)</f>
        <v>-0.23025850929940456</v>
      </c>
      <c r="O14" s="30"/>
    </row>
    <row r="15" spans="1:21" ht="15">
      <c r="A15" s="16" t="s">
        <v>0</v>
      </c>
      <c r="B15" s="14"/>
      <c r="C15" s="10">
        <v>-9.9</v>
      </c>
      <c r="D15" s="10">
        <v>-11.1</v>
      </c>
      <c r="E15" s="10">
        <v>-19.100000000000001</v>
      </c>
      <c r="F15" s="17">
        <v>-16.3</v>
      </c>
      <c r="H15" s="39" t="s">
        <v>15</v>
      </c>
      <c r="I15" s="40" t="s">
        <v>29</v>
      </c>
      <c r="J15" s="41" t="s">
        <v>32</v>
      </c>
      <c r="K15" s="42" t="s">
        <v>31</v>
      </c>
      <c r="M15" s="28" t="s">
        <v>16</v>
      </c>
      <c r="N15" s="29">
        <f t="shared" ref="N15:N18" si="1">P3*LN(P3)</f>
        <v>-0.23025850929940456</v>
      </c>
      <c r="O15" s="30"/>
    </row>
    <row r="16" spans="1:21" ht="15">
      <c r="A16" s="18" t="s">
        <v>1</v>
      </c>
      <c r="B16" s="8"/>
      <c r="C16" s="9"/>
      <c r="D16" s="8">
        <v>-1.5</v>
      </c>
      <c r="E16" s="8">
        <v>2.1</v>
      </c>
      <c r="F16" s="19">
        <v>-2</v>
      </c>
      <c r="H16" s="43" t="s">
        <v>23</v>
      </c>
      <c r="I16" s="36">
        <v>-4.5</v>
      </c>
      <c r="J16" s="29">
        <f>I16*H3*I3</f>
        <v>-4.5000000000000005E-2</v>
      </c>
      <c r="K16" s="42">
        <f>SUM(J16:J39)*2</f>
        <v>-4.8359999999999994</v>
      </c>
      <c r="M16" s="28" t="s">
        <v>17</v>
      </c>
      <c r="N16" s="29">
        <f t="shared" si="1"/>
        <v>-0.32188758248682009</v>
      </c>
      <c r="O16" s="30"/>
    </row>
    <row r="17" spans="1:17">
      <c r="A17" s="18" t="s">
        <v>2</v>
      </c>
      <c r="B17" s="8"/>
      <c r="C17" s="8"/>
      <c r="D17" s="9"/>
      <c r="E17" s="8">
        <v>0.2</v>
      </c>
      <c r="F17" s="19">
        <v>-7.1</v>
      </c>
      <c r="H17" s="43" t="s">
        <v>24</v>
      </c>
      <c r="I17" s="40">
        <v>-0.6</v>
      </c>
      <c r="J17" s="29">
        <f>I17*H3*J3</f>
        <v>-1.2E-2</v>
      </c>
      <c r="K17" s="30"/>
      <c r="M17" s="28" t="s">
        <v>18</v>
      </c>
      <c r="N17" s="29">
        <f t="shared" si="1"/>
        <v>-0.36119184129778081</v>
      </c>
      <c r="O17" s="30"/>
    </row>
    <row r="18" spans="1:17">
      <c r="A18" s="18" t="s">
        <v>3</v>
      </c>
      <c r="B18" s="8"/>
      <c r="C18" s="8"/>
      <c r="D18" s="8"/>
      <c r="E18" s="9"/>
      <c r="F18" s="19">
        <v>-0.7</v>
      </c>
      <c r="H18" s="43" t="s">
        <v>25</v>
      </c>
      <c r="I18" s="40">
        <v>-5.2</v>
      </c>
      <c r="J18" s="29">
        <f>I18*H3*K3</f>
        <v>-0.156</v>
      </c>
      <c r="K18" s="30"/>
      <c r="M18" s="28" t="s">
        <v>19</v>
      </c>
      <c r="N18" s="29">
        <f t="shared" si="1"/>
        <v>-0.36119184129778081</v>
      </c>
      <c r="O18" s="30"/>
    </row>
    <row r="19" spans="1:17" ht="15" thickBot="1">
      <c r="A19" s="20" t="s">
        <v>4</v>
      </c>
      <c r="B19" s="1"/>
      <c r="C19" s="1"/>
      <c r="D19" s="1"/>
      <c r="E19" s="1"/>
      <c r="F19" s="21"/>
      <c r="H19" s="43" t="s">
        <v>26</v>
      </c>
      <c r="I19" s="40">
        <v>-0.2</v>
      </c>
      <c r="J19" s="29">
        <f>I19*H3*L3</f>
        <v>-6.000000000000001E-3</v>
      </c>
      <c r="K19" s="30"/>
      <c r="M19" s="28" t="s">
        <v>34</v>
      </c>
      <c r="N19" s="51">
        <f>SUM(N14:N18)</f>
        <v>-1.5047882836811908</v>
      </c>
      <c r="O19" s="30"/>
    </row>
    <row r="20" spans="1:17" ht="15.75" thickBot="1">
      <c r="A20" s="22" t="s">
        <v>7</v>
      </c>
      <c r="B20" s="23">
        <v>933.47</v>
      </c>
      <c r="C20" s="23">
        <v>2180</v>
      </c>
      <c r="D20" s="23">
        <v>1811</v>
      </c>
      <c r="E20" s="23">
        <v>1519</v>
      </c>
      <c r="F20" s="24">
        <v>2183</v>
      </c>
      <c r="H20" s="39" t="s">
        <v>16</v>
      </c>
      <c r="I20" s="40"/>
      <c r="J20" s="29"/>
      <c r="K20" s="30"/>
      <c r="M20" s="32" t="s">
        <v>33</v>
      </c>
      <c r="N20" s="33">
        <f>-O13*N19</f>
        <v>12.511501692178257</v>
      </c>
      <c r="O20" s="35"/>
    </row>
    <row r="21" spans="1:17">
      <c r="H21" s="43" t="s">
        <v>27</v>
      </c>
      <c r="I21" s="40">
        <v>-4.5</v>
      </c>
      <c r="J21" s="29">
        <f>I21*I3*H3</f>
        <v>-4.5000000000000005E-2</v>
      </c>
      <c r="K21" s="30"/>
    </row>
    <row r="22" spans="1:17">
      <c r="H22" s="43" t="s">
        <v>24</v>
      </c>
      <c r="I22" s="40">
        <v>-1.5</v>
      </c>
      <c r="J22" s="29">
        <f>I22*I3*J3</f>
        <v>-3.0000000000000006E-2</v>
      </c>
      <c r="K22" s="30"/>
      <c r="M22" s="37" t="s">
        <v>7</v>
      </c>
      <c r="N22" s="26"/>
      <c r="O22" s="26"/>
      <c r="P22" s="26"/>
      <c r="Q22" s="27"/>
    </row>
    <row r="23" spans="1:17">
      <c r="H23" s="43" t="s">
        <v>25</v>
      </c>
      <c r="I23" s="40">
        <v>2.1</v>
      </c>
      <c r="J23" s="29">
        <f>I23*I3*K3</f>
        <v>6.3E-2</v>
      </c>
      <c r="K23" s="30"/>
      <c r="M23" s="28" t="s">
        <v>15</v>
      </c>
      <c r="N23" s="29" t="s">
        <v>16</v>
      </c>
      <c r="O23" s="29" t="s">
        <v>17</v>
      </c>
      <c r="P23" s="29" t="s">
        <v>18</v>
      </c>
      <c r="Q23" s="30" t="s">
        <v>19</v>
      </c>
    </row>
    <row r="24" spans="1:17">
      <c r="H24" s="43" t="s">
        <v>26</v>
      </c>
      <c r="I24" s="40">
        <v>-6.7</v>
      </c>
      <c r="J24" s="29">
        <f>I24*L3*I3</f>
        <v>-0.20099999999999998</v>
      </c>
      <c r="K24" s="30"/>
      <c r="M24" s="28">
        <f>B9*H3</f>
        <v>176.8</v>
      </c>
      <c r="N24" s="28">
        <f t="shared" ref="N24:Q24" si="2">C9*I3</f>
        <v>218</v>
      </c>
      <c r="O24" s="28">
        <f t="shared" si="2"/>
        <v>362.20000000000005</v>
      </c>
      <c r="P24" s="28">
        <f t="shared" si="2"/>
        <v>455.7</v>
      </c>
      <c r="Q24" s="28">
        <f t="shared" si="2"/>
        <v>518.4</v>
      </c>
    </row>
    <row r="25" spans="1:17" ht="15">
      <c r="H25" s="39" t="s">
        <v>17</v>
      </c>
      <c r="I25" s="40"/>
      <c r="J25" s="29"/>
      <c r="K25" s="30"/>
      <c r="M25" s="32" t="s">
        <v>7</v>
      </c>
      <c r="N25" s="33">
        <f>SUM(M24:Q24)</f>
        <v>1731.1</v>
      </c>
      <c r="O25" s="34"/>
      <c r="P25" s="34"/>
      <c r="Q25" s="35"/>
    </row>
    <row r="26" spans="1:17">
      <c r="H26" s="43" t="s">
        <v>27</v>
      </c>
      <c r="I26" s="40">
        <v>-0.6</v>
      </c>
      <c r="J26" s="29">
        <f>I26*J3*H3</f>
        <v>-1.2E-2</v>
      </c>
      <c r="K26" s="30"/>
    </row>
    <row r="27" spans="1:17">
      <c r="H27" s="43" t="s">
        <v>23</v>
      </c>
      <c r="I27" s="40">
        <v>-1.5</v>
      </c>
      <c r="J27" s="29">
        <f>I27*I3*J3</f>
        <v>-3.0000000000000006E-2</v>
      </c>
      <c r="K27" s="30"/>
      <c r="M27" s="37" t="s">
        <v>6</v>
      </c>
      <c r="N27" s="26"/>
      <c r="O27" s="26"/>
      <c r="P27" s="26"/>
      <c r="Q27" s="27"/>
    </row>
    <row r="28" spans="1:17">
      <c r="A28" s="67" t="s">
        <v>15</v>
      </c>
      <c r="B28" t="s">
        <v>29</v>
      </c>
      <c r="C28" t="s">
        <v>32</v>
      </c>
      <c r="D28" t="s">
        <v>31</v>
      </c>
      <c r="H28" s="43" t="s">
        <v>25</v>
      </c>
      <c r="I28" s="40">
        <v>0.2</v>
      </c>
      <c r="J28" s="29">
        <f>I28*J3*K3</f>
        <v>1.2000000000000002E-2</v>
      </c>
      <c r="K28" s="30"/>
      <c r="M28" s="28" t="s">
        <v>15</v>
      </c>
      <c r="N28" s="29" t="s">
        <v>16</v>
      </c>
      <c r="O28" s="29" t="s">
        <v>17</v>
      </c>
      <c r="P28" s="29" t="s">
        <v>18</v>
      </c>
      <c r="Q28" s="30" t="s">
        <v>19</v>
      </c>
    </row>
    <row r="29" spans="1:17">
      <c r="A29" t="s">
        <v>23</v>
      </c>
      <c r="B29">
        <v>-4.5</v>
      </c>
      <c r="C29">
        <v>-4.5000000000000005E-2</v>
      </c>
      <c r="D29">
        <f>SUM(C29:C41)*4</f>
        <v>-4.8359999999999994</v>
      </c>
      <c r="H29" s="43" t="s">
        <v>26</v>
      </c>
      <c r="I29" s="40">
        <v>-1.6</v>
      </c>
      <c r="J29" s="29">
        <f>I29*J3*L3</f>
        <v>-9.6000000000000016E-2</v>
      </c>
      <c r="K29" s="30"/>
      <c r="M29" s="28">
        <f>H3*B3</f>
        <v>0.9</v>
      </c>
      <c r="N29" s="28">
        <f t="shared" ref="N29:Q29" si="3">I3*C3</f>
        <v>0.60000000000000009</v>
      </c>
      <c r="O29" s="28">
        <f t="shared" si="3"/>
        <v>1.6</v>
      </c>
      <c r="P29" s="28">
        <f t="shared" si="3"/>
        <v>2.1</v>
      </c>
      <c r="Q29" s="28">
        <f t="shared" si="3"/>
        <v>3</v>
      </c>
    </row>
    <row r="30" spans="1:17" ht="15">
      <c r="A30" t="s">
        <v>24</v>
      </c>
      <c r="B30">
        <v>-0.6</v>
      </c>
      <c r="C30">
        <v>-1.2E-2</v>
      </c>
      <c r="H30" s="39" t="s">
        <v>18</v>
      </c>
      <c r="I30" s="40"/>
      <c r="J30" s="29"/>
      <c r="K30" s="30"/>
      <c r="M30" s="25" t="s">
        <v>6</v>
      </c>
      <c r="N30" s="25">
        <f>SUM(M29:Q29)</f>
        <v>8.1999999999999993</v>
      </c>
      <c r="O30" s="34"/>
      <c r="P30" s="34"/>
      <c r="Q30" s="35"/>
    </row>
    <row r="31" spans="1:17">
      <c r="A31" t="s">
        <v>25</v>
      </c>
      <c r="B31">
        <v>-5.2</v>
      </c>
      <c r="C31">
        <v>-0.156</v>
      </c>
      <c r="H31" s="43" t="s">
        <v>27</v>
      </c>
      <c r="I31" s="40">
        <v>-5.2</v>
      </c>
      <c r="J31" s="29">
        <f>I31*H3*K3</f>
        <v>-0.156</v>
      </c>
      <c r="K31" s="30"/>
    </row>
    <row r="32" spans="1:17">
      <c r="A32" t="s">
        <v>26</v>
      </c>
      <c r="B32">
        <v>-0.2</v>
      </c>
      <c r="C32">
        <v>-6.000000000000001E-3</v>
      </c>
      <c r="H32" s="43" t="s">
        <v>23</v>
      </c>
      <c r="I32" s="40">
        <v>2.1</v>
      </c>
      <c r="J32" s="29">
        <f>I32*I3*K3</f>
        <v>6.3E-2</v>
      </c>
      <c r="K32" s="30"/>
      <c r="M32" s="47" t="s">
        <v>36</v>
      </c>
      <c r="N32" s="26"/>
      <c r="O32" s="26"/>
      <c r="P32" s="26"/>
      <c r="Q32" s="27"/>
    </row>
    <row r="33" spans="1:22">
      <c r="A33" s="67" t="s">
        <v>16</v>
      </c>
      <c r="H33" s="43" t="s">
        <v>24</v>
      </c>
      <c r="I33" s="40">
        <v>0.2</v>
      </c>
      <c r="J33" s="29">
        <f>I33*J3*K3</f>
        <v>1.2000000000000002E-2</v>
      </c>
      <c r="K33" s="30"/>
      <c r="M33" s="48" t="s">
        <v>37</v>
      </c>
      <c r="N33" s="29">
        <f>AVERAGE(B10:F10)</f>
        <v>1.766</v>
      </c>
      <c r="O33" s="29"/>
      <c r="P33" s="29"/>
      <c r="Q33" s="30"/>
    </row>
    <row r="34" spans="1:22">
      <c r="A34" t="s">
        <v>24</v>
      </c>
      <c r="B34">
        <v>-1.5</v>
      </c>
      <c r="C34">
        <v>-3.0000000000000006E-2</v>
      </c>
      <c r="H34" s="43" t="s">
        <v>26</v>
      </c>
      <c r="I34" s="40">
        <v>-8.1999999999999993</v>
      </c>
      <c r="J34" s="29">
        <f>I34*K3*L3</f>
        <v>-0.73799999999999988</v>
      </c>
      <c r="K34" s="30"/>
      <c r="M34" s="28" t="s">
        <v>15</v>
      </c>
      <c r="N34" s="29" t="s">
        <v>16</v>
      </c>
      <c r="O34" s="29" t="s">
        <v>17</v>
      </c>
      <c r="P34" s="29" t="s">
        <v>18</v>
      </c>
      <c r="Q34" s="30" t="s">
        <v>19</v>
      </c>
    </row>
    <row r="35" spans="1:22">
      <c r="A35" t="s">
        <v>25</v>
      </c>
      <c r="B35">
        <v>2.1</v>
      </c>
      <c r="C35">
        <v>6.3E-2</v>
      </c>
      <c r="H35" s="39" t="s">
        <v>19</v>
      </c>
      <c r="I35" s="40"/>
      <c r="J35" s="29"/>
      <c r="K35" s="30"/>
      <c r="M35" s="43">
        <f>H3*(B10-$N$33)^2</f>
        <v>1.2995999999999973E-3</v>
      </c>
      <c r="N35" s="43">
        <f t="shared" ref="N35:Q35" si="4">I3*(C10-$N$33)^2</f>
        <v>1.1236000000000022E-3</v>
      </c>
      <c r="O35" s="43">
        <f t="shared" si="4"/>
        <v>8.1920000000000159E-4</v>
      </c>
      <c r="P35" s="43">
        <f t="shared" si="4"/>
        <v>1.3996799999999997E-2</v>
      </c>
      <c r="Q35" s="43">
        <f t="shared" si="4"/>
        <v>6.2207999999999916E-3</v>
      </c>
    </row>
    <row r="36" spans="1:22" ht="15">
      <c r="A36" t="s">
        <v>26</v>
      </c>
      <c r="B36">
        <v>-6.7</v>
      </c>
      <c r="C36">
        <v>-0.20099999999999998</v>
      </c>
      <c r="H36" s="43" t="s">
        <v>27</v>
      </c>
      <c r="I36" s="40">
        <v>-0.2</v>
      </c>
      <c r="J36" s="29">
        <f>I36*L3*H3</f>
        <v>-6.0000000000000001E-3</v>
      </c>
      <c r="K36" s="30"/>
      <c r="M36" s="32" t="s">
        <v>38</v>
      </c>
      <c r="N36" s="33">
        <f>SQRT(SUM(M35:Q35))</f>
        <v>0.1531665759883663</v>
      </c>
      <c r="O36" s="34"/>
      <c r="P36" s="34"/>
      <c r="Q36" s="35"/>
    </row>
    <row r="37" spans="1:22">
      <c r="A37" s="67" t="s">
        <v>17</v>
      </c>
      <c r="H37" s="43" t="s">
        <v>23</v>
      </c>
      <c r="I37" s="40">
        <v>-6.7</v>
      </c>
      <c r="J37" s="29">
        <f>I37*I3*L3</f>
        <v>-0.20100000000000001</v>
      </c>
      <c r="K37" s="30"/>
    </row>
    <row r="38" spans="1:22">
      <c r="A38" t="s">
        <v>25</v>
      </c>
      <c r="B38">
        <v>0.2</v>
      </c>
      <c r="C38">
        <v>1.2000000000000002E-2</v>
      </c>
      <c r="H38" s="43" t="s">
        <v>24</v>
      </c>
      <c r="I38" s="40">
        <v>-1.6</v>
      </c>
      <c r="J38" s="29">
        <f>I38*L3*J3</f>
        <v>-9.6000000000000002E-2</v>
      </c>
      <c r="K38" s="30"/>
    </row>
    <row r="39" spans="1:22">
      <c r="A39" t="s">
        <v>26</v>
      </c>
      <c r="B39">
        <v>-1.6</v>
      </c>
      <c r="C39">
        <v>-9.6000000000000016E-2</v>
      </c>
      <c r="H39" s="52" t="s">
        <v>25</v>
      </c>
      <c r="I39" s="53">
        <v>-8.1999999999999993</v>
      </c>
      <c r="J39" s="34">
        <f>I39*K3*L3</f>
        <v>-0.73799999999999988</v>
      </c>
      <c r="K39" s="35"/>
    </row>
    <row r="40" spans="1:22">
      <c r="A40" s="67" t="s">
        <v>18</v>
      </c>
    </row>
    <row r="41" spans="1:22">
      <c r="A41" s="66" t="s">
        <v>26</v>
      </c>
      <c r="B41">
        <v>-8.1999999999999993</v>
      </c>
      <c r="C41">
        <v>-0.73799999999999988</v>
      </c>
      <c r="U41" s="71"/>
      <c r="V41" s="71"/>
    </row>
    <row r="42" spans="1:22">
      <c r="I42" s="71"/>
      <c r="J42" s="71"/>
    </row>
    <row r="48" spans="1:22">
      <c r="A48" s="67"/>
    </row>
  </sheetData>
  <mergeCells count="3">
    <mergeCell ref="U41:V41"/>
    <mergeCell ref="I42:J42"/>
    <mergeCell ref="T1:U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="85" zoomScaleNormal="85" workbookViewId="0">
      <selection activeCell="I9" sqref="I9"/>
    </sheetView>
  </sheetViews>
  <sheetFormatPr defaultRowHeight="14.25"/>
  <cols>
    <col min="21" max="21" width="9.25" bestFit="1" customWidth="1"/>
  </cols>
  <sheetData>
    <row r="1" spans="1:21" ht="15" thickBot="1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3" t="s">
        <v>4</v>
      </c>
      <c r="T1" s="70" t="s">
        <v>39</v>
      </c>
      <c r="U1" s="70"/>
    </row>
    <row r="2" spans="1:21" ht="15">
      <c r="A2" s="2" t="s">
        <v>5</v>
      </c>
      <c r="B2" s="3">
        <v>1.25</v>
      </c>
      <c r="C2" s="3">
        <v>1.28</v>
      </c>
      <c r="D2" s="3">
        <v>1.27</v>
      </c>
      <c r="E2" s="3">
        <v>1.26</v>
      </c>
      <c r="F2" s="4">
        <v>1.25</v>
      </c>
      <c r="H2" s="68" t="s">
        <v>11</v>
      </c>
      <c r="I2" s="69"/>
      <c r="J2" s="26"/>
      <c r="K2" s="26"/>
      <c r="L2" s="26"/>
      <c r="M2" s="26"/>
      <c r="N2" s="27"/>
      <c r="T2" s="25" t="s">
        <v>22</v>
      </c>
      <c r="U2" s="57">
        <v>4.8794947468326324</v>
      </c>
    </row>
    <row r="3" spans="1:21" ht="15.75" thickBot="1">
      <c r="A3" s="5" t="s">
        <v>6</v>
      </c>
      <c r="B3" s="6">
        <v>9</v>
      </c>
      <c r="C3" s="6">
        <v>6</v>
      </c>
      <c r="D3" s="6">
        <v>8</v>
      </c>
      <c r="E3" s="6">
        <v>7</v>
      </c>
      <c r="F3" s="7">
        <v>10</v>
      </c>
      <c r="H3" s="28" t="s">
        <v>12</v>
      </c>
      <c r="I3" s="29">
        <v>0.2</v>
      </c>
      <c r="J3" s="29" t="s">
        <v>13</v>
      </c>
      <c r="K3" s="29"/>
      <c r="L3" s="29"/>
      <c r="M3" s="29"/>
      <c r="N3" s="30"/>
      <c r="T3" s="25" t="s">
        <v>31</v>
      </c>
      <c r="U3" s="57">
        <v>-5.2319999999999993</v>
      </c>
    </row>
    <row r="4" spans="1:21" ht="15">
      <c r="A4" s="16" t="s">
        <v>0</v>
      </c>
      <c r="B4" s="14"/>
      <c r="C4" s="10">
        <v>-4.5</v>
      </c>
      <c r="D4" s="10">
        <v>-0.6</v>
      </c>
      <c r="E4" s="10">
        <v>-5.2</v>
      </c>
      <c r="F4" s="17">
        <v>-0.2</v>
      </c>
      <c r="H4" s="28" t="s">
        <v>14</v>
      </c>
      <c r="I4" s="63">
        <f>AVERAGE(B13:F13)</f>
        <v>1.3180000000000001</v>
      </c>
      <c r="J4" s="29"/>
      <c r="K4" s="29"/>
      <c r="L4" s="29"/>
      <c r="M4" s="29"/>
      <c r="N4" s="30"/>
      <c r="T4" s="25" t="s">
        <v>33</v>
      </c>
      <c r="U4" s="57">
        <v>13.380866803977112</v>
      </c>
    </row>
    <row r="5" spans="1:21" ht="15">
      <c r="A5" s="18" t="s">
        <v>1</v>
      </c>
      <c r="B5" s="8"/>
      <c r="C5" s="9"/>
      <c r="D5" s="8">
        <v>-1.5</v>
      </c>
      <c r="E5" s="8">
        <v>2.1</v>
      </c>
      <c r="F5" s="19">
        <v>-6.7</v>
      </c>
      <c r="H5" s="28"/>
      <c r="I5" s="29"/>
      <c r="J5" s="29"/>
      <c r="K5" s="29"/>
      <c r="L5" s="29"/>
      <c r="M5" s="29"/>
      <c r="N5" s="30"/>
      <c r="T5" s="25" t="s">
        <v>7</v>
      </c>
      <c r="U5" s="60">
        <v>1725.2939999999999</v>
      </c>
    </row>
    <row r="6" spans="1:21" ht="15">
      <c r="A6" s="18" t="s">
        <v>2</v>
      </c>
      <c r="B6" s="8"/>
      <c r="C6" s="8"/>
      <c r="D6" s="9"/>
      <c r="E6" s="8">
        <v>0.2</v>
      </c>
      <c r="F6" s="19">
        <v>-1.6</v>
      </c>
      <c r="H6" s="28" t="s">
        <v>15</v>
      </c>
      <c r="I6" s="29" t="s">
        <v>16</v>
      </c>
      <c r="J6" s="29" t="s">
        <v>17</v>
      </c>
      <c r="K6" s="29" t="s">
        <v>18</v>
      </c>
      <c r="L6" s="29" t="s">
        <v>19</v>
      </c>
      <c r="M6" s="29" t="s">
        <v>21</v>
      </c>
      <c r="N6" s="30" t="s">
        <v>20</v>
      </c>
      <c r="T6" s="25" t="s">
        <v>6</v>
      </c>
      <c r="U6" s="25">
        <v>5.8000000000000007</v>
      </c>
    </row>
    <row r="7" spans="1:21" ht="15">
      <c r="A7" s="18" t="s">
        <v>3</v>
      </c>
      <c r="B7" s="8"/>
      <c r="C7" s="8"/>
      <c r="D7" s="8"/>
      <c r="E7" s="9"/>
      <c r="F7" s="19">
        <v>-8.1999999999999993</v>
      </c>
      <c r="H7" s="28">
        <f>$I$3*(1-(B13/$I$4))^2</f>
        <v>1.4442262037712879E-3</v>
      </c>
      <c r="I7" s="28">
        <f>$I$3*(1-(C13/$I$4))^2</f>
        <v>1.6625180470709151E-4</v>
      </c>
      <c r="J7" s="28">
        <f>$I$3*(1-(D13/$I$4))^2</f>
        <v>2.6526603742738102E-4</v>
      </c>
      <c r="K7" s="28">
        <f>$I$3*(1-(E13/$I$4))^2</f>
        <v>3.8730683589657502E-4</v>
      </c>
      <c r="L7" s="28">
        <f>$I$3*(1-(F13/$I$4))^2</f>
        <v>1.1789601663439084E-4</v>
      </c>
      <c r="M7" s="29" t="s">
        <v>21</v>
      </c>
      <c r="N7" s="30">
        <f>SUM(H7:L7)</f>
        <v>2.3809468984367262E-3</v>
      </c>
      <c r="T7" s="25" t="s">
        <v>38</v>
      </c>
      <c r="U7" s="56">
        <v>9.4148818367518566E-2</v>
      </c>
    </row>
    <row r="8" spans="1:21" ht="15" thickBot="1">
      <c r="A8" s="20" t="s">
        <v>4</v>
      </c>
      <c r="B8" s="1"/>
      <c r="C8" s="1"/>
      <c r="D8" s="1"/>
      <c r="E8" s="1"/>
      <c r="F8" s="21"/>
      <c r="H8" s="28"/>
      <c r="I8" s="29"/>
      <c r="J8" s="29"/>
      <c r="K8" s="29"/>
      <c r="L8" s="29"/>
      <c r="M8" s="29"/>
      <c r="N8" s="30"/>
    </row>
    <row r="9" spans="1:21" ht="15.75" thickBot="1">
      <c r="A9" s="11" t="s">
        <v>7</v>
      </c>
      <c r="B9" s="12">
        <v>1768</v>
      </c>
      <c r="C9" s="12">
        <v>2180</v>
      </c>
      <c r="D9" s="12">
        <v>1811</v>
      </c>
      <c r="E9" s="12">
        <v>1519</v>
      </c>
      <c r="F9" s="15">
        <v>1728</v>
      </c>
      <c r="H9" s="32" t="s">
        <v>22</v>
      </c>
      <c r="I9" s="33">
        <f>100*SQRT(N7)</f>
        <v>4.8794947468326324</v>
      </c>
      <c r="J9" s="34"/>
      <c r="K9" s="34"/>
      <c r="L9" s="34"/>
      <c r="M9" s="34"/>
      <c r="N9" s="35"/>
    </row>
    <row r="10" spans="1:21">
      <c r="A10" s="40" t="s">
        <v>35</v>
      </c>
      <c r="B10" s="40">
        <v>1.88</v>
      </c>
      <c r="C10" s="40">
        <v>1.66</v>
      </c>
      <c r="D10" s="40">
        <v>1.83</v>
      </c>
      <c r="E10" s="40">
        <v>1.55</v>
      </c>
      <c r="F10" s="36">
        <v>1.91</v>
      </c>
      <c r="J10" s="29"/>
      <c r="K10" s="29"/>
      <c r="L10" s="29"/>
      <c r="M10" s="29"/>
      <c r="N10" s="29"/>
    </row>
    <row r="11" spans="1:21" ht="15" thickBot="1"/>
    <row r="12" spans="1:21" ht="15" thickBot="1">
      <c r="A12" s="11"/>
      <c r="B12" s="12" t="s">
        <v>8</v>
      </c>
      <c r="C12" s="12" t="s">
        <v>1</v>
      </c>
      <c r="D12" s="12" t="s">
        <v>2</v>
      </c>
      <c r="E12" s="12" t="s">
        <v>3</v>
      </c>
      <c r="F12" s="13" t="s">
        <v>9</v>
      </c>
    </row>
    <row r="13" spans="1:21">
      <c r="A13" s="2" t="s">
        <v>5</v>
      </c>
      <c r="B13" s="64">
        <v>1.43</v>
      </c>
      <c r="C13" s="64">
        <v>1.28</v>
      </c>
      <c r="D13" s="64">
        <v>1.27</v>
      </c>
      <c r="E13" s="64">
        <v>1.26</v>
      </c>
      <c r="F13" s="65">
        <v>1.35</v>
      </c>
      <c r="H13" s="37" t="s">
        <v>30</v>
      </c>
      <c r="I13" s="38" t="s">
        <v>28</v>
      </c>
      <c r="J13" s="38">
        <v>0.2</v>
      </c>
      <c r="K13" s="27"/>
      <c r="M13" s="37" t="s">
        <v>33</v>
      </c>
      <c r="N13" s="26"/>
      <c r="O13" s="27">
        <v>8.3140000000000001</v>
      </c>
    </row>
    <row r="14" spans="1:21" ht="15" thickBot="1">
      <c r="A14" s="5" t="s">
        <v>6</v>
      </c>
      <c r="B14" s="6">
        <v>3</v>
      </c>
      <c r="C14" s="6">
        <v>6</v>
      </c>
      <c r="D14" s="6">
        <v>8</v>
      </c>
      <c r="E14" s="6">
        <v>7</v>
      </c>
      <c r="F14" s="7">
        <v>5</v>
      </c>
      <c r="H14" s="28"/>
      <c r="I14" s="29"/>
      <c r="J14" s="29"/>
      <c r="K14" s="30"/>
      <c r="M14" s="28" t="s">
        <v>15</v>
      </c>
      <c r="N14" s="29">
        <f>$J$13*LN($J$13)</f>
        <v>-0.32188758248682009</v>
      </c>
      <c r="O14" s="30"/>
    </row>
    <row r="15" spans="1:21" ht="15">
      <c r="A15" s="16" t="s">
        <v>46</v>
      </c>
      <c r="B15" s="14"/>
      <c r="C15" s="10">
        <v>-9.9</v>
      </c>
      <c r="D15" s="10">
        <v>-11.1</v>
      </c>
      <c r="E15" s="10">
        <v>-19.100000000000001</v>
      </c>
      <c r="F15" s="17">
        <v>-16.3</v>
      </c>
      <c r="H15" s="39" t="s">
        <v>15</v>
      </c>
      <c r="I15" s="40" t="s">
        <v>29</v>
      </c>
      <c r="J15" s="41" t="s">
        <v>32</v>
      </c>
      <c r="K15" s="42" t="s">
        <v>31</v>
      </c>
      <c r="M15" s="28" t="s">
        <v>16</v>
      </c>
      <c r="N15" s="29">
        <f t="shared" ref="N15:N18" si="0">$J$13*LN($J$13)</f>
        <v>-0.32188758248682009</v>
      </c>
      <c r="O15" s="30"/>
    </row>
    <row r="16" spans="1:21" ht="15">
      <c r="A16" s="18" t="s">
        <v>47</v>
      </c>
      <c r="B16" s="8"/>
      <c r="C16" s="9"/>
      <c r="D16" s="8">
        <v>-1.5</v>
      </c>
      <c r="E16" s="8">
        <v>2.1</v>
      </c>
      <c r="F16" s="19">
        <v>-2</v>
      </c>
      <c r="H16" s="43" t="s">
        <v>23</v>
      </c>
      <c r="I16" s="36">
        <v>-9.9</v>
      </c>
      <c r="J16" s="29">
        <f>I16*$J$13*$J$13</f>
        <v>-0.39600000000000007</v>
      </c>
      <c r="K16" s="42">
        <f>SUM(J16:J39)*2</f>
        <v>-10.463999999999999</v>
      </c>
      <c r="M16" s="28" t="s">
        <v>17</v>
      </c>
      <c r="N16" s="29">
        <f t="shared" si="0"/>
        <v>-0.32188758248682009</v>
      </c>
      <c r="O16" s="30"/>
    </row>
    <row r="17" spans="1:17">
      <c r="A17" s="18" t="s">
        <v>48</v>
      </c>
      <c r="B17" s="8"/>
      <c r="C17" s="8"/>
      <c r="D17" s="9"/>
      <c r="E17" s="8">
        <v>0.2</v>
      </c>
      <c r="F17" s="19">
        <v>-7.1</v>
      </c>
      <c r="H17" s="43" t="s">
        <v>24</v>
      </c>
      <c r="I17" s="40">
        <v>-11.1</v>
      </c>
      <c r="J17" s="29">
        <f>I17*$J$13*$J$13</f>
        <v>-0.44400000000000006</v>
      </c>
      <c r="K17" s="30"/>
      <c r="M17" s="28" t="s">
        <v>18</v>
      </c>
      <c r="N17" s="29">
        <f t="shared" si="0"/>
        <v>-0.32188758248682009</v>
      </c>
      <c r="O17" s="30"/>
    </row>
    <row r="18" spans="1:17">
      <c r="A18" s="18" t="s">
        <v>49</v>
      </c>
      <c r="B18" s="8"/>
      <c r="C18" s="8"/>
      <c r="D18" s="8"/>
      <c r="E18" s="9"/>
      <c r="F18" s="19">
        <v>-0.7</v>
      </c>
      <c r="H18" s="43" t="s">
        <v>25</v>
      </c>
      <c r="I18" s="40">
        <v>-19.100000000000001</v>
      </c>
      <c r="J18" s="29">
        <f>I18*$J$13*$J$13</f>
        <v>-0.76400000000000012</v>
      </c>
      <c r="K18" s="30"/>
      <c r="M18" s="28" t="s">
        <v>19</v>
      </c>
      <c r="N18" s="29">
        <f t="shared" si="0"/>
        <v>-0.32188758248682009</v>
      </c>
      <c r="O18" s="30"/>
    </row>
    <row r="19" spans="1:17" ht="15" thickBot="1">
      <c r="A19" s="20" t="s">
        <v>50</v>
      </c>
      <c r="B19" s="1"/>
      <c r="C19" s="1"/>
      <c r="D19" s="1"/>
      <c r="E19" s="1"/>
      <c r="F19" s="21"/>
      <c r="H19" s="43" t="s">
        <v>26</v>
      </c>
      <c r="I19" s="40">
        <v>-16.3</v>
      </c>
      <c r="J19" s="29">
        <f>I19*$J$13*$J$13</f>
        <v>-0.65200000000000014</v>
      </c>
      <c r="K19" s="30"/>
      <c r="M19" s="28" t="s">
        <v>34</v>
      </c>
      <c r="N19" s="29">
        <f>SUM(N14:N18)</f>
        <v>-1.6094379124341005</v>
      </c>
      <c r="O19" s="30"/>
    </row>
    <row r="20" spans="1:17" ht="15.75" thickBot="1">
      <c r="A20" s="22" t="s">
        <v>7</v>
      </c>
      <c r="B20" s="23">
        <v>933.47</v>
      </c>
      <c r="C20" s="23">
        <v>2180</v>
      </c>
      <c r="D20" s="23">
        <v>1811</v>
      </c>
      <c r="E20" s="23">
        <v>1519</v>
      </c>
      <c r="F20" s="24">
        <v>2183</v>
      </c>
      <c r="H20" s="39" t="s">
        <v>16</v>
      </c>
      <c r="I20" s="40"/>
      <c r="J20" s="29"/>
      <c r="K20" s="30"/>
      <c r="M20" s="32" t="s">
        <v>33</v>
      </c>
      <c r="N20" s="33">
        <f>-O13*N19</f>
        <v>13.380866803977112</v>
      </c>
      <c r="O20" s="35"/>
    </row>
    <row r="21" spans="1:17">
      <c r="A21" s="40" t="s">
        <v>35</v>
      </c>
      <c r="B21">
        <v>1.61</v>
      </c>
      <c r="C21">
        <v>1.66</v>
      </c>
      <c r="D21">
        <v>1.83</v>
      </c>
      <c r="E21" s="61">
        <v>1.55</v>
      </c>
      <c r="F21" s="62">
        <v>1.63</v>
      </c>
      <c r="H21" s="43" t="s">
        <v>27</v>
      </c>
      <c r="I21" s="40">
        <v>-9.9</v>
      </c>
      <c r="J21" s="29">
        <f>I21*$J$13*$J$13</f>
        <v>-0.39600000000000007</v>
      </c>
      <c r="K21" s="30"/>
    </row>
    <row r="22" spans="1:17">
      <c r="H22" s="43" t="s">
        <v>24</v>
      </c>
      <c r="I22" s="40">
        <v>-1.5</v>
      </c>
      <c r="J22" s="29">
        <f>I22*$J$13*$J$13</f>
        <v>-6.0000000000000012E-2</v>
      </c>
      <c r="K22" s="30"/>
      <c r="M22" s="37" t="s">
        <v>7</v>
      </c>
      <c r="N22" s="26"/>
      <c r="O22" s="26"/>
      <c r="P22" s="26"/>
      <c r="Q22" s="27"/>
    </row>
    <row r="23" spans="1:17">
      <c r="H23" s="43" t="s">
        <v>25</v>
      </c>
      <c r="I23" s="40">
        <v>2.1</v>
      </c>
      <c r="J23" s="29">
        <f>I23*$J$13*$J$13</f>
        <v>8.4000000000000019E-2</v>
      </c>
      <c r="K23" s="30"/>
      <c r="M23" s="28" t="s">
        <v>15</v>
      </c>
      <c r="N23" s="29" t="s">
        <v>16</v>
      </c>
      <c r="O23" s="29" t="s">
        <v>17</v>
      </c>
      <c r="P23" s="29" t="s">
        <v>18</v>
      </c>
      <c r="Q23" s="30" t="s">
        <v>19</v>
      </c>
    </row>
    <row r="24" spans="1:17">
      <c r="H24" s="43" t="s">
        <v>26</v>
      </c>
      <c r="I24" s="40">
        <v>-2</v>
      </c>
      <c r="J24" s="29">
        <f>I24*$J$13*$J$13</f>
        <v>-8.0000000000000016E-2</v>
      </c>
      <c r="K24" s="30"/>
      <c r="M24" s="28">
        <f>$I$3*B20</f>
        <v>186.69400000000002</v>
      </c>
      <c r="N24" s="28">
        <f t="shared" ref="N24:Q24" si="1">$I$3*C20</f>
        <v>436</v>
      </c>
      <c r="O24" s="28">
        <f t="shared" si="1"/>
        <v>362.20000000000005</v>
      </c>
      <c r="P24" s="28">
        <f t="shared" si="1"/>
        <v>303.8</v>
      </c>
      <c r="Q24" s="28">
        <f t="shared" si="1"/>
        <v>436.6</v>
      </c>
    </row>
    <row r="25" spans="1:17" ht="15">
      <c r="H25" s="39" t="s">
        <v>17</v>
      </c>
      <c r="I25" s="40"/>
      <c r="J25" s="29"/>
      <c r="K25" s="30"/>
      <c r="M25" s="32" t="s">
        <v>7</v>
      </c>
      <c r="N25" s="33">
        <f>SUM(M24:Q24)</f>
        <v>1725.2939999999999</v>
      </c>
      <c r="O25" s="34"/>
      <c r="P25" s="34"/>
      <c r="Q25" s="35"/>
    </row>
    <row r="26" spans="1:17">
      <c r="H26" s="43" t="s">
        <v>27</v>
      </c>
      <c r="I26" s="40">
        <v>-11.1</v>
      </c>
      <c r="J26" s="29">
        <f>I26*$J$13*$J$13</f>
        <v>-0.44400000000000006</v>
      </c>
      <c r="K26" s="30"/>
    </row>
    <row r="27" spans="1:17">
      <c r="H27" s="43" t="s">
        <v>23</v>
      </c>
      <c r="I27" s="40">
        <v>-1.5</v>
      </c>
      <c r="J27" s="29">
        <f>I27*$J$13*$J$13</f>
        <v>-6.0000000000000012E-2</v>
      </c>
      <c r="K27" s="30"/>
      <c r="M27" s="37" t="s">
        <v>6</v>
      </c>
      <c r="N27" s="26"/>
      <c r="O27" s="26"/>
      <c r="P27" s="26"/>
      <c r="Q27" s="27"/>
    </row>
    <row r="28" spans="1:17">
      <c r="H28" s="43" t="s">
        <v>25</v>
      </c>
      <c r="I28" s="40">
        <v>0.2</v>
      </c>
      <c r="J28" s="29">
        <f>I28*$J$13*$J$13</f>
        <v>8.0000000000000019E-3</v>
      </c>
      <c r="K28" s="30"/>
      <c r="M28" s="28" t="s">
        <v>15</v>
      </c>
      <c r="N28" s="29" t="s">
        <v>16</v>
      </c>
      <c r="O28" s="29" t="s">
        <v>17</v>
      </c>
      <c r="P28" s="29" t="s">
        <v>18</v>
      </c>
      <c r="Q28" s="30" t="s">
        <v>19</v>
      </c>
    </row>
    <row r="29" spans="1:17">
      <c r="H29" s="43" t="s">
        <v>26</v>
      </c>
      <c r="I29" s="40">
        <v>-7.1</v>
      </c>
      <c r="J29" s="29">
        <f>I29*$J$13*$J$13</f>
        <v>-0.28399999999999997</v>
      </c>
      <c r="K29" s="30"/>
      <c r="M29" s="28">
        <f>$I$3*B14</f>
        <v>0.60000000000000009</v>
      </c>
      <c r="N29" s="28">
        <f t="shared" ref="N29:Q29" si="2">$I$3*C14</f>
        <v>1.2000000000000002</v>
      </c>
      <c r="O29" s="28">
        <f t="shared" si="2"/>
        <v>1.6</v>
      </c>
      <c r="P29" s="28">
        <f t="shared" si="2"/>
        <v>1.4000000000000001</v>
      </c>
      <c r="Q29" s="58">
        <f t="shared" si="2"/>
        <v>1</v>
      </c>
    </row>
    <row r="30" spans="1:17" ht="15">
      <c r="H30" s="39" t="s">
        <v>18</v>
      </c>
      <c r="I30" s="40"/>
      <c r="J30" s="29"/>
      <c r="K30" s="30"/>
      <c r="M30" s="32" t="s">
        <v>6</v>
      </c>
      <c r="N30" s="33">
        <f>SUM(M29:Q29)</f>
        <v>5.8000000000000007</v>
      </c>
      <c r="O30" s="34"/>
      <c r="P30" s="34"/>
      <c r="Q30" s="35"/>
    </row>
    <row r="31" spans="1:17">
      <c r="H31" s="43" t="s">
        <v>27</v>
      </c>
      <c r="I31" s="40">
        <v>-19.100000000000001</v>
      </c>
      <c r="J31" s="29">
        <f>I31*$J$13*$J$13</f>
        <v>-0.76400000000000012</v>
      </c>
      <c r="K31" s="30"/>
    </row>
    <row r="32" spans="1:17">
      <c r="H32" s="43" t="s">
        <v>23</v>
      </c>
      <c r="I32" s="40">
        <v>2.1</v>
      </c>
      <c r="J32" s="29">
        <f>I32*$J$13*$J$13</f>
        <v>8.4000000000000019E-2</v>
      </c>
      <c r="K32" s="30"/>
      <c r="M32" s="47" t="s">
        <v>36</v>
      </c>
      <c r="N32" s="26"/>
      <c r="O32" s="26"/>
      <c r="P32" s="26"/>
      <c r="Q32" s="27"/>
    </row>
    <row r="33" spans="8:17">
      <c r="H33" s="43" t="s">
        <v>24</v>
      </c>
      <c r="I33" s="40">
        <v>0.2</v>
      </c>
      <c r="J33" s="29">
        <f>I33*$J$13*$J$13</f>
        <v>8.0000000000000019E-3</v>
      </c>
      <c r="K33" s="30"/>
      <c r="M33" s="48" t="s">
        <v>37</v>
      </c>
      <c r="N33" s="29">
        <f>AVERAGE(B21:F21)</f>
        <v>1.6559999999999999</v>
      </c>
      <c r="O33" s="29"/>
      <c r="P33" s="29"/>
      <c r="Q33" s="30"/>
    </row>
    <row r="34" spans="8:17">
      <c r="H34" s="43" t="s">
        <v>26</v>
      </c>
      <c r="I34" s="40">
        <v>-0.7</v>
      </c>
      <c r="J34" s="29">
        <f>I34*$J$13*$J$13</f>
        <v>-2.7999999999999997E-2</v>
      </c>
      <c r="K34" s="30"/>
      <c r="M34" s="28" t="s">
        <v>15</v>
      </c>
      <c r="N34" s="29" t="s">
        <v>16</v>
      </c>
      <c r="O34" s="29" t="s">
        <v>17</v>
      </c>
      <c r="P34" s="29" t="s">
        <v>18</v>
      </c>
      <c r="Q34" s="30" t="s">
        <v>19</v>
      </c>
    </row>
    <row r="35" spans="8:17">
      <c r="H35" s="39" t="s">
        <v>19</v>
      </c>
      <c r="I35" s="40"/>
      <c r="J35" s="29"/>
      <c r="K35" s="30"/>
      <c r="M35" s="43">
        <f>$I$3*(B21-$N$33)^2</f>
        <v>4.2319999999999668E-4</v>
      </c>
      <c r="N35" s="43">
        <f t="shared" ref="N35:P35" si="3">$I$3*(C21-$N$33)^2</f>
        <v>3.2000000000000062E-6</v>
      </c>
      <c r="O35" s="43">
        <f t="shared" si="3"/>
        <v>6.0552000000000106E-3</v>
      </c>
      <c r="P35" s="43">
        <f t="shared" si="3"/>
        <v>2.2471999999999948E-3</v>
      </c>
      <c r="Q35" s="43">
        <f>$I$3*(F21-$N$33)^2</f>
        <v>1.3520000000000025E-4</v>
      </c>
    </row>
    <row r="36" spans="8:17" ht="15">
      <c r="H36" s="43" t="s">
        <v>27</v>
      </c>
      <c r="I36" s="40">
        <v>-16.3</v>
      </c>
      <c r="J36" s="29">
        <f>I36*$J$13*$J$13</f>
        <v>-0.65200000000000014</v>
      </c>
      <c r="K36" s="30"/>
      <c r="M36" s="32" t="s">
        <v>38</v>
      </c>
      <c r="N36" s="33">
        <f>SQRT(SUM(M35:Q35))</f>
        <v>9.4148818367518566E-2</v>
      </c>
      <c r="O36" s="34"/>
      <c r="P36" s="34"/>
      <c r="Q36" s="35"/>
    </row>
    <row r="37" spans="8:17">
      <c r="H37" s="43" t="s">
        <v>23</v>
      </c>
      <c r="I37" s="40">
        <v>-2</v>
      </c>
      <c r="J37" s="29">
        <f>I37*$J$13*$J$13</f>
        <v>-8.0000000000000016E-2</v>
      </c>
      <c r="K37" s="30"/>
    </row>
    <row r="38" spans="8:17">
      <c r="H38" s="43" t="s">
        <v>24</v>
      </c>
      <c r="I38" s="40">
        <v>-7.1</v>
      </c>
      <c r="J38" s="29">
        <f>I38*$J$13*$J$13</f>
        <v>-0.28399999999999997</v>
      </c>
      <c r="K38" s="30"/>
    </row>
    <row r="39" spans="8:17">
      <c r="H39" s="44" t="s">
        <v>25</v>
      </c>
      <c r="I39" s="45">
        <v>-0.7</v>
      </c>
      <c r="J39" s="34">
        <f>I39*$J$13*$J$13</f>
        <v>-2.7999999999999997E-2</v>
      </c>
      <c r="K39" s="35"/>
    </row>
  </sheetData>
  <mergeCells count="2">
    <mergeCell ref="T1:U1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CoCrFeMnNi</vt:lpstr>
      <vt:lpstr>Co10Cr10Fe20Mn30Ni30</vt:lpstr>
      <vt:lpstr>AlCrFeMnV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Juliusz Dąbrowa</dc:creator>
  <cp:lastModifiedBy>Użytkownik systemu Windows</cp:lastModifiedBy>
  <dcterms:created xsi:type="dcterms:W3CDTF">2018-05-12T18:10:07Z</dcterms:created>
  <dcterms:modified xsi:type="dcterms:W3CDTF">2018-06-17T11:43:05Z</dcterms:modified>
</cp:coreProperties>
</file>