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8028" windowHeight="5916" tabRatio="915"/>
  </bookViews>
  <sheets>
    <sheet name="Данные для расчетов" sheetId="1" r:id="rId1"/>
    <sheet name="Первоначальные затраты" sheetId="2" r:id="rId2"/>
    <sheet name="План на будущие периоды " sheetId="3" r:id="rId3"/>
    <sheet name="Расчеты себестоимости продукции" sheetId="4" r:id="rId4"/>
    <sheet name="Факт прошлых перидов" sheetId="5" r:id="rId5"/>
    <sheet name="Фактический баланс" sheetId="6" r:id="rId6"/>
    <sheet name="Прогнозный баланс" sheetId="7" r:id="rId7"/>
    <sheet name="План ДДС" sheetId="8" r:id="rId8"/>
    <sheet name="Факт ДДС" sheetId="15" r:id="rId9"/>
    <sheet name="Показатели деятельности " sheetId="14" r:id="rId10"/>
  </sheets>
  <externalReferences>
    <externalReference r:id="rId11"/>
    <externalReference r:id="rId12"/>
  </externalReferences>
  <definedNames>
    <definedName name="_xlcn.WorksheetConnection_ФактпрошлыхперидовA20F40" hidden="1">'Факт прошлых перидов'!$A$12:$F$30</definedName>
    <definedName name="CASH_DEFICIT">[1]Расчеты!$B$63</definedName>
  </definedNames>
  <calcPr calcId="144525"/>
  <extLst>
    <ext xmlns:x15="http://schemas.microsoft.com/office/spreadsheetml/2010/11/main" uri="{FCE2AD5D-F65C-4FA6-A056-5C36A1767C68}">
      <x15:dataModel>
        <x15:modelTables>
          <x15:modelTable id="Диапазон-bad4f51d-dccd-47a2-9873-ca6709c597f0" name="Диапазон" connection="WorksheetConnection_Факт прошлых перидов!$A$20:$F$40"/>
        </x15:modelTables>
      </x15:dataModel>
    </ext>
  </extLst>
</workbook>
</file>

<file path=xl/calcChain.xml><?xml version="1.0" encoding="utf-8"?>
<calcChain xmlns="http://schemas.openxmlformats.org/spreadsheetml/2006/main">
  <c r="T6" i="14" l="1"/>
  <c r="T5" i="14"/>
  <c r="T4" i="14"/>
  <c r="T3" i="14"/>
  <c r="B55" i="14"/>
  <c r="B42" i="14"/>
  <c r="D21" i="15"/>
  <c r="D19" i="15"/>
  <c r="D12" i="15"/>
  <c r="D11" i="15"/>
  <c r="D10" i="15"/>
  <c r="C9" i="6"/>
  <c r="C7" i="6"/>
  <c r="D34" i="5"/>
  <c r="D33" i="5"/>
  <c r="K27" i="5"/>
  <c r="Y3" i="3"/>
  <c r="M73" i="3"/>
  <c r="L73" i="3"/>
  <c r="K73" i="3"/>
  <c r="J73" i="3"/>
  <c r="I73" i="3"/>
  <c r="H73" i="3"/>
  <c r="G73" i="3"/>
  <c r="F73" i="3"/>
  <c r="E73" i="3"/>
  <c r="D73" i="3"/>
  <c r="C73" i="3"/>
  <c r="B73" i="3"/>
  <c r="M53" i="3"/>
  <c r="L53" i="3"/>
  <c r="K53" i="3"/>
  <c r="J53" i="3"/>
  <c r="I53" i="3"/>
  <c r="H53" i="3"/>
  <c r="G53" i="3"/>
  <c r="F53" i="3"/>
  <c r="E53" i="3"/>
  <c r="D53" i="3"/>
  <c r="C53" i="3"/>
  <c r="B53" i="3"/>
  <c r="N40" i="3"/>
  <c r="N39" i="3"/>
  <c r="N38" i="3"/>
  <c r="N37" i="3"/>
  <c r="N36" i="3"/>
  <c r="N35" i="3"/>
  <c r="N34" i="3"/>
  <c r="N33" i="3"/>
  <c r="N32" i="3"/>
  <c r="N31" i="3"/>
  <c r="N30" i="3"/>
  <c r="N26" i="3"/>
  <c r="N25" i="3"/>
  <c r="N24" i="3"/>
  <c r="N23" i="3"/>
  <c r="N22" i="3"/>
  <c r="N21" i="3"/>
  <c r="N20" i="3"/>
  <c r="N19" i="3"/>
  <c r="N18" i="3"/>
  <c r="N17" i="3"/>
  <c r="N73" i="3" l="1"/>
  <c r="N53" i="3"/>
  <c r="D14" i="3"/>
  <c r="D13" i="3"/>
  <c r="D12" i="3"/>
  <c r="D11" i="3"/>
  <c r="D10" i="3"/>
  <c r="D9" i="3"/>
  <c r="D8" i="3"/>
  <c r="D7" i="3"/>
  <c r="D6" i="3"/>
  <c r="D5" i="3"/>
  <c r="D4" i="3"/>
  <c r="B12" i="1"/>
  <c r="K47" i="3"/>
  <c r="J47" i="3"/>
  <c r="I47" i="3"/>
  <c r="H47" i="3"/>
  <c r="G47" i="3"/>
  <c r="F47" i="3"/>
  <c r="D16" i="2" l="1"/>
  <c r="D15" i="2"/>
  <c r="D14" i="2"/>
  <c r="D13" i="2"/>
  <c r="D29" i="1"/>
  <c r="D28" i="1"/>
  <c r="D27" i="1"/>
  <c r="D26" i="1"/>
  <c r="B41" i="1" l="1"/>
  <c r="E18" i="15" l="1"/>
  <c r="F18" i="15"/>
  <c r="D20" i="15"/>
  <c r="F13" i="15"/>
  <c r="G13" i="15"/>
  <c r="F14" i="15"/>
  <c r="G14" i="15"/>
  <c r="E13" i="15"/>
  <c r="E14" i="15"/>
  <c r="D6" i="15"/>
  <c r="D9" i="15"/>
  <c r="D13" i="15"/>
  <c r="D14" i="15"/>
  <c r="I34" i="14" l="1"/>
  <c r="J34" i="14"/>
  <c r="V7" i="14"/>
  <c r="J21" i="14"/>
  <c r="E20" i="15" s="1"/>
  <c r="K21" i="14"/>
  <c r="F20" i="15" s="1"/>
  <c r="B34" i="14"/>
  <c r="D34" i="14" s="1"/>
  <c r="H34" i="14"/>
  <c r="B35" i="14"/>
  <c r="D35" i="14" s="1"/>
  <c r="B36" i="14"/>
  <c r="D36" i="14" s="1"/>
  <c r="AA28" i="3" l="1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C56" i="3" l="1"/>
  <c r="D56" i="3"/>
  <c r="E56" i="3"/>
  <c r="F56" i="3"/>
  <c r="G56" i="3"/>
  <c r="H56" i="3"/>
  <c r="I56" i="3"/>
  <c r="J56" i="3"/>
  <c r="K56" i="3"/>
  <c r="L56" i="3"/>
  <c r="M56" i="3"/>
  <c r="B56" i="3"/>
  <c r="C74" i="3"/>
  <c r="D74" i="3"/>
  <c r="E74" i="3"/>
  <c r="G74" i="3"/>
  <c r="H74" i="3"/>
  <c r="K74" i="3"/>
  <c r="M74" i="3"/>
  <c r="B74" i="3"/>
  <c r="C50" i="3"/>
  <c r="D50" i="3"/>
  <c r="E50" i="3"/>
  <c r="F50" i="3"/>
  <c r="G50" i="3"/>
  <c r="H50" i="3"/>
  <c r="I50" i="3"/>
  <c r="J50" i="3"/>
  <c r="K50" i="3"/>
  <c r="L50" i="3"/>
  <c r="M50" i="3"/>
  <c r="B50" i="3"/>
  <c r="C47" i="3"/>
  <c r="B47" i="3"/>
  <c r="B61" i="3"/>
  <c r="C61" i="3"/>
  <c r="E61" i="3"/>
  <c r="F61" i="3"/>
  <c r="G61" i="3"/>
  <c r="H61" i="3"/>
  <c r="I61" i="3"/>
  <c r="J61" i="3"/>
  <c r="U3" i="3" s="1"/>
  <c r="K61" i="3"/>
  <c r="U4" i="3" s="1"/>
  <c r="X4" i="3" s="1"/>
  <c r="B67" i="3"/>
  <c r="U5" i="3" s="1"/>
  <c r="C67" i="3"/>
  <c r="U6" i="3" s="1"/>
  <c r="D67" i="3"/>
  <c r="U7" i="3" s="1"/>
  <c r="E67" i="3"/>
  <c r="U8" i="3" s="1"/>
  <c r="F67" i="3"/>
  <c r="U9" i="3" s="1"/>
  <c r="G67" i="3"/>
  <c r="U10" i="3" s="1"/>
  <c r="H67" i="3"/>
  <c r="U11" i="3" s="1"/>
  <c r="I67" i="3"/>
  <c r="U12" i="3" s="1"/>
  <c r="J67" i="3"/>
  <c r="U13" i="3" s="1"/>
  <c r="K67" i="3"/>
  <c r="U14" i="3" s="1"/>
  <c r="L67" i="3"/>
  <c r="U15" i="3" s="1"/>
  <c r="M67" i="3"/>
  <c r="U16" i="3" s="1"/>
  <c r="U17" i="3"/>
  <c r="U19" i="3"/>
  <c r="U20" i="3"/>
  <c r="U21" i="3"/>
  <c r="U22" i="3"/>
  <c r="U23" i="3"/>
  <c r="U24" i="3"/>
  <c r="U25" i="3"/>
  <c r="U26" i="3"/>
  <c r="U27" i="3"/>
  <c r="U28" i="3"/>
  <c r="X28" i="3" l="1"/>
  <c r="AC28" i="3"/>
  <c r="M76" i="3" s="1"/>
  <c r="X20" i="3"/>
  <c r="AC20" i="3"/>
  <c r="E76" i="3" s="1"/>
  <c r="X13" i="3"/>
  <c r="AC13" i="3"/>
  <c r="J70" i="3" s="1"/>
  <c r="AC5" i="3"/>
  <c r="B70" i="3" s="1"/>
  <c r="X5" i="3"/>
  <c r="I68" i="3"/>
  <c r="E68" i="3"/>
  <c r="I74" i="3"/>
  <c r="AC27" i="3"/>
  <c r="L76" i="3" s="1"/>
  <c r="X27" i="3"/>
  <c r="X19" i="3"/>
  <c r="AC19" i="3"/>
  <c r="D76" i="3" s="1"/>
  <c r="AC12" i="3"/>
  <c r="I70" i="3" s="1"/>
  <c r="X12" i="3"/>
  <c r="AC26" i="3"/>
  <c r="K76" i="3" s="1"/>
  <c r="X26" i="3"/>
  <c r="U18" i="3"/>
  <c r="X15" i="3"/>
  <c r="AC15" i="3"/>
  <c r="L70" i="3" s="1"/>
  <c r="AC11" i="3"/>
  <c r="H70" i="3" s="1"/>
  <c r="X11" i="3"/>
  <c r="X7" i="3"/>
  <c r="AC7" i="3"/>
  <c r="D70" i="3" s="1"/>
  <c r="K62" i="3"/>
  <c r="G62" i="3"/>
  <c r="C62" i="3"/>
  <c r="K68" i="3"/>
  <c r="G68" i="3"/>
  <c r="C68" i="3"/>
  <c r="AC4" i="3"/>
  <c r="C34" i="5" s="1"/>
  <c r="C35" i="5" s="1"/>
  <c r="X24" i="3"/>
  <c r="AC24" i="3"/>
  <c r="I76" i="3" s="1"/>
  <c r="I62" i="3"/>
  <c r="M68" i="3"/>
  <c r="AC23" i="3"/>
  <c r="H76" i="3" s="1"/>
  <c r="X23" i="3"/>
  <c r="X16" i="3"/>
  <c r="AC16" i="3"/>
  <c r="M70" i="3" s="1"/>
  <c r="X8" i="3"/>
  <c r="AC8" i="3"/>
  <c r="E70" i="3" s="1"/>
  <c r="B62" i="3"/>
  <c r="H62" i="3"/>
  <c r="L68" i="3"/>
  <c r="H68" i="3"/>
  <c r="D68" i="3"/>
  <c r="L74" i="3"/>
  <c r="X25" i="3"/>
  <c r="AC25" i="3"/>
  <c r="J76" i="3" s="1"/>
  <c r="X17" i="3"/>
  <c r="AC17" i="3"/>
  <c r="B76" i="3" s="1"/>
  <c r="AC14" i="3"/>
  <c r="K70" i="3" s="1"/>
  <c r="X14" i="3"/>
  <c r="AC6" i="3"/>
  <c r="C70" i="3" s="1"/>
  <c r="X6" i="3"/>
  <c r="X3" i="3"/>
  <c r="AC3" i="3"/>
  <c r="B34" i="5" s="1"/>
  <c r="J62" i="3"/>
  <c r="F62" i="3"/>
  <c r="B68" i="3"/>
  <c r="J68" i="3"/>
  <c r="F68" i="3"/>
  <c r="J74" i="3"/>
  <c r="F74" i="3"/>
  <c r="X9" i="3"/>
  <c r="AC9" i="3"/>
  <c r="F70" i="3" s="1"/>
  <c r="AC21" i="3"/>
  <c r="F76" i="3" s="1"/>
  <c r="X21" i="3"/>
  <c r="N67" i="3"/>
  <c r="N69" i="3" l="1"/>
  <c r="D62" i="3"/>
  <c r="N68" i="3"/>
  <c r="N74" i="3"/>
  <c r="J64" i="3"/>
  <c r="AC18" i="3"/>
  <c r="C76" i="3" s="1"/>
  <c r="N75" i="3" s="1"/>
  <c r="X18" i="3"/>
  <c r="B64" i="3"/>
  <c r="C64" i="3"/>
  <c r="K64" i="3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F19" i="5" l="1"/>
  <c r="D64" i="3"/>
  <c r="D18" i="2"/>
  <c r="D17" i="2"/>
  <c r="D31" i="1"/>
  <c r="N43" i="3"/>
  <c r="D12" i="2"/>
  <c r="D11" i="2"/>
  <c r="D10" i="2"/>
  <c r="D9" i="2"/>
  <c r="D8" i="2"/>
  <c r="D7" i="2"/>
  <c r="D6" i="2"/>
  <c r="D5" i="2"/>
  <c r="D4" i="2"/>
  <c r="D30" i="1"/>
  <c r="D19" i="2" l="1"/>
  <c r="B2" i="14" s="1"/>
  <c r="M27" i="5"/>
  <c r="M26" i="5"/>
  <c r="M25" i="5"/>
  <c r="M24" i="5"/>
  <c r="M23" i="5"/>
  <c r="M22" i="5"/>
  <c r="M21" i="5"/>
  <c r="M20" i="5"/>
  <c r="M19" i="5"/>
  <c r="M18" i="5"/>
  <c r="M17" i="5"/>
  <c r="L27" i="5"/>
  <c r="L26" i="5"/>
  <c r="L25" i="5"/>
  <c r="L24" i="5"/>
  <c r="L23" i="5"/>
  <c r="L22" i="5"/>
  <c r="L21" i="5"/>
  <c r="L20" i="5"/>
  <c r="L19" i="5"/>
  <c r="L18" i="5"/>
  <c r="L17" i="5"/>
  <c r="L16" i="5"/>
  <c r="K26" i="5"/>
  <c r="N42" i="3"/>
  <c r="N27" i="3"/>
  <c r="B43" i="1"/>
  <c r="B42" i="1"/>
  <c r="D25" i="1"/>
  <c r="D24" i="1"/>
  <c r="D23" i="1"/>
  <c r="D22" i="1"/>
  <c r="D21" i="1"/>
  <c r="D20" i="1"/>
  <c r="D19" i="1"/>
  <c r="D18" i="1"/>
  <c r="D17" i="1"/>
  <c r="B4" i="14" l="1"/>
  <c r="J10" i="14" s="1"/>
  <c r="E9" i="15" s="1"/>
  <c r="T2" i="14"/>
  <c r="U3" i="14" s="1"/>
  <c r="U4" i="14" s="1"/>
  <c r="U5" i="14" s="1"/>
  <c r="U6" i="14" s="1"/>
  <c r="I6" i="14"/>
  <c r="B53" i="14"/>
  <c r="F4" i="4"/>
  <c r="D12" i="1"/>
  <c r="E4" i="4"/>
  <c r="C12" i="1"/>
  <c r="D32" i="1"/>
  <c r="M16" i="5"/>
  <c r="F7" i="5"/>
  <c r="E2" i="7"/>
  <c r="N56" i="3"/>
  <c r="N50" i="3"/>
  <c r="B35" i="5"/>
  <c r="I19" i="14" l="1"/>
  <c r="D18" i="15" s="1"/>
  <c r="D5" i="15"/>
  <c r="K10" i="14"/>
  <c r="K8" i="14"/>
  <c r="E5" i="7"/>
  <c r="D6" i="8"/>
  <c r="D2" i="7"/>
  <c r="D5" i="7" s="1"/>
  <c r="L10" i="14" l="1"/>
  <c r="G9" i="15" s="1"/>
  <c r="F9" i="15"/>
  <c r="F7" i="15"/>
  <c r="G7" i="15"/>
  <c r="C6" i="8"/>
  <c r="J8" i="14" s="1"/>
  <c r="E7" i="15" s="1"/>
  <c r="D5" i="8"/>
  <c r="D10" i="8"/>
  <c r="L8" i="14" l="1"/>
  <c r="C5" i="8"/>
  <c r="C10" i="8"/>
  <c r="C9" i="8"/>
  <c r="Y4" i="3" l="1"/>
  <c r="Y5" i="3" s="1"/>
  <c r="Y6" i="3" s="1"/>
  <c r="Y7" i="3" s="1"/>
  <c r="Y8" i="3" s="1"/>
  <c r="Y9" i="3" s="1"/>
  <c r="AC10" i="3"/>
  <c r="G70" i="3" s="1"/>
  <c r="N70" i="3" s="1"/>
  <c r="X10" i="3"/>
  <c r="AC22" i="3"/>
  <c r="X22" i="3"/>
  <c r="Y10" i="3" l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AD3" i="3"/>
  <c r="C3" i="7" s="1"/>
  <c r="AD17" i="3"/>
  <c r="G76" i="3"/>
  <c r="N76" i="3" s="1"/>
  <c r="AD6" i="3"/>
  <c r="B8" i="8" l="1"/>
  <c r="D5" i="4"/>
  <c r="D6" i="4" s="1"/>
  <c r="D3" i="7"/>
  <c r="D4" i="7" s="1"/>
  <c r="D6" i="7" s="1"/>
  <c r="C8" i="8"/>
  <c r="E5" i="4"/>
  <c r="E6" i="4" s="1"/>
  <c r="D35" i="5"/>
  <c r="F5" i="4"/>
  <c r="F6" i="4" s="1"/>
  <c r="D8" i="8"/>
  <c r="E3" i="7"/>
  <c r="E4" i="7" s="1"/>
  <c r="C6" i="6"/>
  <c r="I9" i="14" l="1"/>
  <c r="D8" i="15" s="1"/>
  <c r="B6" i="14"/>
  <c r="D9" i="8"/>
  <c r="D11" i="8" s="1"/>
  <c r="E6" i="7"/>
  <c r="K9" i="14"/>
  <c r="G8" i="15" s="1"/>
  <c r="J9" i="14"/>
  <c r="E8" i="15" s="1"/>
  <c r="C11" i="8"/>
  <c r="K11" i="14" l="1"/>
  <c r="K12" i="14" s="1"/>
  <c r="G11" i="15" s="1"/>
  <c r="F8" i="15"/>
  <c r="L9" i="14"/>
  <c r="J11" i="14"/>
  <c r="E10" i="15" s="1"/>
  <c r="F10" i="15" l="1"/>
  <c r="G10" i="15"/>
  <c r="K13" i="14"/>
  <c r="G12" i="15" s="1"/>
  <c r="F11" i="15"/>
  <c r="L11" i="14"/>
  <c r="J12" i="14"/>
  <c r="L12" i="14" l="1"/>
  <c r="E11" i="15"/>
  <c r="K20" i="14"/>
  <c r="F12" i="15"/>
  <c r="J13" i="14"/>
  <c r="J20" i="14" l="1"/>
  <c r="E12" i="15"/>
  <c r="K22" i="14"/>
  <c r="F19" i="15"/>
  <c r="L13" i="14"/>
  <c r="F21" i="15" l="1"/>
  <c r="A36" i="14"/>
  <c r="D42" i="14"/>
  <c r="J22" i="14"/>
  <c r="E19" i="15"/>
  <c r="E21" i="15" l="1"/>
  <c r="C42" i="14"/>
  <c r="A35" i="14"/>
  <c r="E36" i="14"/>
  <c r="D54" i="14"/>
  <c r="D55" i="14" s="1"/>
  <c r="E35" i="14" l="1"/>
  <c r="C54" i="14"/>
  <c r="C55" i="14" s="1"/>
  <c r="E47" i="3"/>
  <c r="D7" i="15"/>
  <c r="B7" i="14"/>
  <c r="C5" i="6"/>
  <c r="B5" i="14"/>
  <c r="B21" i="14"/>
  <c r="D63" i="3"/>
  <c r="C8" i="6"/>
  <c r="C5" i="7"/>
  <c r="B9" i="8"/>
  <c r="B10" i="8"/>
  <c r="B54" i="14"/>
  <c r="B50" i="14"/>
  <c r="I12" i="14"/>
  <c r="B6" i="8"/>
  <c r="B5" i="8"/>
  <c r="B11" i="8"/>
  <c r="D47" i="3"/>
  <c r="C2" i="7"/>
  <c r="I8" i="14"/>
  <c r="I11" i="14"/>
  <c r="I13" i="14"/>
  <c r="I20" i="14"/>
  <c r="I22" i="14"/>
  <c r="A34" i="14"/>
  <c r="E34" i="14"/>
  <c r="E37" i="14"/>
  <c r="D61" i="3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Факт прошлых перидов!$A$20:$F$40" type="102" refreshedVersion="5" minRefreshableVersion="5">
    <extLst>
      <ext xmlns:x15="http://schemas.microsoft.com/office/spreadsheetml/2010/11/main" uri="{DE250136-89BD-433C-8126-D09CA5730AF9}">
        <x15:connection id="Диапазон-bad4f51d-dccd-47a2-9873-ca6709c597f0" autoDelete="1">
          <x15:rangePr sourceName="_xlcn.WorksheetConnection_ФактпрошлыхперидовA20F40"/>
        </x15:connection>
      </ext>
    </extLst>
  </connection>
</connections>
</file>

<file path=xl/sharedStrings.xml><?xml version="1.0" encoding="utf-8"?>
<sst xmlns="http://schemas.openxmlformats.org/spreadsheetml/2006/main" count="461" uniqueCount="190">
  <si>
    <t>ИТОГО</t>
  </si>
  <si>
    <t xml:space="preserve">Дата начала проекта </t>
  </si>
  <si>
    <t xml:space="preserve">Ставка дисконтирования </t>
  </si>
  <si>
    <t xml:space="preserve">Объем продаж: </t>
  </si>
  <si>
    <t>Месяц</t>
  </si>
  <si>
    <t>Год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</si>
  <si>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</si>
  <si>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</si>
  <si>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</si>
  <si>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</si>
  <si>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</si>
  <si>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</si>
  <si>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</si>
  <si>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</si>
  <si>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</si>
  <si>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</si>
  <si>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</si>
  <si>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</si>
  <si>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 xml:space="preserve">Итого по годам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</si>
  <si>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</si>
  <si>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</si>
  <si>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</si>
  <si>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</si>
  <si>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</si>
  <si>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</si>
  <si>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</si>
  <si>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</si>
  <si>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№п/п</t>
  </si>
  <si>
    <t>Цена, руб</t>
  </si>
  <si>
    <t xml:space="preserve">Наименование конкурента </t>
  </si>
  <si>
    <t>Цена</t>
  </si>
  <si>
    <t>Средняя цена</t>
  </si>
  <si>
    <t>Максимальная цена</t>
  </si>
  <si>
    <t xml:space="preserve">Наименование </t>
  </si>
  <si>
    <t>Количество, шт</t>
  </si>
  <si>
    <t>Стоимость, руб</t>
  </si>
  <si>
    <t>Стоимость материалов "Первоначальная закупка"</t>
  </si>
  <si>
    <t>Январь</t>
  </si>
  <si>
    <t>Октябрь</t>
  </si>
  <si>
    <t>Ноябрь</t>
  </si>
  <si>
    <t>Декабрь</t>
  </si>
  <si>
    <t>Итого прибыль за месяц</t>
  </si>
  <si>
    <t>Расчеты себестоимости продукции</t>
  </si>
  <si>
    <t>Наименование показателя</t>
  </si>
  <si>
    <t>Расходы в год, руб.</t>
  </si>
  <si>
    <t>Баланс доходов и расходов</t>
  </si>
  <si>
    <t>Издержки, тыс, руб</t>
  </si>
  <si>
    <t>Чистая прибыль</t>
  </si>
  <si>
    <t>Доход от продаж, тыс.  руб.</t>
  </si>
  <si>
    <t xml:space="preserve">План движения денежных средств </t>
  </si>
  <si>
    <t xml:space="preserve">Денежные потоки </t>
  </si>
  <si>
    <t>ПОСТУПЛЕНИЯ</t>
  </si>
  <si>
    <t>Денежные потоки от операционной деятельности</t>
  </si>
  <si>
    <t>Операционные затраты</t>
  </si>
  <si>
    <t>Минимальная цена</t>
  </si>
  <si>
    <t xml:space="preserve">Налоговые отчисления, руб. </t>
  </si>
  <si>
    <t xml:space="preserve">Балансовая прибыль, руб </t>
  </si>
  <si>
    <t>Расходы от уплаты налога</t>
  </si>
  <si>
    <t xml:space="preserve"> </t>
  </si>
  <si>
    <t>-</t>
  </si>
  <si>
    <t>Доходы от продаж, руб</t>
  </si>
  <si>
    <t>Издержки, руб.</t>
  </si>
  <si>
    <t>Доход от продаж,  руб.</t>
  </si>
  <si>
    <t>год</t>
  </si>
  <si>
    <t>Итого в месяц</t>
  </si>
  <si>
    <t>Инвестиция средств на развитие бизнеса</t>
  </si>
  <si>
    <t>Реклама</t>
  </si>
  <si>
    <t>Первоначальные затраты</t>
  </si>
  <si>
    <t>Остаток</t>
  </si>
  <si>
    <t>Сумма с нарастающим итогом</t>
  </si>
  <si>
    <t>Итого</t>
  </si>
  <si>
    <t>Итого за год</t>
  </si>
  <si>
    <t>Издержки</t>
  </si>
  <si>
    <t>Прибыль(убытки)</t>
  </si>
  <si>
    <t>Период окупаемости</t>
  </si>
  <si>
    <t>Начальные траты</t>
  </si>
  <si>
    <t>Нарастающий итог</t>
  </si>
  <si>
    <t>Итого кол-во месяцев</t>
  </si>
  <si>
    <t>Налог 6% от дохода</t>
  </si>
  <si>
    <t xml:space="preserve">Налог 6% от дохода </t>
  </si>
  <si>
    <t xml:space="preserve">Критерий NPV дает вероятностную оценку прироста стоимости предприятия в случае принятия данного проекта. NPV&gt;0. В данном случае имеется возможность принять проект к реализации </t>
  </si>
  <si>
    <t>Ct</t>
  </si>
  <si>
    <t>Io</t>
  </si>
  <si>
    <t>t</t>
  </si>
  <si>
    <t>PI</t>
  </si>
  <si>
    <t>NPV =</t>
  </si>
  <si>
    <r>
      <t>PI = NPV /- I</t>
    </r>
    <r>
      <rPr>
        <b/>
        <vertAlign val="subscript"/>
        <sz val="12"/>
        <color theme="1"/>
        <rFont val="Times New Roman"/>
        <family val="1"/>
        <charset val="204"/>
      </rPr>
      <t>0</t>
    </r>
    <r>
      <rPr>
        <b/>
        <sz val="12"/>
        <color theme="1"/>
        <rFont val="Times New Roman"/>
        <family val="1"/>
        <charset val="204"/>
      </rPr>
      <t xml:space="preserve"> + 1</t>
    </r>
  </si>
  <si>
    <t>Расчет индекса рентабельности</t>
  </si>
  <si>
    <t>Чистый денежный поток NCFt (13+14-12)</t>
  </si>
  <si>
    <t>Расчет внутренней нормы доходности Проекта 1</t>
  </si>
  <si>
    <t>NPV 1</t>
  </si>
  <si>
    <t>Коэффициент дисконтирования</t>
  </si>
  <si>
    <r>
      <t>NCFt /(1+r)</t>
    </r>
    <r>
      <rPr>
        <b/>
        <vertAlign val="superscript"/>
        <sz val="12"/>
        <color theme="1"/>
        <rFont val="Times New Roman"/>
        <family val="1"/>
        <charset val="204"/>
      </rPr>
      <t>t</t>
    </r>
    <r>
      <rPr>
        <b/>
        <sz val="12"/>
        <color theme="1"/>
        <rFont val="Times New Roman"/>
        <family val="1"/>
        <charset val="204"/>
      </rPr>
      <t xml:space="preserve"> </t>
    </r>
  </si>
  <si>
    <r>
      <t>(1+r)</t>
    </r>
    <r>
      <rPr>
        <b/>
        <vertAlign val="superscript"/>
        <sz val="12"/>
        <color theme="1"/>
        <rFont val="Times New Roman"/>
        <family val="1"/>
        <charset val="204"/>
      </rPr>
      <t>t</t>
    </r>
  </si>
  <si>
    <t>1+r</t>
  </si>
  <si>
    <t>Чистый денежный поток NCFt</t>
  </si>
  <si>
    <t>Период</t>
  </si>
  <si>
    <t>Расчет чистой приведенной стоимости (NPV) Проекта 1</t>
  </si>
  <si>
    <t>NCF -  чистый денежный поток в периоде t</t>
  </si>
  <si>
    <r>
      <t xml:space="preserve">r - </t>
    </r>
    <r>
      <rPr>
        <sz val="12"/>
        <color theme="1"/>
        <rFont val="Times New Roman"/>
        <family val="1"/>
        <charset val="204"/>
      </rPr>
      <t xml:space="preserve">норма дисконта </t>
    </r>
  </si>
  <si>
    <t>Определим чистую приведенную стоимость для проектов 1:</t>
  </si>
  <si>
    <t>Поток от завершения проекта LC (10+11)</t>
  </si>
  <si>
    <t>Величина после налогового операционного потока CFt, руб</t>
  </si>
  <si>
    <t>Денежный поток от операций CF (6+9)</t>
  </si>
  <si>
    <t>Начальные капиталовложения (1+3)</t>
  </si>
  <si>
    <t>Денежный поток</t>
  </si>
  <si>
    <t>Высвобождение оборотного капитала</t>
  </si>
  <si>
    <t>Ликвидационная стоимость оборудования</t>
  </si>
  <si>
    <t>Чистый операционный доход (7-8)</t>
  </si>
  <si>
    <t xml:space="preserve">Налог </t>
  </si>
  <si>
    <t>Прибыль до налогообложения (4-5-6)</t>
  </si>
  <si>
    <t>Суммарная амортизация нового и старого оборудования</t>
  </si>
  <si>
    <t>Выручка от реализации Rt</t>
  </si>
  <si>
    <t>Увеличение оборотных средств</t>
  </si>
  <si>
    <t>Налог</t>
  </si>
  <si>
    <t>Закупка и установка оборудования</t>
  </si>
  <si>
    <t>Операционные расходы</t>
  </si>
  <si>
    <t>Проект</t>
  </si>
  <si>
    <t>Выплаты и поступления по проекту</t>
  </si>
  <si>
    <t># пп</t>
  </si>
  <si>
    <t>Расчёт суммы амортизационных отчислений, руб</t>
  </si>
  <si>
    <t>Расчет линейным методом</t>
  </si>
  <si>
    <t>Денежные потоки по инвестиционному Проектам 1-2, руб.</t>
  </si>
  <si>
    <t>Первоначальная закупка материалов и оборудования</t>
  </si>
  <si>
    <t>Гарантия, лет</t>
  </si>
  <si>
    <t xml:space="preserve">Сумма, руб </t>
  </si>
  <si>
    <t>Наименование</t>
  </si>
  <si>
    <r>
      <t xml:space="preserve">n – </t>
    </r>
    <r>
      <rPr>
        <sz val="12"/>
        <color theme="1"/>
        <rFont val="Times New Roman"/>
        <family val="1"/>
        <charset val="204"/>
      </rPr>
      <t>число периодов реализации проекта = 3 лет</t>
    </r>
  </si>
  <si>
    <t xml:space="preserve">Процент займа </t>
  </si>
  <si>
    <t xml:space="preserve">Нет заемного капитала </t>
  </si>
  <si>
    <t xml:space="preserve">Налоговая ставка </t>
  </si>
  <si>
    <t xml:space="preserve">Денежные потоки по инвестиционному Проектам </t>
  </si>
  <si>
    <t>Сравнение роста значений по месяца 2023-2025 года</t>
  </si>
  <si>
    <t>Бизнес план по открытию  "Афанасий" - мастерская сувениров</t>
  </si>
  <si>
    <t xml:space="preserve">Число предлагаемых товаров </t>
  </si>
  <si>
    <t>Количество предоставленных товаров</t>
  </si>
  <si>
    <t>Лазерный принтер</t>
  </si>
  <si>
    <t>Рабочий стол</t>
  </si>
  <si>
    <t>Магнит сувенирный</t>
  </si>
  <si>
    <t>Календарик</t>
  </si>
  <si>
    <t>Бумага 500 листов</t>
  </si>
  <si>
    <t>Карандаши</t>
  </si>
  <si>
    <t>Резец по дереву</t>
  </si>
  <si>
    <t>Степлер</t>
  </si>
  <si>
    <t>Упаковка со скобами для степлера</t>
  </si>
  <si>
    <t>Магниты</t>
  </si>
  <si>
    <t>Клей</t>
  </si>
  <si>
    <t>Ножницы</t>
  </si>
  <si>
    <t>Мастерская сувениров</t>
  </si>
  <si>
    <t>Количество проданных календариков</t>
  </si>
  <si>
    <t>Количество проданных сувенирных магнитов</t>
  </si>
  <si>
    <t>Выручка от проданных товаров</t>
  </si>
  <si>
    <t>Бумага</t>
  </si>
  <si>
    <t>Налог электрический</t>
  </si>
  <si>
    <t xml:space="preserve">Стоимость листов А4 </t>
  </si>
  <si>
    <t>Замена катриджа</t>
  </si>
  <si>
    <t>Катридж</t>
  </si>
  <si>
    <t xml:space="preserve">Электричество </t>
  </si>
  <si>
    <t>Пошлина</t>
  </si>
  <si>
    <t>Количество товаров в год, шт</t>
  </si>
  <si>
    <t xml:space="preserve">Себестоимость товаров, руб. </t>
  </si>
  <si>
    <t xml:space="preserve">Анализ продажи товаров за предыдущие периоды </t>
  </si>
  <si>
    <t>Фактические данные продажи товаров по месяцам</t>
  </si>
  <si>
    <t>Выручка от реализации товара</t>
  </si>
  <si>
    <t>Выручка от реализации проекта, руб</t>
  </si>
  <si>
    <t>Количество расчётных периодов</t>
  </si>
  <si>
    <t>Именные карандаши</t>
  </si>
  <si>
    <t>Фигурка</t>
  </si>
  <si>
    <t>Брелок</t>
  </si>
  <si>
    <t>Глиняная ложка</t>
  </si>
  <si>
    <t>Деревянная лопатка</t>
  </si>
  <si>
    <t>Чётки</t>
  </si>
  <si>
    <t>Браслет</t>
  </si>
  <si>
    <t>Глиняная вилка</t>
  </si>
  <si>
    <t>Наименование товара</t>
  </si>
  <si>
    <t>Нож</t>
  </si>
  <si>
    <t>Деревянная заготовка</t>
  </si>
  <si>
    <t>Верёвка специальная</t>
  </si>
  <si>
    <t>Кусок глины</t>
  </si>
  <si>
    <t>06.11.2023 г</t>
  </si>
  <si>
    <t>Выручка от продаж:</t>
  </si>
  <si>
    <t>ИТОГО:</t>
  </si>
  <si>
    <t>Количество проданных именных карандашей</t>
  </si>
  <si>
    <t>Количество проданных фигурок</t>
  </si>
  <si>
    <t>Количество проданных брелков</t>
  </si>
  <si>
    <t>Количество проданных глиняных ложек</t>
  </si>
  <si>
    <t>Количество проданных деревянных лопаток</t>
  </si>
  <si>
    <t>Количество проданных чёток</t>
  </si>
  <si>
    <t>Количество проданных браслетов</t>
  </si>
  <si>
    <t>Количество проданных глиняных вилок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</si>
</sst>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_ _р_ _-;\-* #,##0.00_ _р_ _-;_-* &quot;-&quot;??_ _р_ _-;_-@_-"/>
  </numFmts>
  <fonts count="17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name val="ЏрЯмой Џроп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313539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195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0" xfId="2" applyAlignment="1">
      <alignment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1" fillId="0" borderId="0" xfId="1" applyNumberFormat="1" applyFont="1"/>
    <xf numFmtId="0" fontId="4" fillId="0" borderId="0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1" xfId="0" applyNumberFormat="1" applyFont="1" applyBorder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8" xfId="0" applyFont="1" applyFill="1" applyBorder="1"/>
    <xf numFmtId="0" fontId="1" fillId="0" borderId="0" xfId="0" applyFont="1" applyFill="1" applyBorder="1" applyAlignment="1"/>
    <xf numFmtId="0" fontId="4" fillId="0" borderId="1" xfId="0" applyFont="1" applyBorder="1" applyAlignment="1">
      <alignment wrapText="1"/>
    </xf>
    <xf numFmtId="1" fontId="4" fillId="0" borderId="0" xfId="0" applyNumberFormat="1" applyFont="1"/>
    <xf numFmtId="1" fontId="4" fillId="0" borderId="0" xfId="0" applyNumberFormat="1" applyFont="1" applyAlignment="1">
      <alignment wrapText="1"/>
    </xf>
    <xf numFmtId="1" fontId="4" fillId="0" borderId="1" xfId="0" applyNumberFormat="1" applyFont="1" applyBorder="1"/>
    <xf numFmtId="1" fontId="4" fillId="0" borderId="1" xfId="1" applyNumberFormat="1" applyFont="1" applyBorder="1"/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Fill="1" applyBorder="1"/>
    <xf numFmtId="2" fontId="1" fillId="0" borderId="0" xfId="0" applyNumberFormat="1" applyFont="1" applyBorder="1"/>
    <xf numFmtId="0" fontId="8" fillId="0" borderId="0" xfId="0" applyFont="1"/>
    <xf numFmtId="0" fontId="1" fillId="0" borderId="0" xfId="0" applyFont="1" applyBorder="1" applyAlignment="1">
      <alignment horizontal="center" vertical="center" wrapText="1"/>
    </xf>
    <xf numFmtId="1" fontId="1" fillId="0" borderId="1" xfId="0" applyNumberFormat="1" applyFont="1" applyBorder="1"/>
    <xf numFmtId="2" fontId="1" fillId="0" borderId="4" xfId="0" applyNumberFormat="1" applyFont="1" applyBorder="1"/>
    <xf numFmtId="0" fontId="7" fillId="0" borderId="1" xfId="0" applyFont="1" applyFill="1" applyBorder="1"/>
    <xf numFmtId="2" fontId="1" fillId="0" borderId="4" xfId="0" applyNumberFormat="1" applyFont="1" applyFill="1" applyBorder="1"/>
    <xf numFmtId="2" fontId="1" fillId="0" borderId="1" xfId="0" applyNumberFormat="1" applyFont="1" applyBorder="1" applyAlignment="1"/>
    <xf numFmtId="2" fontId="1" fillId="0" borderId="1" xfId="1" applyNumberFormat="1" applyFont="1" applyBorder="1"/>
    <xf numFmtId="2" fontId="1" fillId="0" borderId="1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Border="1" applyAlignment="1"/>
    <xf numFmtId="2" fontId="4" fillId="0" borderId="1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" fillId="0" borderId="4" xfId="1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wrapText="1"/>
    </xf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2" borderId="1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2" fontId="1" fillId="0" borderId="12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2" applyFont="1"/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7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1" fillId="0" borderId="1" xfId="0" applyFont="1" applyBorder="1"/>
    <xf numFmtId="2" fontId="1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" fillId="3" borderId="1" xfId="0" applyFont="1" applyFill="1" applyBorder="1"/>
    <xf numFmtId="0" fontId="1" fillId="0" borderId="7" xfId="0" applyFont="1" applyBorder="1"/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wrapText="1"/>
    </xf>
    <xf numFmtId="2" fontId="16" fillId="0" borderId="0" xfId="0" applyNumberFormat="1" applyFont="1" applyBorder="1"/>
    <xf numFmtId="2" fontId="16" fillId="0" borderId="0" xfId="1" applyNumberFormat="1" applyFont="1" applyBorder="1"/>
    <xf numFmtId="2" fontId="16" fillId="0" borderId="0" xfId="0" applyNumberFormat="1" applyFont="1" applyFill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/>
  </cellXfs>
  <cellStyles count="5">
    <cellStyle name="Comma_BS" xfId="4"/>
    <cellStyle name="Normal_Assump." xfId="3"/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7950040727668"/>
          <c:y val="4.9842961548998317E-2"/>
          <c:w val="0.84304348809847063"/>
          <c:h val="0.782899511298461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'Данные для расчетов'!$A$40:$A$40</c:f>
              <c:strCache>
                <c:ptCount val="1"/>
                <c:pt idx="0">
                  <c:v>Мастерская сувениров</c:v>
                </c:pt>
              </c:strCache>
            </c:strRef>
          </c:cat>
          <c:val>
            <c:numRef>
              <c:f>'Данные для расчетов'!$B$40:$B$40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3-48AF-A1D6-DD3226A2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41440"/>
        <c:axId val="260559616"/>
      </c:barChart>
      <c:catAx>
        <c:axId val="26054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59616"/>
        <c:crosses val="autoZero"/>
        <c:auto val="1"/>
        <c:lblAlgn val="ctr"/>
        <c:lblOffset val="100"/>
        <c:noMultiLvlLbl val="0"/>
      </c:catAx>
      <c:valAx>
        <c:axId val="260559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054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Анализ показателей за 202</a:t>
            </a:r>
            <a:r>
              <a:rPr lang="en-US"/>
              <a:t>3</a:t>
            </a:r>
            <a:r>
              <a:rPr lang="ru-RU"/>
              <a:t>-202</a:t>
            </a:r>
            <a:r>
              <a:rPr lang="en-US"/>
              <a:t>5</a:t>
            </a:r>
            <a:r>
              <a:rPr lang="ru-RU"/>
              <a:t> года</a:t>
            </a:r>
          </a:p>
          <a:p>
            <a:pPr>
              <a:defRPr/>
            </a:pPr>
            <a:r>
              <a:rPr lang="ru-RU"/>
              <a:t>(январь - декабрь)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'Факт прошлых перидов'!$K$15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'Факт прошлых перидов'!$J$16:$J$27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перидов'!$K$16:$K$26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13-4FD6-8E90-B0F5BEA83431}"/>
            </c:ext>
          </c:extLst>
        </c:ser>
        <c:ser>
          <c:idx val="1"/>
          <c:order val="1"/>
          <c:tx>
            <c:strRef>
              <c:f>'Факт прошлых перидов'!$L$15</c:f>
              <c:strCache>
                <c:ptCount val="1"/>
                <c:pt idx="0">
                  <c:v>2024</c:v>
                </c:pt>
              </c:strCache>
            </c:strRef>
          </c:tx>
          <c:invertIfNegative val="0"/>
          <c:cat>
            <c:strRef>
              <c:f>'Факт прошлых перидов'!$J$16:$J$27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перидов'!$L$16:$L$27</c:f>
              <c:numCache>
                <c:formatCode>General</c:formatCode>
                <c:ptCount val="12"/>
                <c:pt idx="0">
                  <c:v>58</c:v>
                </c:pt>
                <c:pt idx="1">
                  <c:v>85</c:v>
                </c:pt>
                <c:pt idx="2">
                  <c:v>80</c:v>
                </c:pt>
                <c:pt idx="3">
                  <c:v>46</c:v>
                </c:pt>
                <c:pt idx="4">
                  <c:v>33</c:v>
                </c:pt>
                <c:pt idx="5">
                  <c:v>36</c:v>
                </c:pt>
                <c:pt idx="6">
                  <c:v>40</c:v>
                </c:pt>
                <c:pt idx="7">
                  <c:v>82</c:v>
                </c:pt>
                <c:pt idx="8">
                  <c:v>88</c:v>
                </c:pt>
                <c:pt idx="9">
                  <c:v>41</c:v>
                </c:pt>
                <c:pt idx="10">
                  <c:v>43</c:v>
                </c:pt>
                <c:pt idx="11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13-4FD6-8E90-B0F5BEA83431}"/>
            </c:ext>
          </c:extLst>
        </c:ser>
        <c:ser>
          <c:idx val="2"/>
          <c:order val="2"/>
          <c:tx>
            <c:strRef>
              <c:f>'Факт прошлых перидов'!$M$15</c:f>
              <c:strCache>
                <c:ptCount val="1"/>
                <c:pt idx="0">
                  <c:v>2025</c:v>
                </c:pt>
              </c:strCache>
            </c:strRef>
          </c:tx>
          <c:invertIfNegative val="0"/>
          <c:cat>
            <c:strRef>
              <c:f>'Факт прошлых перидов'!$J$16:$J$27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перидов'!$M$16:$M$27</c:f>
              <c:numCache>
                <c:formatCode>0</c:formatCode>
                <c:ptCount val="12"/>
                <c:pt idx="0">
                  <c:v>75</c:v>
                </c:pt>
                <c:pt idx="1">
                  <c:v>128</c:v>
                </c:pt>
                <c:pt idx="2">
                  <c:v>105</c:v>
                </c:pt>
                <c:pt idx="3">
                  <c:v>57</c:v>
                </c:pt>
                <c:pt idx="4">
                  <c:v>53</c:v>
                </c:pt>
                <c:pt idx="5">
                  <c:v>50</c:v>
                </c:pt>
                <c:pt idx="6">
                  <c:v>52</c:v>
                </c:pt>
                <c:pt idx="7">
                  <c:v>124</c:v>
                </c:pt>
                <c:pt idx="8">
                  <c:v>141</c:v>
                </c:pt>
                <c:pt idx="9">
                  <c:v>58</c:v>
                </c:pt>
                <c:pt idx="10">
                  <c:v>60</c:v>
                </c:pt>
                <c:pt idx="11">
                  <c:v>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4-4641-80DF-0AAC7C663513}"/>
            </c:ext>
          </c:extLst>
        </c:ser>
        <c:ser>
          <c:idx val="3"/>
          <c:order val="3"/>
          <c:tx>
            <c:strRef>
              <c:f>'Факт прошлых перидов'!#REF!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'Факт прошлых перидов'!$J$16:$J$27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'Факт прошлых перидов'!#REF!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A4-4641-80DF-0AAC7C66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829952"/>
        <c:axId val="260831488"/>
      </c:barChart>
      <c:catAx>
        <c:axId val="2608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60831488"/>
        <c:crosses val="autoZero"/>
        <c:auto val="1"/>
        <c:lblAlgn val="ctr"/>
        <c:lblOffset val="100"/>
        <c:noMultiLvlLbl val="0"/>
      </c:catAx>
      <c:valAx>
        <c:axId val="26083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60829952"/>
        <c:crosses val="autoZero"/>
        <c:crossBetween val="between"/>
      </c:valAx>
    </c:plotArea>
    <c:legend>
      <c:legendPos val="b"/>
      <c:legendEntry>
        <c:idx val="3"/>
        <c:delete val="1"/>
      </c:legendEntry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Точка</a:t>
            </a:r>
            <a:r>
              <a:rPr lang="ru-RU" baseline="0"/>
              <a:t>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102335744673807E-2"/>
          <c:y val="0.18706685683404076"/>
          <c:w val="0.94218576702147028"/>
          <c:h val="0.77039113339655707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'Показатели деятельности '!$S$3:$S$6</c:f>
              <c:strCache>
                <c:ptCount val="4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</c:strCache>
            </c:strRef>
          </c:cat>
          <c:val>
            <c:numRef>
              <c:f>'Показатели деятельности '!$U$3:$U$6</c:f>
              <c:numCache>
                <c:formatCode>0.00</c:formatCode>
                <c:ptCount val="4"/>
                <c:pt idx="0">
                  <c:v>-46032.125</c:v>
                </c:pt>
                <c:pt idx="1">
                  <c:v>-30672.75</c:v>
                </c:pt>
                <c:pt idx="2">
                  <c:v>-8311.5</c:v>
                </c:pt>
                <c:pt idx="3">
                  <c:v>12550.6875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9-43E5-87E1-ABA22A2B0A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226048"/>
        <c:axId val="260265856"/>
      </c:lineChart>
      <c:catAx>
        <c:axId val="2602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65856"/>
        <c:crosses val="autoZero"/>
        <c:auto val="1"/>
        <c:lblAlgn val="ctr"/>
        <c:lblOffset val="100"/>
        <c:noMultiLvlLbl val="0"/>
      </c:catAx>
      <c:valAx>
        <c:axId val="2602658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602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14</xdr:col>
      <xdr:colOff>447675</xdr:colOff>
      <xdr:row>36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0" y="5200650"/>
          <a:ext cx="106680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Метод ориентации на цены конкурентов, которые предлагают схожие по содержанию и уровню качества товары. Суть метода заключается в мониторинге предложений прямых конкурентов и установке конкурентоспособных цен.</a:t>
          </a:r>
        </a:p>
        <a:p>
          <a:r>
            <a:rPr lang="ru-RU" sz="1200">
              <a:latin typeface="Times New Roman" pitchFamily="18" charset="0"/>
              <a:cs typeface="Times New Roman" pitchFamily="18" charset="0"/>
            </a:rPr>
            <a:t/>
          </a:r>
          <a:br>
            <a:rPr lang="ru-RU" sz="1200">
              <a:latin typeface="Times New Roman" pitchFamily="18" charset="0"/>
              <a:cs typeface="Times New Roman" pitchFamily="18" charset="0"/>
            </a:rPr>
          </a:br>
          <a:endParaRPr lang="ru-RU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514350</xdr:colOff>
      <xdr:row>37</xdr:row>
      <xdr:rowOff>52387</xdr:rowOff>
    </xdr:from>
    <xdr:to>
      <xdr:col>10</xdr:col>
      <xdr:colOff>107156</xdr:colOff>
      <xdr:row>49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11429</xdr:colOff>
      <xdr:row>11</xdr:row>
      <xdr:rowOff>9524</xdr:rowOff>
    </xdr:from>
    <xdr:to>
      <xdr:col>31</xdr:col>
      <xdr:colOff>9525</xdr:colOff>
      <xdr:row>34</xdr:row>
      <xdr:rowOff>19049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18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0" y="1905000"/>
          <a:ext cx="26003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Определим величину после налогового операционного потока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которая будет равна:</a:t>
          </a: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CFt = (R –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(1-T) + At * T,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где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выручка от реализации проекта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operating costs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– операционные расходы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сумма амортизационных отчислений за период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ставка налога на прибыль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24</xdr:row>
          <xdr:rowOff>0</xdr:rowOff>
        </xdr:from>
        <xdr:to>
          <xdr:col>0</xdr:col>
          <xdr:colOff>937260</xdr:colOff>
          <xdr:row>26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14</xdr:col>
      <xdr:colOff>542102</xdr:colOff>
      <xdr:row>7</xdr:row>
      <xdr:rowOff>200359</xdr:rowOff>
    </xdr:from>
    <xdr:to>
      <xdr:col>22</xdr:col>
      <xdr:colOff>31415</xdr:colOff>
      <xdr:row>20</xdr:row>
      <xdr:rowOff>27263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73;&#1080;&#1079;&#1085;&#1077;&#1089;-&#1087;&#1083;&#1072;&#1085;/1111111111111111/1111111111111111/raschet_biznes_plan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4;&#1077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ибыль"/>
      <sheetName val="Баланс"/>
      <sheetName val="Кэш-фло"/>
      <sheetName val="Анализ"/>
      <sheetName val="Графики"/>
      <sheetName val="SENS"/>
      <sheetName val="Расчеты"/>
      <sheetName val="Лист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>
        <row r="63">
          <cell r="B63">
            <v>-6428.6866666666465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ов"/>
      <sheetName val="Первоначальные затраты"/>
      <sheetName val="План на будущие периоды "/>
      <sheetName val="Расчеты себестоимости продукции"/>
      <sheetName val="Факт прошлых перидов"/>
      <sheetName val="Фактический баланс"/>
      <sheetName val="Прогнозный баланс"/>
      <sheetName val="План ДДС"/>
      <sheetName val="Факт ДДС"/>
      <sheetName val="Показатели деятельности "/>
    </sheetNames>
    <sheetDataSet>
      <sheetData sheetId="0" refreshError="1"/>
      <sheetData sheetId="1" refreshError="1"/>
      <sheetData sheetId="2">
        <row r="35">
          <cell r="B35">
            <v>-6648.125</v>
          </cell>
          <cell r="C35">
            <v>15359.375</v>
          </cell>
          <cell r="D35">
            <v>22361.25</v>
          </cell>
          <cell r="E35">
            <v>20862.1875</v>
          </cell>
        </row>
      </sheetData>
      <sheetData sheetId="3" refreshError="1"/>
      <sheetData sheetId="4" refreshError="1"/>
      <sheetData sheetId="5" refreshError="1"/>
      <sheetData sheetId="6">
        <row r="4">
          <cell r="C4">
            <v>263225.25</v>
          </cell>
        </row>
        <row r="6">
          <cell r="C6">
            <v>238025.25</v>
          </cell>
        </row>
      </sheetData>
      <sheetData sheetId="7" refreshError="1"/>
      <sheetData sheetId="8" refreshError="1"/>
      <sheetData sheetId="9">
        <row r="11">
          <cell r="I11">
            <v>263225.25</v>
          </cell>
        </row>
        <row r="12">
          <cell r="I12">
            <v>15793.514999999999</v>
          </cell>
        </row>
        <row r="13">
          <cell r="I13">
            <v>247431.73499999999</v>
          </cell>
        </row>
        <row r="20">
          <cell r="I20">
            <v>247431.73499999999</v>
          </cell>
        </row>
        <row r="22">
          <cell r="I22">
            <v>200782.73499999999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72"/>
  <sheetViews>
    <sheetView tabSelected="1" zoomScale="70" zoomScaleNormal="70" workbookViewId="0"/>
  </sheetViews>
  <sheetFormatPr defaultColWidth="8.88671875" defaultRowHeight="15.6"/>
  <cols>
    <col min="1" max="1" width="68.33203125" style="2" customWidth="1"/>
    <col min="2" max="2" width="16.44140625" style="2" customWidth="1"/>
    <col min="3" max="3" width="14.5546875" style="2" customWidth="1"/>
    <col min="4" max="4" width="16" style="2" customWidth="1"/>
    <col min="5" max="5" width="9.5546875" style="2" bestFit="1" customWidth="1"/>
    <col min="6" max="6" width="8.88671875" style="2"/>
    <col min="7" max="7" width="23.88671875" style="2" bestFit="1" customWidth="1"/>
    <col min="8" max="8" width="12.109375" style="2" customWidth="1"/>
    <col min="9" max="9" width="11.33203125" style="2" customWidth="1"/>
    <col min="10" max="10" width="10.5546875" style="2" customWidth="1"/>
    <col min="11" max="11" width="11.44140625" style="2" customWidth="1"/>
    <col min="12" max="12" width="11.109375" style="2" customWidth="1"/>
    <col min="13" max="13" width="15.44140625" style="2" customWidth="1"/>
    <col min="14" max="14" width="13.33203125" style="2" customWidth="1"/>
    <col min="15" max="15" width="11" style="2" customWidth="1"/>
    <col min="16" max="16384" width="8.88671875" style="2"/>
  </cols>
  <sheetData>
    <row r="1" spans="1:15">
      <c r="A1" s="2" t="s">
        <v>133</v>
      </c>
    </row>
    <row r="2" spans="1:15">
      <c r="E2" s="2" t="s">
        <v>128</v>
      </c>
      <c r="G2" s="2" t="s">
        <v>129</v>
      </c>
    </row>
    <row r="3" spans="1:15">
      <c r="A3" s="2" t="s">
        <v>1</v>
      </c>
      <c r="B3" s="131" t="s">
        <v>179</v>
      </c>
      <c r="E3" s="2" t="s">
        <v>130</v>
      </c>
      <c r="G3" s="173">
        <v>0.06</v>
      </c>
    </row>
    <row r="4" spans="1:15">
      <c r="A4" s="2" t="s">
        <v>165</v>
      </c>
      <c r="B4" s="2">
        <v>3</v>
      </c>
      <c r="C4" s="2" t="s">
        <v>63</v>
      </c>
    </row>
    <row r="5" spans="1:15">
      <c r="A5" s="2" t="s">
        <v>134</v>
      </c>
      <c r="B5" s="2">
        <v>10</v>
      </c>
    </row>
    <row r="7" spans="1:15">
      <c r="A7" s="2" t="s">
        <v>2</v>
      </c>
      <c r="B7" s="19" t="s">
        <v>58</v>
      </c>
      <c r="C7" s="6"/>
    </row>
    <row r="9" spans="1:15">
      <c r="A9" s="2" t="s">
        <v>3</v>
      </c>
    </row>
    <row r="11" spans="1:15">
      <c r="A11" s="3"/>
      <c r="B11" s="18">
        <v>2023</v>
      </c>
      <c r="C11" s="18">
        <v>2024</v>
      </c>
      <c r="D11" s="18">
        <v>2025</v>
      </c>
      <c r="E11" s="5"/>
      <c r="F11" s="3" t="s">
        <v>27</v>
      </c>
      <c r="G11" s="135" t="s">
        <v>174</v>
      </c>
      <c r="H11" s="135"/>
      <c r="I11" s="135"/>
      <c r="J11" s="135"/>
      <c r="K11" s="135"/>
      <c r="L11" s="135"/>
      <c r="M11" s="135"/>
      <c r="N11" s="135"/>
      <c r="O11" s="3" t="s">
        <v>28</v>
      </c>
    </row>
    <row r="12" spans="1:15">
      <c r="A12" s="14" t="s">
        <v>135</v>
      </c>
      <c r="B12" s="18">
        <f>SUM('План на будущие периоды '!K4:K5)</f>
        <v>0</v>
      </c>
      <c r="C12" s="18">
        <f>SUM('План на будущие периоды '!N27:N28)</f>
        <v>360</v>
      </c>
      <c r="D12" s="18">
        <f>SUM('План на будущие периоды '!N30:N40)</f>
        <v>3194</v>
      </c>
      <c r="F12" s="3"/>
      <c r="G12" s="134"/>
      <c r="H12" s="134"/>
      <c r="I12" s="134"/>
      <c r="J12" s="134"/>
      <c r="K12" s="134"/>
      <c r="L12" s="134"/>
      <c r="M12" s="134"/>
      <c r="N12" s="134"/>
      <c r="O12" s="4"/>
    </row>
    <row r="13" spans="1:15">
      <c r="F13" s="51">
        <v>1</v>
      </c>
      <c r="G13" s="134" t="s">
        <v>138</v>
      </c>
      <c r="H13" s="134"/>
      <c r="I13" s="134"/>
      <c r="J13" s="134"/>
      <c r="K13" s="134"/>
      <c r="L13" s="134"/>
      <c r="M13" s="134"/>
      <c r="N13" s="134"/>
      <c r="O13" s="71">
        <v>200</v>
      </c>
    </row>
    <row r="14" spans="1:15">
      <c r="F14" s="51">
        <v>2</v>
      </c>
      <c r="G14" s="134" t="s">
        <v>139</v>
      </c>
      <c r="H14" s="134"/>
      <c r="I14" s="134"/>
      <c r="J14" s="134"/>
      <c r="K14" s="134"/>
      <c r="L14" s="134"/>
      <c r="M14" s="134"/>
      <c r="N14" s="134"/>
      <c r="O14" s="71">
        <v>150</v>
      </c>
    </row>
    <row r="15" spans="1:15">
      <c r="A15" s="2" t="s">
        <v>36</v>
      </c>
      <c r="F15" s="51">
        <v>3</v>
      </c>
      <c r="G15" s="134" t="s">
        <v>166</v>
      </c>
      <c r="H15" s="134"/>
      <c r="I15" s="134"/>
      <c r="J15" s="134"/>
      <c r="K15" s="134"/>
      <c r="L15" s="134"/>
      <c r="M15" s="134"/>
      <c r="N15" s="134"/>
      <c r="O15" s="71">
        <v>150</v>
      </c>
    </row>
    <row r="16" spans="1:15" s="11" customFormat="1">
      <c r="A16" s="15" t="s">
        <v>33</v>
      </c>
      <c r="B16" s="15" t="s">
        <v>34</v>
      </c>
      <c r="C16" s="15" t="s">
        <v>28</v>
      </c>
      <c r="D16" s="15" t="s">
        <v>35</v>
      </c>
      <c r="F16" s="51">
        <v>4</v>
      </c>
      <c r="G16" s="136" t="s">
        <v>167</v>
      </c>
      <c r="H16" s="137"/>
      <c r="I16" s="137"/>
      <c r="J16" s="137"/>
      <c r="K16" s="137"/>
      <c r="L16" s="137"/>
      <c r="M16" s="137"/>
      <c r="N16" s="138"/>
      <c r="O16" s="71">
        <v>350</v>
      </c>
    </row>
    <row r="17" spans="1:15" ht="15" customHeight="1">
      <c r="A17" s="49" t="s">
        <v>136</v>
      </c>
      <c r="B17" s="3">
        <v>1</v>
      </c>
      <c r="C17" s="4">
        <v>10000</v>
      </c>
      <c r="D17" s="4">
        <f>B17*C17</f>
        <v>10000</v>
      </c>
      <c r="F17" s="27">
        <v>5</v>
      </c>
      <c r="G17" s="136" t="s">
        <v>168</v>
      </c>
      <c r="H17" s="137"/>
      <c r="I17" s="137"/>
      <c r="J17" s="137"/>
      <c r="K17" s="137"/>
      <c r="L17" s="137"/>
      <c r="M17" s="137"/>
      <c r="N17" s="138"/>
      <c r="O17" s="71">
        <v>100</v>
      </c>
    </row>
    <row r="18" spans="1:15">
      <c r="A18" s="3" t="s">
        <v>137</v>
      </c>
      <c r="B18" s="3">
        <v>1</v>
      </c>
      <c r="C18" s="4">
        <v>3000</v>
      </c>
      <c r="D18" s="4">
        <f t="shared" ref="D18:D31" si="0">B18*C18</f>
        <v>3000</v>
      </c>
      <c r="F18" s="70">
        <v>6</v>
      </c>
      <c r="G18" s="136" t="s">
        <v>169</v>
      </c>
      <c r="H18" s="137"/>
      <c r="I18" s="137"/>
      <c r="J18" s="137"/>
      <c r="K18" s="137"/>
      <c r="L18" s="137"/>
      <c r="M18" s="137"/>
      <c r="N18" s="138"/>
      <c r="O18" s="71">
        <v>200</v>
      </c>
    </row>
    <row r="19" spans="1:15">
      <c r="A19" s="3" t="s">
        <v>140</v>
      </c>
      <c r="B19" s="3">
        <v>1</v>
      </c>
      <c r="C19" s="4">
        <v>1000</v>
      </c>
      <c r="D19" s="4">
        <f t="shared" si="0"/>
        <v>1000</v>
      </c>
      <c r="F19" s="70">
        <v>7</v>
      </c>
      <c r="G19" s="136" t="s">
        <v>170</v>
      </c>
      <c r="H19" s="137"/>
      <c r="I19" s="137"/>
      <c r="J19" s="137"/>
      <c r="K19" s="137"/>
      <c r="L19" s="137"/>
      <c r="M19" s="137"/>
      <c r="N19" s="138"/>
      <c r="O19" s="71">
        <v>150</v>
      </c>
    </row>
    <row r="20" spans="1:15">
      <c r="A20" s="3" t="s">
        <v>141</v>
      </c>
      <c r="B20" s="3">
        <v>20</v>
      </c>
      <c r="C20" s="4">
        <v>40</v>
      </c>
      <c r="D20" s="4">
        <f t="shared" si="0"/>
        <v>800</v>
      </c>
      <c r="F20" s="70">
        <v>8</v>
      </c>
      <c r="G20" s="134" t="s">
        <v>171</v>
      </c>
      <c r="H20" s="134"/>
      <c r="I20" s="134"/>
      <c r="J20" s="134"/>
      <c r="K20" s="134"/>
      <c r="L20" s="134"/>
      <c r="M20" s="134"/>
      <c r="N20" s="134"/>
      <c r="O20" s="71">
        <v>300</v>
      </c>
    </row>
    <row r="21" spans="1:15">
      <c r="A21" s="3" t="s">
        <v>142</v>
      </c>
      <c r="B21" s="3">
        <v>2</v>
      </c>
      <c r="C21" s="4">
        <v>350</v>
      </c>
      <c r="D21" s="4">
        <f t="shared" si="0"/>
        <v>700</v>
      </c>
      <c r="F21" s="70">
        <v>9</v>
      </c>
      <c r="G21" s="134" t="s">
        <v>172</v>
      </c>
      <c r="H21" s="134"/>
      <c r="I21" s="134"/>
      <c r="J21" s="134"/>
      <c r="K21" s="134"/>
      <c r="L21" s="134"/>
      <c r="M21" s="134"/>
      <c r="N21" s="134"/>
      <c r="O21" s="71">
        <v>160</v>
      </c>
    </row>
    <row r="22" spans="1:15">
      <c r="A22" s="3" t="s">
        <v>143</v>
      </c>
      <c r="B22" s="3">
        <v>2</v>
      </c>
      <c r="C22" s="4">
        <v>200</v>
      </c>
      <c r="D22" s="4">
        <f t="shared" si="0"/>
        <v>400</v>
      </c>
      <c r="F22" s="70">
        <v>10</v>
      </c>
      <c r="G22" s="134" t="s">
        <v>173</v>
      </c>
      <c r="H22" s="134"/>
      <c r="I22" s="134"/>
      <c r="J22" s="134"/>
      <c r="K22" s="134"/>
      <c r="L22" s="134"/>
      <c r="M22" s="134"/>
      <c r="N22" s="134"/>
      <c r="O22" s="71">
        <v>210</v>
      </c>
    </row>
    <row r="23" spans="1:15">
      <c r="A23" s="14" t="s">
        <v>144</v>
      </c>
      <c r="B23" s="3">
        <v>10</v>
      </c>
      <c r="C23" s="4">
        <v>100</v>
      </c>
      <c r="D23" s="4">
        <f t="shared" si="0"/>
        <v>1000</v>
      </c>
      <c r="F23" s="111"/>
      <c r="G23" s="133"/>
      <c r="H23" s="133"/>
      <c r="I23" s="133"/>
      <c r="J23" s="133"/>
      <c r="K23" s="133"/>
      <c r="L23" s="133"/>
      <c r="M23" s="133"/>
      <c r="N23" s="133"/>
      <c r="O23" s="48"/>
    </row>
    <row r="24" spans="1:15">
      <c r="A24" s="3" t="s">
        <v>145</v>
      </c>
      <c r="B24" s="3">
        <v>20</v>
      </c>
      <c r="C24" s="4">
        <v>70</v>
      </c>
      <c r="D24" s="4">
        <f t="shared" si="0"/>
        <v>1400</v>
      </c>
      <c r="F24" s="111"/>
      <c r="G24" s="133"/>
      <c r="H24" s="133"/>
      <c r="I24" s="133"/>
      <c r="J24" s="133"/>
      <c r="K24" s="133"/>
      <c r="L24" s="133"/>
      <c r="M24" s="133"/>
      <c r="N24" s="133"/>
      <c r="O24" s="48"/>
    </row>
    <row r="25" spans="1:15">
      <c r="A25" s="3" t="s">
        <v>146</v>
      </c>
      <c r="B25" s="3">
        <v>4</v>
      </c>
      <c r="C25" s="4">
        <v>80</v>
      </c>
      <c r="D25" s="4">
        <f t="shared" si="0"/>
        <v>320</v>
      </c>
      <c r="E25" s="13"/>
      <c r="F25" s="111"/>
      <c r="G25" s="133"/>
      <c r="H25" s="133"/>
      <c r="I25" s="133"/>
      <c r="J25" s="133"/>
      <c r="K25" s="133"/>
      <c r="L25" s="133"/>
      <c r="M25" s="133"/>
      <c r="N25" s="133"/>
      <c r="O25" s="48"/>
    </row>
    <row r="26" spans="1:15" s="69" customFormat="1">
      <c r="A26" s="70" t="s">
        <v>175</v>
      </c>
      <c r="B26" s="70">
        <v>2</v>
      </c>
      <c r="C26" s="71">
        <v>152</v>
      </c>
      <c r="D26" s="71">
        <f t="shared" si="0"/>
        <v>304</v>
      </c>
      <c r="E26" s="72"/>
      <c r="F26" s="111"/>
      <c r="G26" s="129"/>
      <c r="H26" s="129"/>
      <c r="I26" s="129"/>
      <c r="J26" s="129"/>
      <c r="K26" s="129"/>
      <c r="L26" s="129"/>
      <c r="M26" s="129"/>
      <c r="N26" s="129"/>
      <c r="O26" s="48"/>
    </row>
    <row r="27" spans="1:15" s="69" customFormat="1">
      <c r="A27" s="70" t="s">
        <v>178</v>
      </c>
      <c r="B27" s="70">
        <v>10</v>
      </c>
      <c r="C27" s="71">
        <v>265</v>
      </c>
      <c r="D27" s="71">
        <f t="shared" si="0"/>
        <v>2650</v>
      </c>
      <c r="E27" s="72"/>
      <c r="F27" s="111"/>
      <c r="G27" s="129"/>
      <c r="H27" s="129"/>
      <c r="I27" s="129"/>
      <c r="J27" s="129"/>
      <c r="K27" s="129"/>
      <c r="L27" s="129"/>
      <c r="M27" s="129"/>
      <c r="N27" s="129"/>
      <c r="O27" s="48"/>
    </row>
    <row r="28" spans="1:15" s="69" customFormat="1">
      <c r="A28" s="70" t="s">
        <v>176</v>
      </c>
      <c r="B28" s="70">
        <v>10</v>
      </c>
      <c r="C28" s="71">
        <v>183</v>
      </c>
      <c r="D28" s="71">
        <f t="shared" si="0"/>
        <v>1830</v>
      </c>
      <c r="E28" s="72"/>
      <c r="F28" s="111"/>
      <c r="G28" s="129"/>
      <c r="H28" s="129"/>
      <c r="I28" s="129"/>
      <c r="J28" s="129"/>
      <c r="K28" s="129"/>
      <c r="L28" s="129"/>
      <c r="M28" s="129"/>
      <c r="N28" s="129"/>
      <c r="O28" s="48"/>
    </row>
    <row r="29" spans="1:15" s="69" customFormat="1">
      <c r="A29" s="70" t="s">
        <v>177</v>
      </c>
      <c r="B29" s="70">
        <v>10</v>
      </c>
      <c r="C29" s="71">
        <v>78</v>
      </c>
      <c r="D29" s="71">
        <f t="shared" si="0"/>
        <v>780</v>
      </c>
      <c r="E29" s="72"/>
      <c r="F29" s="111"/>
      <c r="G29" s="129"/>
      <c r="H29" s="129"/>
      <c r="I29" s="129"/>
      <c r="J29" s="129"/>
      <c r="K29" s="129"/>
      <c r="L29" s="129"/>
      <c r="M29" s="129"/>
      <c r="N29" s="129"/>
      <c r="O29" s="48"/>
    </row>
    <row r="30" spans="1:15">
      <c r="A30" s="3" t="s">
        <v>147</v>
      </c>
      <c r="B30" s="3">
        <v>2</v>
      </c>
      <c r="C30" s="4">
        <v>100</v>
      </c>
      <c r="D30" s="4">
        <f t="shared" si="0"/>
        <v>200</v>
      </c>
      <c r="F30" s="111"/>
      <c r="G30" s="133"/>
      <c r="H30" s="133"/>
      <c r="I30" s="133"/>
      <c r="J30" s="133"/>
      <c r="K30" s="133"/>
      <c r="L30" s="133"/>
      <c r="M30" s="133"/>
      <c r="N30" s="133"/>
      <c r="O30" s="111"/>
    </row>
    <row r="31" spans="1:15">
      <c r="A31" s="3" t="s">
        <v>66</v>
      </c>
      <c r="B31" s="3">
        <v>1</v>
      </c>
      <c r="C31" s="4">
        <v>15000</v>
      </c>
      <c r="D31" s="4">
        <f t="shared" si="0"/>
        <v>15000</v>
      </c>
      <c r="F31" s="111"/>
      <c r="G31" s="133"/>
      <c r="H31" s="133"/>
      <c r="I31" s="133"/>
      <c r="J31" s="133"/>
      <c r="K31" s="133"/>
      <c r="L31" s="133"/>
      <c r="M31" s="133"/>
      <c r="N31" s="133"/>
      <c r="O31" s="111"/>
    </row>
    <row r="32" spans="1:15">
      <c r="A32" s="135" t="s">
        <v>0</v>
      </c>
      <c r="B32" s="135"/>
      <c r="C32" s="135"/>
      <c r="D32" s="4">
        <f>SUM(D17:D31)</f>
        <v>39384</v>
      </c>
      <c r="F32" s="111"/>
      <c r="G32" s="133"/>
      <c r="H32" s="133"/>
      <c r="I32" s="133"/>
      <c r="J32" s="133"/>
      <c r="K32" s="133"/>
      <c r="L32" s="133"/>
      <c r="M32" s="133"/>
      <c r="N32" s="133"/>
      <c r="O32" s="11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2" t="s">
        <v>29</v>
      </c>
      <c r="B39" s="12" t="s">
        <v>30</v>
      </c>
      <c r="E39" s="1"/>
      <c r="F39" s="1"/>
      <c r="G39" s="1"/>
      <c r="H39" s="1"/>
      <c r="I39" s="1"/>
      <c r="J39" s="1"/>
      <c r="K39" s="1"/>
      <c r="L39" s="1"/>
    </row>
    <row r="40" spans="1:12">
      <c r="A40" s="3" t="s">
        <v>148</v>
      </c>
      <c r="B40" s="4">
        <v>250</v>
      </c>
      <c r="E40" s="1"/>
      <c r="F40" s="1"/>
      <c r="G40" s="1"/>
      <c r="H40" s="1"/>
      <c r="I40" s="1"/>
      <c r="J40" s="1"/>
      <c r="K40" s="1"/>
      <c r="L40" s="1"/>
    </row>
    <row r="41" spans="1:12">
      <c r="A41" s="2" t="s">
        <v>54</v>
      </c>
      <c r="B41" s="13">
        <f>MIN(B40:B40)</f>
        <v>250</v>
      </c>
      <c r="E41" s="1"/>
      <c r="F41" s="1"/>
      <c r="G41" s="1"/>
      <c r="H41" s="1"/>
      <c r="I41" s="1"/>
      <c r="J41" s="1"/>
      <c r="K41" s="1"/>
      <c r="L41" s="1"/>
    </row>
    <row r="42" spans="1:12">
      <c r="A42" s="2" t="s">
        <v>31</v>
      </c>
      <c r="B42" s="13">
        <f>AVERAGE(B40:B40)</f>
        <v>250</v>
      </c>
      <c r="E42" s="1"/>
      <c r="F42" s="1"/>
      <c r="G42" s="1"/>
      <c r="H42" s="1"/>
      <c r="I42" s="1"/>
      <c r="J42" s="1"/>
      <c r="K42" s="1"/>
      <c r="L42" s="1"/>
    </row>
    <row r="43" spans="1:12">
      <c r="A43" s="2" t="s">
        <v>32</v>
      </c>
      <c r="B43" s="13">
        <f>MAX(B40:B40)</f>
        <v>250</v>
      </c>
      <c r="E43" s="1"/>
      <c r="F43" s="1"/>
      <c r="G43" s="1"/>
      <c r="H43" s="1"/>
      <c r="I43" s="1"/>
      <c r="J43" s="1"/>
      <c r="K43" s="1"/>
      <c r="L43" s="1"/>
    </row>
    <row r="44" spans="1:1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5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3" ht="7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3">
      <c r="A52" s="61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1"/>
    </row>
    <row r="53" spans="1:13">
      <c r="A53" s="20"/>
      <c r="B53" s="62"/>
      <c r="C53" s="62"/>
      <c r="D53" s="62"/>
      <c r="E53" s="62"/>
      <c r="F53" s="62"/>
      <c r="G53" s="62"/>
      <c r="H53" s="62"/>
      <c r="I53" s="62"/>
      <c r="J53" s="62"/>
      <c r="K53" s="21"/>
      <c r="L53" s="21"/>
      <c r="M53" s="21"/>
    </row>
    <row r="54" spans="1:13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3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1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s="21" customFormat="1">
      <c r="A58" s="20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</row>
    <row r="59" spans="1:13" s="21" customFormat="1">
      <c r="A59" s="20"/>
    </row>
    <row r="60" spans="1:13" s="21" customFormat="1">
      <c r="A60" s="20"/>
    </row>
    <row r="61" spans="1:13" s="21" customFormat="1">
      <c r="A61" s="20"/>
    </row>
    <row r="62" spans="1:13" s="21" customFormat="1">
      <c r="A62" s="20"/>
    </row>
    <row r="63" spans="1:13" s="21" customFormat="1">
      <c r="A63" s="20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</row>
    <row r="64" spans="1:13" s="21" customFormat="1">
      <c r="A64" s="20"/>
    </row>
    <row r="65" spans="1:13" s="21" customFormat="1">
      <c r="A65" s="20"/>
    </row>
    <row r="66" spans="1:13" s="21" customFormat="1">
      <c r="A66" s="20"/>
    </row>
    <row r="67" spans="1:13" s="21" customFormat="1"/>
    <row r="68" spans="1:1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</sheetData>
  <mergeCells count="19">
    <mergeCell ref="G11:N11"/>
    <mergeCell ref="A32:C32"/>
    <mergeCell ref="G14:N14"/>
    <mergeCell ref="G15:N1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G25:N25"/>
    <mergeCell ref="G30:N30"/>
    <mergeCell ref="G31:N31"/>
    <mergeCell ref="G32:N32"/>
    <mergeCell ref="G12:N12"/>
    <mergeCell ref="G13:N13"/>
  </mergeCells>
  <pageMargins left="0.25" right="0.25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zoomScale="60" zoomScaleNormal="60" workbookViewId="0"/>
  </sheetViews>
  <sheetFormatPr defaultColWidth="9.109375" defaultRowHeight="15.6"/>
  <cols>
    <col min="1" max="1" width="61" style="69" bestFit="1" customWidth="1"/>
    <col min="2" max="2" width="17.109375" style="69" customWidth="1"/>
    <col min="3" max="3" width="14.44140625" style="69" bestFit="1" customWidth="1"/>
    <col min="4" max="5" width="13.6640625" style="69" bestFit="1" customWidth="1"/>
    <col min="6" max="6" width="5.44140625" style="69" bestFit="1" customWidth="1"/>
    <col min="7" max="7" width="43.5546875" style="69" bestFit="1" customWidth="1"/>
    <col min="8" max="8" width="8.5546875" style="69" bestFit="1" customWidth="1"/>
    <col min="9" max="9" width="11.33203125" style="69" bestFit="1" customWidth="1"/>
    <col min="10" max="12" width="13.6640625" style="69" bestFit="1" customWidth="1"/>
    <col min="13" max="13" width="11.88671875" style="69" bestFit="1" customWidth="1"/>
    <col min="14" max="18" width="9.109375" style="69"/>
    <col min="19" max="19" width="9.6640625" style="69" bestFit="1" customWidth="1"/>
    <col min="20" max="20" width="10.44140625" style="69" bestFit="1" customWidth="1"/>
    <col min="21" max="21" width="10.33203125" style="69" bestFit="1" customWidth="1"/>
    <col min="22" max="22" width="11.33203125" style="69" bestFit="1" customWidth="1"/>
    <col min="23" max="16384" width="9.109375" style="69"/>
  </cols>
  <sheetData>
    <row r="1" spans="1:22">
      <c r="A1" s="82" t="s">
        <v>126</v>
      </c>
      <c r="B1" s="112" t="s">
        <v>125</v>
      </c>
      <c r="C1" s="70" t="s">
        <v>124</v>
      </c>
      <c r="F1" s="83"/>
      <c r="G1" s="75"/>
      <c r="H1" s="77"/>
      <c r="I1" s="75"/>
      <c r="J1" s="75"/>
      <c r="K1" s="75"/>
      <c r="L1" s="75"/>
      <c r="M1" s="75"/>
      <c r="N1" s="75"/>
      <c r="O1" s="75"/>
      <c r="P1" s="75"/>
      <c r="Q1" s="75"/>
      <c r="R1" s="75"/>
      <c r="S1" s="135" t="s">
        <v>74</v>
      </c>
      <c r="T1" s="135"/>
      <c r="U1" s="135"/>
      <c r="V1" s="135"/>
    </row>
    <row r="2" spans="1:22" ht="31.2">
      <c r="A2" s="112" t="s">
        <v>123</v>
      </c>
      <c r="B2" s="113">
        <f>'Первоначальные затраты'!D19</f>
        <v>39384</v>
      </c>
      <c r="C2" s="82">
        <v>5</v>
      </c>
      <c r="F2" s="161" t="s">
        <v>122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66" t="s">
        <v>75</v>
      </c>
      <c r="T2" s="71">
        <f>-B2</f>
        <v>-39384</v>
      </c>
      <c r="U2" s="66" t="s">
        <v>76</v>
      </c>
      <c r="V2" s="66" t="s">
        <v>77</v>
      </c>
    </row>
    <row r="3" spans="1:22" ht="16.2" thickBot="1">
      <c r="A3" s="73" t="s">
        <v>121</v>
      </c>
      <c r="B3" s="70"/>
      <c r="C3" s="111"/>
      <c r="F3" s="83"/>
      <c r="G3" s="75"/>
      <c r="H3" s="77"/>
      <c r="I3" s="75"/>
      <c r="J3" s="75"/>
      <c r="K3" s="75"/>
      <c r="L3" s="75"/>
      <c r="M3" s="75"/>
      <c r="N3" s="75"/>
      <c r="O3" s="75"/>
      <c r="P3" s="75"/>
      <c r="Q3" s="75"/>
      <c r="R3" s="75"/>
      <c r="S3" s="70" t="s">
        <v>20</v>
      </c>
      <c r="T3" s="71">
        <f>'[2]План на будущие периоды '!$B$35</f>
        <v>-6648.125</v>
      </c>
      <c r="U3" s="71">
        <f>T3+T2</f>
        <v>-46032.125</v>
      </c>
      <c r="V3" s="70">
        <v>1</v>
      </c>
    </row>
    <row r="4" spans="1:22" ht="16.2" thickBot="1">
      <c r="A4" s="70" t="s">
        <v>120</v>
      </c>
      <c r="B4" s="71">
        <f>B2/C2</f>
        <v>7876.8</v>
      </c>
      <c r="C4" s="111"/>
      <c r="F4" s="162" t="s">
        <v>119</v>
      </c>
      <c r="G4" s="162" t="s">
        <v>118</v>
      </c>
      <c r="H4" s="162" t="s">
        <v>117</v>
      </c>
      <c r="I4" s="165" t="s">
        <v>96</v>
      </c>
      <c r="J4" s="166"/>
      <c r="K4" s="167"/>
      <c r="L4" s="168" t="s">
        <v>70</v>
      </c>
      <c r="S4" s="70" t="s">
        <v>21</v>
      </c>
      <c r="T4" s="71">
        <f>'[2]План на будущие периоды '!$C$35</f>
        <v>15359.375</v>
      </c>
      <c r="U4" s="71">
        <f>U3+T4</f>
        <v>-30672.75</v>
      </c>
      <c r="V4" s="70">
        <v>1</v>
      </c>
    </row>
    <row r="5" spans="1:22" ht="16.2" thickBot="1">
      <c r="A5" s="114" t="s">
        <v>164</v>
      </c>
      <c r="B5" s="71">
        <f ca="1">'Прогнозный баланс'!C2</f>
        <v>42400</v>
      </c>
      <c r="C5" s="111"/>
      <c r="F5" s="163"/>
      <c r="G5" s="163"/>
      <c r="H5" s="164"/>
      <c r="I5" s="85">
        <v>1</v>
      </c>
      <c r="J5" s="85">
        <v>2</v>
      </c>
      <c r="K5" s="85">
        <v>3</v>
      </c>
      <c r="L5" s="168"/>
      <c r="S5" s="70" t="s">
        <v>22</v>
      </c>
      <c r="T5" s="71">
        <f>'[2]План на будущие периоды '!$D$35</f>
        <v>22361.25</v>
      </c>
      <c r="U5" s="71">
        <f>U4+T5</f>
        <v>-8311.5</v>
      </c>
      <c r="V5" s="70">
        <v>1</v>
      </c>
    </row>
    <row r="6" spans="1:22" ht="16.2" thickBot="1">
      <c r="A6" s="74" t="s">
        <v>116</v>
      </c>
      <c r="B6" s="71">
        <f>'План ДДС'!B8</f>
        <v>446777.3125</v>
      </c>
      <c r="C6" s="111"/>
      <c r="F6" s="86">
        <v>1</v>
      </c>
      <c r="G6" s="87" t="s">
        <v>115</v>
      </c>
      <c r="H6" s="88">
        <v>1</v>
      </c>
      <c r="I6" s="89">
        <f>B2</f>
        <v>39384</v>
      </c>
      <c r="J6" s="87"/>
      <c r="K6" s="87"/>
      <c r="L6" s="87"/>
      <c r="S6" s="70" t="s">
        <v>23</v>
      </c>
      <c r="T6" s="71">
        <f>'[2]План на будущие периоды '!$E$35</f>
        <v>20862.1875</v>
      </c>
      <c r="U6" s="71">
        <f>U5+T6</f>
        <v>12550.6875</v>
      </c>
      <c r="V6" s="70">
        <v>1</v>
      </c>
    </row>
    <row r="7" spans="1:22" ht="16.2" thickBot="1">
      <c r="A7" s="70" t="s">
        <v>114</v>
      </c>
      <c r="B7" s="71">
        <f ca="1">'План ДДС'!B9</f>
        <v>2544</v>
      </c>
      <c r="C7" s="111"/>
      <c r="F7" s="86">
        <v>3</v>
      </c>
      <c r="G7" s="87" t="s">
        <v>113</v>
      </c>
      <c r="H7" s="88">
        <v>1</v>
      </c>
      <c r="I7" s="90">
        <v>0</v>
      </c>
      <c r="J7" s="75"/>
      <c r="K7" s="91"/>
      <c r="L7" s="87"/>
      <c r="S7" s="70"/>
      <c r="T7" s="71"/>
      <c r="U7" s="70"/>
      <c r="V7" s="70">
        <f>SUM(V3:V3)</f>
        <v>1</v>
      </c>
    </row>
    <row r="8" spans="1:22" ht="16.2" thickBot="1">
      <c r="F8" s="86">
        <v>4</v>
      </c>
      <c r="G8" s="87" t="s">
        <v>112</v>
      </c>
      <c r="H8" s="88">
        <v>1</v>
      </c>
      <c r="I8" s="115">
        <f ca="1">'Прогнозный баланс'!C2</f>
        <v>42400</v>
      </c>
      <c r="J8" s="92">
        <f>'План ДДС'!C6</f>
        <v>720000</v>
      </c>
      <c r="K8" s="92">
        <f>'Прогнозный баланс'!E2</f>
        <v>820500</v>
      </c>
      <c r="L8" s="89">
        <f>SUM(J8:K8)</f>
        <v>1540500</v>
      </c>
      <c r="S8" s="72"/>
    </row>
    <row r="9" spans="1:22" ht="16.2" thickBot="1">
      <c r="F9" s="86">
        <v>5</v>
      </c>
      <c r="G9" s="87" t="s">
        <v>53</v>
      </c>
      <c r="H9" s="88">
        <v>1</v>
      </c>
      <c r="I9" s="115">
        <f>'План ДДС'!B8</f>
        <v>446777.3125</v>
      </c>
      <c r="J9" s="89">
        <f>'План ДДС'!C8</f>
        <v>419071.3125</v>
      </c>
      <c r="K9" s="89">
        <f>'План ДДС'!D8</f>
        <v>248865.3125</v>
      </c>
      <c r="L9" s="89">
        <f>SUM(J9:K9)</f>
        <v>667936.625</v>
      </c>
    </row>
    <row r="10" spans="1:22" ht="31.8" thickBot="1">
      <c r="F10" s="86">
        <v>6</v>
      </c>
      <c r="G10" s="93" t="s">
        <v>111</v>
      </c>
      <c r="H10" s="88">
        <v>1</v>
      </c>
      <c r="I10" s="87"/>
      <c r="J10" s="89">
        <f>B4</f>
        <v>7876.8</v>
      </c>
      <c r="K10" s="89">
        <f>J10</f>
        <v>7876.8</v>
      </c>
      <c r="L10" s="89">
        <f>SUM(J10:K10)</f>
        <v>15753.6</v>
      </c>
    </row>
    <row r="11" spans="1:22" ht="16.2" thickBot="1">
      <c r="F11" s="86">
        <v>7</v>
      </c>
      <c r="G11" s="87" t="s">
        <v>110</v>
      </c>
      <c r="H11" s="88">
        <v>1</v>
      </c>
      <c r="I11" s="89">
        <f ca="1">I8-I9-I10</f>
        <v>263225.25</v>
      </c>
      <c r="J11" s="89">
        <f>J8-J9-J10</f>
        <v>293051.88750000001</v>
      </c>
      <c r="K11" s="89">
        <f>K8-K9-K10</f>
        <v>563757.88749999995</v>
      </c>
      <c r="L11" s="89">
        <f>L8-L9-L10</f>
        <v>856809.77500000002</v>
      </c>
    </row>
    <row r="12" spans="1:22" ht="16.2" thickBot="1">
      <c r="F12" s="86">
        <v>8</v>
      </c>
      <c r="G12" s="87" t="s">
        <v>109</v>
      </c>
      <c r="H12" s="88">
        <v>1</v>
      </c>
      <c r="I12" s="87">
        <f ca="1">I11*0.06</f>
        <v>15793.514999999999</v>
      </c>
      <c r="J12" s="87">
        <f t="shared" ref="J12:K12" si="0">J11*0.06</f>
        <v>17583.113249999999</v>
      </c>
      <c r="K12" s="87">
        <f t="shared" si="0"/>
        <v>33825.473249999995</v>
      </c>
      <c r="L12" s="89">
        <f>SUM(J12:K12)</f>
        <v>51408.58649999999</v>
      </c>
    </row>
    <row r="13" spans="1:22" ht="16.2" thickBot="1">
      <c r="F13" s="86">
        <v>9</v>
      </c>
      <c r="G13" s="87" t="s">
        <v>108</v>
      </c>
      <c r="H13" s="88">
        <v>1</v>
      </c>
      <c r="I13" s="89">
        <f ca="1">I11-I12</f>
        <v>247431.73499999999</v>
      </c>
      <c r="J13" s="89">
        <f>J11-J12</f>
        <v>275468.77425000002</v>
      </c>
      <c r="K13" s="89">
        <f>K11-K12</f>
        <v>529932.41424999991</v>
      </c>
      <c r="L13" s="89">
        <f>L11-L12</f>
        <v>805401.18850000005</v>
      </c>
    </row>
    <row r="14" spans="1:22" ht="16.2" thickBot="1">
      <c r="F14" s="86">
        <v>10</v>
      </c>
      <c r="G14" s="87" t="s">
        <v>107</v>
      </c>
      <c r="H14" s="88">
        <v>1</v>
      </c>
      <c r="I14" s="87">
        <v>0</v>
      </c>
      <c r="J14" s="90">
        <v>0</v>
      </c>
      <c r="K14" s="90">
        <v>0</v>
      </c>
      <c r="L14" s="90">
        <v>0</v>
      </c>
    </row>
    <row r="15" spans="1:22">
      <c r="F15" s="121">
        <v>11</v>
      </c>
      <c r="G15" s="122" t="s">
        <v>106</v>
      </c>
      <c r="H15" s="123">
        <v>1</v>
      </c>
      <c r="I15" s="122">
        <v>0</v>
      </c>
      <c r="J15" s="124">
        <v>0</v>
      </c>
      <c r="K15" s="124">
        <v>0</v>
      </c>
      <c r="L15" s="124">
        <v>0</v>
      </c>
    </row>
    <row r="16" spans="1:22">
      <c r="F16" s="125"/>
      <c r="G16" s="126"/>
      <c r="H16" s="127"/>
      <c r="I16" s="126"/>
      <c r="J16" s="126"/>
      <c r="K16" s="126"/>
      <c r="L16" s="126"/>
      <c r="M16" s="75"/>
      <c r="N16" s="75"/>
      <c r="O16" s="75"/>
      <c r="P16" s="75"/>
      <c r="Q16" s="75"/>
      <c r="R16" s="75"/>
    </row>
    <row r="17" spans="1:18">
      <c r="F17" s="161" t="s">
        <v>105</v>
      </c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</row>
    <row r="18" spans="1:18" ht="16.2" thickBot="1">
      <c r="F18" s="83"/>
      <c r="G18" s="75"/>
      <c r="H18" s="77"/>
      <c r="I18" s="85">
        <v>1</v>
      </c>
      <c r="J18" s="85">
        <v>2</v>
      </c>
      <c r="K18" s="85">
        <v>3</v>
      </c>
    </row>
    <row r="19" spans="1:18" ht="16.2" thickBot="1">
      <c r="F19" s="94">
        <v>12</v>
      </c>
      <c r="G19" s="95" t="s">
        <v>104</v>
      </c>
      <c r="H19" s="96">
        <v>1</v>
      </c>
      <c r="I19" s="95">
        <f>I6+I7</f>
        <v>39384</v>
      </c>
      <c r="J19" s="95"/>
      <c r="K19" s="95"/>
    </row>
    <row r="20" spans="1:18" ht="16.2" thickBot="1">
      <c r="F20" s="86">
        <v>13</v>
      </c>
      <c r="G20" s="87" t="s">
        <v>103</v>
      </c>
      <c r="H20" s="88">
        <v>1</v>
      </c>
      <c r="I20" s="89">
        <f ca="1">I10+I13</f>
        <v>247431.73499999999</v>
      </c>
      <c r="J20" s="89">
        <f>J10+J13</f>
        <v>283345.57425000001</v>
      </c>
      <c r="K20" s="89">
        <f>K10+K13</f>
        <v>537809.21424999996</v>
      </c>
    </row>
    <row r="21" spans="1:18" ht="16.2" thickBot="1">
      <c r="A21" s="84" t="s">
        <v>102</v>
      </c>
      <c r="B21" s="69">
        <f ca="1">(B5-B6)*(1-B7)+B4*B7</f>
        <v>-6397902114.75</v>
      </c>
      <c r="F21" s="86">
        <v>14</v>
      </c>
      <c r="G21" s="87" t="s">
        <v>101</v>
      </c>
      <c r="H21" s="88">
        <v>1</v>
      </c>
      <c r="I21" s="87"/>
      <c r="J21" s="90">
        <f>J14+J15</f>
        <v>0</v>
      </c>
      <c r="K21" s="90">
        <f>K14+K15</f>
        <v>0</v>
      </c>
    </row>
    <row r="22" spans="1:18" ht="16.2" thickBot="1">
      <c r="F22" s="86">
        <v>15</v>
      </c>
      <c r="G22" s="97" t="s">
        <v>88</v>
      </c>
      <c r="H22" s="86">
        <v>1</v>
      </c>
      <c r="I22" s="86">
        <f ca="1">I20+I21-I19</f>
        <v>200782.73499999999</v>
      </c>
      <c r="J22" s="86">
        <f>J20+J21-J19</f>
        <v>283345.57425000001</v>
      </c>
      <c r="K22" s="86">
        <f>K20+K21-K19</f>
        <v>537809.21424999996</v>
      </c>
    </row>
    <row r="24" spans="1:18">
      <c r="A24" s="169" t="s">
        <v>100</v>
      </c>
      <c r="B24" s="169"/>
      <c r="C24" s="169"/>
      <c r="D24" s="169"/>
      <c r="E24" s="75"/>
      <c r="F24" s="75"/>
      <c r="G24" s="75"/>
      <c r="H24" s="75"/>
      <c r="I24" s="75"/>
      <c r="J24" s="75"/>
      <c r="K24" s="75"/>
      <c r="L24" s="75"/>
    </row>
    <row r="25" spans="1:18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spans="1:18">
      <c r="A26" s="76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spans="1:18">
      <c r="A27" s="98" t="s">
        <v>99</v>
      </c>
      <c r="B27" s="76">
        <v>2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18">
      <c r="A28" s="170" t="s">
        <v>127</v>
      </c>
      <c r="B28" s="170"/>
      <c r="C28" s="170"/>
      <c r="D28" s="170"/>
      <c r="E28" s="75"/>
      <c r="F28" s="75"/>
      <c r="G28" s="99"/>
      <c r="H28" s="75"/>
      <c r="I28" s="75"/>
      <c r="J28" s="75"/>
      <c r="K28" s="75"/>
      <c r="L28" s="75"/>
    </row>
    <row r="29" spans="1:18">
      <c r="A29" s="171" t="s">
        <v>98</v>
      </c>
      <c r="B29" s="171"/>
      <c r="C29" s="171"/>
      <c r="D29" s="171"/>
      <c r="E29" s="75"/>
      <c r="F29" s="75"/>
      <c r="H29" s="75"/>
      <c r="I29" s="75"/>
      <c r="J29" s="75"/>
      <c r="K29" s="75"/>
      <c r="L29" s="75"/>
    </row>
    <row r="30" spans="1:18">
      <c r="A30" s="75"/>
      <c r="B30" s="75"/>
      <c r="C30" s="75"/>
      <c r="D30" s="75"/>
      <c r="E30" s="79"/>
      <c r="F30" s="75"/>
      <c r="G30" s="100"/>
      <c r="H30" s="75"/>
      <c r="I30" s="75"/>
      <c r="J30" s="75"/>
      <c r="K30" s="75"/>
      <c r="L30" s="75"/>
    </row>
    <row r="31" spans="1:18">
      <c r="A31" s="161" t="s">
        <v>97</v>
      </c>
      <c r="B31" s="161"/>
      <c r="C31" s="161"/>
      <c r="D31" s="161"/>
      <c r="E31" s="161"/>
      <c r="F31" s="75"/>
      <c r="G31" s="99"/>
      <c r="H31" s="75"/>
      <c r="I31" s="75"/>
      <c r="J31" s="75"/>
      <c r="K31" s="75"/>
      <c r="L31" s="75"/>
    </row>
    <row r="32" spans="1:18" ht="16.2" thickBot="1">
      <c r="A32" s="75"/>
      <c r="B32" s="75"/>
      <c r="C32" s="75"/>
      <c r="D32" s="75"/>
      <c r="E32" s="75"/>
      <c r="F32" s="75"/>
      <c r="G32" s="75"/>
      <c r="H32" s="75" t="s">
        <v>96</v>
      </c>
      <c r="I32" s="75"/>
      <c r="J32" s="75"/>
      <c r="K32" s="75"/>
      <c r="L32" s="75"/>
    </row>
    <row r="33" spans="1:12" ht="18.600000000000001" thickBot="1">
      <c r="A33" s="101" t="s">
        <v>95</v>
      </c>
      <c r="B33" s="102" t="s">
        <v>94</v>
      </c>
      <c r="C33" s="102" t="s">
        <v>83</v>
      </c>
      <c r="D33" s="102" t="s">
        <v>93</v>
      </c>
      <c r="E33" s="102" t="s">
        <v>92</v>
      </c>
      <c r="F33" s="75"/>
      <c r="H33" s="75">
        <v>1</v>
      </c>
      <c r="I33" s="75">
        <v>2</v>
      </c>
      <c r="J33" s="75">
        <v>3</v>
      </c>
      <c r="K33" s="75"/>
      <c r="L33" s="75"/>
    </row>
    <row r="34" spans="1:12" ht="16.2" thickBot="1">
      <c r="A34" s="90">
        <f ca="1">I22</f>
        <v>200782.73499999999</v>
      </c>
      <c r="B34" s="90">
        <f>1+$B$27</f>
        <v>3</v>
      </c>
      <c r="C34" s="90">
        <v>1</v>
      </c>
      <c r="D34" s="90">
        <f>B34^C34</f>
        <v>3</v>
      </c>
      <c r="E34" s="90">
        <f ca="1">A34/D34</f>
        <v>66927.578333333324</v>
      </c>
      <c r="F34" s="75"/>
      <c r="G34" s="75" t="s">
        <v>91</v>
      </c>
      <c r="H34" s="81">
        <f>1/(1+$B$27)^H33</f>
        <v>0.33333333333333331</v>
      </c>
      <c r="I34" s="81">
        <f>1/(1+$B$27)^I33</f>
        <v>0.1111111111111111</v>
      </c>
      <c r="J34" s="81">
        <f>1/(1+$B$27)^J33</f>
        <v>3.7037037037037035E-2</v>
      </c>
      <c r="K34" s="75"/>
      <c r="L34" s="75"/>
    </row>
    <row r="35" spans="1:12" ht="16.2" thickBot="1">
      <c r="A35" s="90">
        <f>J22</f>
        <v>283345.57425000001</v>
      </c>
      <c r="B35" s="90">
        <f>1+$B$27</f>
        <v>3</v>
      </c>
      <c r="C35" s="90">
        <v>2</v>
      </c>
      <c r="D35" s="90">
        <f>B35^C35</f>
        <v>9</v>
      </c>
      <c r="E35" s="90">
        <f>A35/D35</f>
        <v>31482.841583333335</v>
      </c>
      <c r="F35" s="75"/>
      <c r="G35" s="75"/>
      <c r="H35" s="75"/>
      <c r="I35" s="75"/>
      <c r="J35" s="75"/>
      <c r="K35" s="75"/>
      <c r="L35" s="75"/>
    </row>
    <row r="36" spans="1:12" ht="16.2" thickBot="1">
      <c r="A36" s="90">
        <f>K22</f>
        <v>537809.21424999996</v>
      </c>
      <c r="B36" s="90">
        <f>1+$B$27</f>
        <v>3</v>
      </c>
      <c r="C36" s="90">
        <v>3</v>
      </c>
      <c r="D36" s="90">
        <f>B36^C36</f>
        <v>27</v>
      </c>
      <c r="E36" s="90">
        <f>A36/D36</f>
        <v>19918.859787037036</v>
      </c>
      <c r="F36" s="75"/>
      <c r="H36" s="75"/>
      <c r="I36" s="75"/>
      <c r="J36" s="75"/>
      <c r="K36" s="78"/>
      <c r="L36" s="75"/>
    </row>
    <row r="37" spans="1:12" ht="16.2" thickBot="1">
      <c r="A37" s="103" t="s">
        <v>90</v>
      </c>
      <c r="B37" s="91"/>
      <c r="C37" s="104"/>
      <c r="D37" s="104"/>
      <c r="E37" s="105">
        <f ca="1">SUM(E33:E36)</f>
        <v>191980.69518827161</v>
      </c>
      <c r="F37" s="75"/>
      <c r="G37" s="75"/>
      <c r="H37" s="75"/>
      <c r="I37" s="75"/>
      <c r="J37" s="75"/>
      <c r="K37" s="75"/>
      <c r="L37" s="75"/>
    </row>
    <row r="38" spans="1:12">
      <c r="A38" s="75"/>
      <c r="B38" s="75"/>
      <c r="C38" s="75"/>
      <c r="D38" s="75"/>
      <c r="E38" s="75"/>
      <c r="F38" s="75"/>
      <c r="G38" s="77"/>
      <c r="H38" s="75"/>
      <c r="I38" s="75"/>
      <c r="J38" s="75"/>
      <c r="L38" s="75"/>
    </row>
    <row r="39" spans="1:12">
      <c r="A39" s="75"/>
      <c r="B39" s="75"/>
      <c r="C39" s="75"/>
      <c r="D39" s="75"/>
      <c r="E39" s="75"/>
      <c r="F39" s="75"/>
      <c r="G39" s="75"/>
      <c r="H39" s="75"/>
      <c r="I39" s="75"/>
      <c r="J39" s="75"/>
      <c r="L39" s="75"/>
    </row>
    <row r="40" spans="1:12">
      <c r="A40" s="119" t="s">
        <v>89</v>
      </c>
      <c r="B40" s="119"/>
      <c r="C40" s="119"/>
      <c r="D40" s="119"/>
      <c r="E40" s="75"/>
      <c r="F40" s="75"/>
      <c r="G40" s="75"/>
      <c r="H40" s="75"/>
      <c r="I40" s="75"/>
    </row>
    <row r="41" spans="1:12" ht="16.2" thickBot="1">
      <c r="A41" s="75"/>
      <c r="B41" s="75"/>
      <c r="C41" s="75"/>
      <c r="D41" s="75"/>
      <c r="E41" s="75"/>
      <c r="F41" s="75"/>
      <c r="G41" s="75"/>
      <c r="H41" s="75"/>
      <c r="I41" s="75"/>
    </row>
    <row r="42" spans="1:12" ht="16.2" thickBot="1">
      <c r="A42" s="106" t="s">
        <v>88</v>
      </c>
      <c r="B42" s="107">
        <f>I21</f>
        <v>0</v>
      </c>
      <c r="C42" s="107">
        <f>J22</f>
        <v>283345.57425000001</v>
      </c>
      <c r="D42" s="107">
        <f>K22</f>
        <v>537809.21424999996</v>
      </c>
      <c r="E42" s="75"/>
      <c r="F42" s="75"/>
      <c r="G42" s="75"/>
      <c r="H42" s="75"/>
      <c r="I42" s="75"/>
    </row>
    <row r="43" spans="1:12">
      <c r="A43" s="75"/>
      <c r="B43" s="79"/>
      <c r="C43" s="75"/>
      <c r="D43" s="75"/>
    </row>
    <row r="44" spans="1:12">
      <c r="A44" s="75"/>
      <c r="B44" s="75"/>
      <c r="C44" s="75"/>
      <c r="D44" s="75"/>
      <c r="E44" s="75"/>
      <c r="F44" s="75"/>
      <c r="G44" s="75"/>
      <c r="H44" s="75"/>
      <c r="I44" s="75"/>
    </row>
    <row r="45" spans="1:12">
      <c r="A45" s="75"/>
      <c r="B45" s="75"/>
      <c r="C45" s="75"/>
      <c r="D45" s="75"/>
      <c r="E45" s="75"/>
      <c r="F45" s="75"/>
    </row>
    <row r="46" spans="1:12">
      <c r="A46" s="79"/>
      <c r="B46" s="75"/>
      <c r="C46" s="75"/>
      <c r="D46" s="75"/>
      <c r="E46" s="75"/>
      <c r="F46" s="75"/>
      <c r="G46" s="75"/>
      <c r="H46" s="75"/>
    </row>
    <row r="47" spans="1:12">
      <c r="A47" s="119" t="s">
        <v>87</v>
      </c>
      <c r="B47" s="119"/>
      <c r="C47" s="119"/>
      <c r="D47" s="119"/>
      <c r="E47" s="75"/>
      <c r="F47" s="75"/>
      <c r="G47" s="75"/>
      <c r="H47" s="75"/>
      <c r="K47" s="75"/>
    </row>
    <row r="48" spans="1:12" ht="18">
      <c r="A48" s="172" t="s">
        <v>86</v>
      </c>
      <c r="B48" s="172"/>
      <c r="C48" s="75"/>
      <c r="D48" s="75"/>
      <c r="E48" s="75"/>
      <c r="F48" s="75"/>
      <c r="G48" s="75"/>
      <c r="H48" s="75"/>
      <c r="K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</row>
    <row r="50" spans="1:12">
      <c r="A50" s="79" t="s">
        <v>85</v>
      </c>
      <c r="B50" s="108">
        <f ca="1">E37</f>
        <v>191980.69518827161</v>
      </c>
      <c r="C50" s="75"/>
      <c r="D50" s="75" t="s">
        <v>84</v>
      </c>
      <c r="E50" s="75"/>
      <c r="F50" s="75"/>
      <c r="G50" s="75"/>
      <c r="H50" s="75"/>
      <c r="I50" s="75"/>
      <c r="J50" s="75"/>
      <c r="K50" s="75"/>
    </row>
    <row r="51" spans="1:12">
      <c r="A51" s="79"/>
      <c r="B51" s="108"/>
      <c r="C51" s="75"/>
      <c r="D51" s="75"/>
      <c r="E51" s="75"/>
      <c r="F51" s="75"/>
      <c r="G51" s="75"/>
      <c r="H51" s="75"/>
      <c r="I51" s="75"/>
      <c r="J51" s="75"/>
      <c r="K51" s="75"/>
    </row>
    <row r="52" spans="1:12">
      <c r="A52" s="79" t="s">
        <v>83</v>
      </c>
      <c r="B52" s="109">
        <v>1</v>
      </c>
      <c r="C52" s="75">
        <v>2</v>
      </c>
      <c r="D52" s="75">
        <v>3</v>
      </c>
      <c r="E52" s="75"/>
      <c r="F52" s="75"/>
      <c r="G52" s="75"/>
      <c r="H52" s="75"/>
      <c r="I52" s="75"/>
      <c r="J52" s="75"/>
      <c r="K52" s="75"/>
    </row>
    <row r="53" spans="1:12">
      <c r="A53" s="79" t="s">
        <v>82</v>
      </c>
      <c r="B53" s="108">
        <f>B2</f>
        <v>39384</v>
      </c>
      <c r="C53" s="75"/>
      <c r="D53" s="75"/>
      <c r="E53" s="75"/>
      <c r="F53" s="75"/>
      <c r="G53" s="75"/>
      <c r="H53" s="75"/>
      <c r="I53" s="75"/>
      <c r="J53" s="75"/>
      <c r="K53" s="75"/>
    </row>
    <row r="54" spans="1:12">
      <c r="A54" s="79" t="s">
        <v>81</v>
      </c>
      <c r="B54" s="75">
        <f ca="1">A34</f>
        <v>0</v>
      </c>
      <c r="C54" s="75">
        <f>A35</f>
        <v>283345.57425000001</v>
      </c>
      <c r="D54" s="75">
        <f>A36</f>
        <v>537809.21424999996</v>
      </c>
      <c r="E54" s="75"/>
      <c r="F54" s="75"/>
      <c r="G54" s="75"/>
      <c r="H54" s="75"/>
      <c r="I54" s="75"/>
      <c r="J54" s="75"/>
      <c r="K54" s="75"/>
    </row>
    <row r="55" spans="1:12">
      <c r="B55" s="81">
        <f>H34</f>
        <v>0.33333333333333331</v>
      </c>
      <c r="C55" s="81">
        <f>C54*(1+I$34)^(-C52)/$B$53</f>
        <v>5.8274912437157216</v>
      </c>
      <c r="D55" s="81">
        <f>D54*(1+J$34)^(-D52)/$B$53</f>
        <v>12.244064659072826</v>
      </c>
      <c r="E55" s="75"/>
      <c r="F55" s="75"/>
      <c r="G55" s="75"/>
      <c r="H55" s="75"/>
      <c r="I55" s="75"/>
      <c r="J55" s="75"/>
      <c r="K55" s="75"/>
    </row>
    <row r="56" spans="1:12">
      <c r="A56" s="75"/>
      <c r="B56" s="75"/>
      <c r="C56" s="75"/>
      <c r="D56" s="75"/>
      <c r="E56" s="120"/>
      <c r="F56" s="75"/>
      <c r="G56" s="75"/>
      <c r="H56" s="75"/>
      <c r="I56" s="75"/>
      <c r="J56" s="75"/>
      <c r="K56" s="75"/>
      <c r="L56" s="75"/>
    </row>
    <row r="57" spans="1:12" ht="62.4">
      <c r="A57" s="120" t="s">
        <v>80</v>
      </c>
      <c r="B57" s="120"/>
      <c r="C57" s="120"/>
      <c r="D57" s="120"/>
      <c r="E57" s="116"/>
      <c r="F57" s="75"/>
      <c r="G57" s="75"/>
      <c r="H57" s="75"/>
      <c r="I57" s="75"/>
      <c r="J57" s="75"/>
      <c r="K57" s="75"/>
      <c r="L57" s="75"/>
    </row>
    <row r="58" spans="1:12" ht="31.5" customHeight="1">
      <c r="A58" s="116"/>
      <c r="B58" s="116"/>
      <c r="C58" s="116"/>
      <c r="D58" s="116"/>
      <c r="E58" s="80"/>
      <c r="F58" s="120"/>
      <c r="G58" s="120"/>
      <c r="H58" s="75"/>
      <c r="I58" s="75"/>
      <c r="J58" s="75"/>
      <c r="K58" s="75"/>
      <c r="L58" s="75"/>
    </row>
    <row r="59" spans="1:12">
      <c r="A59" s="80"/>
      <c r="B59" s="80"/>
      <c r="C59" s="160"/>
      <c r="D59" s="160"/>
      <c r="F59" s="116"/>
      <c r="G59" s="116"/>
      <c r="H59" s="75"/>
      <c r="I59" s="75"/>
      <c r="J59" s="75"/>
      <c r="L59" s="75"/>
    </row>
    <row r="60" spans="1:12">
      <c r="A60" s="110"/>
      <c r="F60" s="80"/>
      <c r="G60" s="80"/>
      <c r="H60" s="75"/>
      <c r="I60" s="75"/>
      <c r="J60" s="75"/>
      <c r="L60" s="75"/>
    </row>
    <row r="61" spans="1:12">
      <c r="A61" s="110"/>
    </row>
  </sheetData>
  <mergeCells count="14">
    <mergeCell ref="C59:D59"/>
    <mergeCell ref="S1:V1"/>
    <mergeCell ref="F2:R2"/>
    <mergeCell ref="F4:F5"/>
    <mergeCell ref="G4:G5"/>
    <mergeCell ref="H4:H5"/>
    <mergeCell ref="I4:K4"/>
    <mergeCell ref="F17:R17"/>
    <mergeCell ref="L4:L5"/>
    <mergeCell ref="A24:D24"/>
    <mergeCell ref="A28:D28"/>
    <mergeCell ref="A29:D29"/>
    <mergeCell ref="A31:E31"/>
    <mergeCell ref="A48:B4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937260</xdr:colOff>
                <xdr:row>26</xdr:row>
                <xdr:rowOff>38100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0" zoomScaleNormal="80" workbookViewId="0">
      <selection sqref="A1:E1"/>
    </sheetView>
  </sheetViews>
  <sheetFormatPr defaultRowHeight="14.4"/>
  <cols>
    <col min="1" max="1" width="59.33203125" customWidth="1"/>
    <col min="2" max="2" width="48.5546875" bestFit="1" customWidth="1"/>
    <col min="3" max="3" width="18.109375" bestFit="1" customWidth="1"/>
    <col min="4" max="4" width="16.44140625" bestFit="1" customWidth="1"/>
    <col min="5" max="5" width="16.88671875" bestFit="1" customWidth="1"/>
  </cols>
  <sheetData>
    <row r="1" spans="1:19" ht="15.6">
      <c r="A1" s="139" t="s">
        <v>67</v>
      </c>
      <c r="B1" s="139"/>
      <c r="C1" s="139"/>
      <c r="D1" s="139"/>
      <c r="E1" s="139"/>
    </row>
    <row r="2" spans="1:19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6">
      <c r="A3" s="15" t="s">
        <v>33</v>
      </c>
      <c r="B3" s="15" t="s">
        <v>34</v>
      </c>
      <c r="C3" s="15" t="s">
        <v>28</v>
      </c>
      <c r="D3" s="15" t="s">
        <v>35</v>
      </c>
      <c r="E3" s="50"/>
      <c r="F3" s="2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6">
      <c r="A4" s="49" t="s">
        <v>136</v>
      </c>
      <c r="B4" s="70">
        <v>1</v>
      </c>
      <c r="C4" s="71">
        <v>10000</v>
      </c>
      <c r="D4" s="4">
        <f>B4*C4</f>
        <v>10000</v>
      </c>
      <c r="E4" s="48"/>
      <c r="F4" s="2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6">
      <c r="A5" s="70" t="s">
        <v>137</v>
      </c>
      <c r="B5" s="70">
        <v>1</v>
      </c>
      <c r="C5" s="71">
        <v>3000</v>
      </c>
      <c r="D5" s="4">
        <f t="shared" ref="D5:D18" si="0">B5*C5</f>
        <v>3000</v>
      </c>
      <c r="E5" s="48"/>
      <c r="F5" s="2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6">
      <c r="A6" s="70" t="s">
        <v>140</v>
      </c>
      <c r="B6" s="70">
        <v>1</v>
      </c>
      <c r="C6" s="71">
        <v>1000</v>
      </c>
      <c r="D6" s="4">
        <f t="shared" si="0"/>
        <v>1000</v>
      </c>
      <c r="E6" s="48"/>
      <c r="F6" s="2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6">
      <c r="A7" s="70" t="s">
        <v>141</v>
      </c>
      <c r="B7" s="70">
        <v>20</v>
      </c>
      <c r="C7" s="71">
        <v>40</v>
      </c>
      <c r="D7" s="4">
        <f t="shared" si="0"/>
        <v>800</v>
      </c>
      <c r="E7" s="48"/>
      <c r="F7" s="2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6">
      <c r="A8" s="70" t="s">
        <v>142</v>
      </c>
      <c r="B8" s="70">
        <v>2</v>
      </c>
      <c r="C8" s="71">
        <v>350</v>
      </c>
      <c r="D8" s="4">
        <f t="shared" si="0"/>
        <v>700</v>
      </c>
      <c r="E8" s="48"/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6">
      <c r="A9" s="70" t="s">
        <v>143</v>
      </c>
      <c r="B9" s="70">
        <v>2</v>
      </c>
      <c r="C9" s="71">
        <v>200</v>
      </c>
      <c r="D9" s="4">
        <f t="shared" si="0"/>
        <v>400</v>
      </c>
      <c r="E9" s="48"/>
      <c r="F9" s="2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6">
      <c r="A10" s="74" t="s">
        <v>144</v>
      </c>
      <c r="B10" s="70">
        <v>10</v>
      </c>
      <c r="C10" s="71">
        <v>100</v>
      </c>
      <c r="D10" s="4">
        <f t="shared" si="0"/>
        <v>1000</v>
      </c>
      <c r="E10" s="48"/>
      <c r="F10" s="2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6">
      <c r="A11" s="70" t="s">
        <v>145</v>
      </c>
      <c r="B11" s="70">
        <v>20</v>
      </c>
      <c r="C11" s="71">
        <v>70</v>
      </c>
      <c r="D11" s="4">
        <f t="shared" si="0"/>
        <v>1400</v>
      </c>
      <c r="E11" s="48"/>
      <c r="F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6">
      <c r="A12" s="70" t="s">
        <v>146</v>
      </c>
      <c r="B12" s="70">
        <v>4</v>
      </c>
      <c r="C12" s="71">
        <v>80</v>
      </c>
      <c r="D12" s="4">
        <f t="shared" si="0"/>
        <v>320</v>
      </c>
      <c r="E12" s="48"/>
      <c r="F12" s="2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6">
      <c r="A13" s="70" t="s">
        <v>175</v>
      </c>
      <c r="B13" s="70">
        <v>2</v>
      </c>
      <c r="C13" s="71">
        <v>152</v>
      </c>
      <c r="D13" s="71">
        <f t="shared" si="0"/>
        <v>304</v>
      </c>
      <c r="E13" s="48"/>
      <c r="F13" s="11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15.6">
      <c r="A14" s="70" t="s">
        <v>178</v>
      </c>
      <c r="B14" s="70">
        <v>10</v>
      </c>
      <c r="C14" s="71">
        <v>265</v>
      </c>
      <c r="D14" s="71">
        <f t="shared" si="0"/>
        <v>2650</v>
      </c>
      <c r="E14" s="48"/>
      <c r="F14" s="11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ht="15.6">
      <c r="A15" s="70" t="s">
        <v>176</v>
      </c>
      <c r="B15" s="70">
        <v>10</v>
      </c>
      <c r="C15" s="71">
        <v>183</v>
      </c>
      <c r="D15" s="71">
        <f t="shared" si="0"/>
        <v>1830</v>
      </c>
      <c r="E15" s="48"/>
      <c r="F15" s="111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ht="15.6">
      <c r="A16" s="70" t="s">
        <v>177</v>
      </c>
      <c r="B16" s="70">
        <v>10</v>
      </c>
      <c r="C16" s="71">
        <v>78</v>
      </c>
      <c r="D16" s="71">
        <f t="shared" si="0"/>
        <v>780</v>
      </c>
      <c r="E16" s="48"/>
      <c r="F16" s="111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</row>
    <row r="17" spans="1:19" ht="15.6">
      <c r="A17" s="70" t="s">
        <v>147</v>
      </c>
      <c r="B17" s="70">
        <v>2</v>
      </c>
      <c r="C17" s="71">
        <v>100</v>
      </c>
      <c r="D17" s="4">
        <f t="shared" si="0"/>
        <v>200</v>
      </c>
      <c r="E17" s="48"/>
      <c r="F17" s="2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6">
      <c r="A18" s="70" t="s">
        <v>66</v>
      </c>
      <c r="B18" s="70">
        <v>1</v>
      </c>
      <c r="C18" s="71">
        <v>15000</v>
      </c>
      <c r="D18" s="4">
        <f t="shared" si="0"/>
        <v>15000</v>
      </c>
      <c r="E18" s="48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6">
      <c r="A19" s="141" t="s">
        <v>0</v>
      </c>
      <c r="B19" s="142"/>
      <c r="C19" s="143"/>
      <c r="D19" s="4">
        <f>SUM(D4:D18)</f>
        <v>39384</v>
      </c>
      <c r="E19" s="48"/>
      <c r="F19" s="2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6">
      <c r="A20" s="21"/>
      <c r="B20" s="34"/>
      <c r="C20" s="21"/>
      <c r="D20" s="48"/>
      <c r="E20" s="48"/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6">
      <c r="A21" s="21"/>
      <c r="B21" s="34"/>
      <c r="C21" s="21"/>
      <c r="D21" s="48"/>
      <c r="E21" s="48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6">
      <c r="A22" s="21"/>
      <c r="B22" s="34"/>
      <c r="C22" s="21"/>
      <c r="D22" s="48"/>
      <c r="E22" s="48"/>
      <c r="F22" s="2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6">
      <c r="A23" s="21"/>
      <c r="B23" s="21"/>
      <c r="C23" s="21"/>
      <c r="D23" s="48"/>
      <c r="E23" s="48"/>
      <c r="F23" s="2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6">
      <c r="A24" s="21"/>
      <c r="B24" s="21"/>
      <c r="C24" s="21"/>
      <c r="D24" s="48"/>
      <c r="E24" s="48"/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6">
      <c r="A25" s="21"/>
      <c r="B25" s="21"/>
      <c r="C25" s="21"/>
      <c r="D25" s="48"/>
      <c r="E25" s="48"/>
      <c r="F25" s="2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6">
      <c r="A26" s="21"/>
      <c r="B26" s="21"/>
      <c r="C26" s="21"/>
      <c r="D26" s="48"/>
      <c r="E26" s="48"/>
      <c r="F26" s="2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6">
      <c r="A27" s="21"/>
      <c r="B27" s="21"/>
      <c r="C27" s="21"/>
      <c r="D27" s="48"/>
      <c r="E27" s="48"/>
      <c r="F27" s="2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6">
      <c r="A28" s="21"/>
      <c r="B28" s="34"/>
      <c r="C28" s="21"/>
      <c r="D28" s="48"/>
      <c r="E28" s="48"/>
      <c r="F28" s="2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6">
      <c r="A29" s="21"/>
      <c r="B29" s="34"/>
      <c r="C29" s="21"/>
      <c r="D29" s="48"/>
      <c r="E29" s="48"/>
      <c r="F29" s="2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6">
      <c r="A30" s="21"/>
      <c r="B30" s="34"/>
      <c r="C30" s="21"/>
      <c r="D30" s="48"/>
      <c r="E30" s="48"/>
      <c r="F30" s="2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6">
      <c r="A31" s="21"/>
      <c r="B31" s="34"/>
      <c r="C31" s="21"/>
      <c r="D31" s="48"/>
      <c r="E31" s="48"/>
      <c r="F31" s="2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6">
      <c r="A32" s="21"/>
      <c r="B32" s="21"/>
      <c r="C32" s="21"/>
      <c r="D32" s="48"/>
      <c r="E32" s="48"/>
      <c r="F32" s="26"/>
    </row>
    <row r="33" spans="1:6" ht="15.6">
      <c r="A33" s="21"/>
      <c r="B33" s="34"/>
      <c r="C33" s="21"/>
      <c r="D33" s="48"/>
      <c r="E33" s="48"/>
      <c r="F33" s="26"/>
    </row>
    <row r="34" spans="1:6" ht="15.6">
      <c r="A34" s="21"/>
      <c r="B34" s="21"/>
      <c r="C34" s="21"/>
      <c r="D34" s="48"/>
      <c r="E34" s="48"/>
      <c r="F34" s="26"/>
    </row>
    <row r="35" spans="1:6" ht="15.6">
      <c r="A35" s="140"/>
      <c r="B35" s="140"/>
      <c r="C35" s="140"/>
      <c r="D35" s="140"/>
      <c r="E35" s="48"/>
      <c r="F35" s="26"/>
    </row>
  </sheetData>
  <mergeCells count="3">
    <mergeCell ref="A1:E1"/>
    <mergeCell ref="A35:D35"/>
    <mergeCell ref="A19:C19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zoomScale="40" zoomScaleNormal="40" workbookViewId="0"/>
  </sheetViews>
  <sheetFormatPr defaultColWidth="9.109375" defaultRowHeight="15.6"/>
  <cols>
    <col min="1" max="1" width="50.21875" style="2" customWidth="1"/>
    <col min="2" max="2" width="14.33203125" style="2" bestFit="1" customWidth="1"/>
    <col min="3" max="3" width="11" style="2" bestFit="1" customWidth="1"/>
    <col min="4" max="5" width="12.33203125" style="2" bestFit="1" customWidth="1"/>
    <col min="6" max="7" width="10.33203125" style="2" bestFit="1" customWidth="1"/>
    <col min="8" max="9" width="11" style="2" bestFit="1" customWidth="1"/>
    <col min="10" max="10" width="10.33203125" style="2" bestFit="1" customWidth="1"/>
    <col min="11" max="13" width="10.88671875" style="2" bestFit="1" customWidth="1"/>
    <col min="14" max="14" width="12" style="2" bestFit="1" customWidth="1"/>
    <col min="15" max="15" width="11.88671875" style="2" bestFit="1" customWidth="1"/>
    <col min="16" max="18" width="9.109375" style="2"/>
    <col min="19" max="19" width="9.33203125" style="2" bestFit="1" customWidth="1"/>
    <col min="20" max="20" width="9.109375" style="2"/>
    <col min="21" max="21" width="18.5546875" style="2" bestFit="1" customWidth="1"/>
    <col min="22" max="22" width="10.77734375" style="2" bestFit="1" customWidth="1"/>
    <col min="23" max="23" width="21.109375" style="2" bestFit="1" customWidth="1"/>
    <col min="24" max="24" width="15.33203125" style="2" bestFit="1" customWidth="1"/>
    <col min="25" max="25" width="30.5546875" style="2" bestFit="1" customWidth="1"/>
    <col min="26" max="26" width="14" style="2" bestFit="1" customWidth="1"/>
    <col min="27" max="27" width="9.44140625" style="2" bestFit="1" customWidth="1"/>
    <col min="28" max="28" width="9.33203125" style="2" bestFit="1" customWidth="1"/>
    <col min="29" max="29" width="12.109375" style="2" bestFit="1" customWidth="1"/>
    <col min="30" max="30" width="13.33203125" style="2" bestFit="1" customWidth="1"/>
    <col min="31" max="16384" width="9.109375" style="2"/>
  </cols>
  <sheetData>
    <row r="1" spans="1:30">
      <c r="A1" s="2" t="s">
        <v>3</v>
      </c>
      <c r="S1" s="145" t="s">
        <v>5</v>
      </c>
      <c r="T1" s="145" t="s">
        <v>4</v>
      </c>
      <c r="U1" s="146" t="s">
        <v>154</v>
      </c>
      <c r="V1" s="147" t="s">
        <v>158</v>
      </c>
      <c r="W1" s="147" t="s">
        <v>153</v>
      </c>
      <c r="X1" s="147" t="s">
        <v>157</v>
      </c>
      <c r="Y1" s="147" t="s">
        <v>69</v>
      </c>
      <c r="Z1" s="147" t="s">
        <v>155</v>
      </c>
      <c r="AA1" s="145" t="s">
        <v>156</v>
      </c>
      <c r="AB1" s="145" t="s">
        <v>66</v>
      </c>
      <c r="AC1" s="145" t="s">
        <v>70</v>
      </c>
      <c r="AD1" s="144" t="s">
        <v>71</v>
      </c>
    </row>
    <row r="2" spans="1:30">
      <c r="D2" s="69" t="s">
        <v>181</v>
      </c>
      <c r="S2" s="145"/>
      <c r="T2" s="145"/>
      <c r="U2" s="146"/>
      <c r="V2" s="148"/>
      <c r="W2" s="148"/>
      <c r="X2" s="148"/>
      <c r="Y2" s="148"/>
      <c r="Z2" s="148"/>
      <c r="AA2" s="145"/>
      <c r="AB2" s="145"/>
      <c r="AC2" s="145"/>
      <c r="AD2" s="144"/>
    </row>
    <row r="3" spans="1:30">
      <c r="A3" s="3">
        <v>2023</v>
      </c>
      <c r="B3" s="67" t="s">
        <v>7</v>
      </c>
      <c r="C3" s="67" t="s">
        <v>8</v>
      </c>
      <c r="D3" s="36"/>
      <c r="E3" s="132"/>
      <c r="F3" s="132"/>
      <c r="G3" s="132"/>
      <c r="H3" s="132"/>
      <c r="I3" s="132"/>
      <c r="J3" s="132"/>
      <c r="K3" s="132"/>
      <c r="L3" s="37"/>
      <c r="M3" s="37"/>
      <c r="N3" s="37"/>
      <c r="S3" s="147">
        <v>2023</v>
      </c>
      <c r="T3" s="3" t="s">
        <v>7</v>
      </c>
      <c r="U3" s="4">
        <f>J61</f>
        <v>0</v>
      </c>
      <c r="V3" s="3"/>
      <c r="W3" s="3">
        <v>406</v>
      </c>
      <c r="X3" s="3">
        <f t="shared" ref="X3:X28" si="0">(U3/0.13)/49</f>
        <v>0</v>
      </c>
      <c r="Y3" s="3">
        <f>X3</f>
        <v>0</v>
      </c>
      <c r="Z3" s="3"/>
      <c r="AA3" s="3">
        <f t="shared" ref="AA3:AA28" si="1">31*150</f>
        <v>4650</v>
      </c>
      <c r="AB3" s="3">
        <v>7000</v>
      </c>
      <c r="AC3" s="68">
        <f t="shared" ref="AC3:AC28" si="2">SUM(U3:V3,AA3:AB3,Z3,W3)</f>
        <v>12056</v>
      </c>
      <c r="AD3" s="150">
        <f>SUM(AC3:AC4)</f>
        <v>27706</v>
      </c>
    </row>
    <row r="4" spans="1:30">
      <c r="A4" s="74" t="s">
        <v>149</v>
      </c>
      <c r="B4" s="70">
        <v>6</v>
      </c>
      <c r="C4" s="70">
        <v>11</v>
      </c>
      <c r="D4" s="36">
        <f>SUM(B4:C4)</f>
        <v>17</v>
      </c>
      <c r="E4" s="111"/>
      <c r="F4" s="111"/>
      <c r="G4" s="111"/>
      <c r="H4" s="111"/>
      <c r="I4" s="111"/>
      <c r="J4" s="111"/>
      <c r="K4" s="111"/>
      <c r="L4" s="37"/>
      <c r="M4" s="37"/>
      <c r="S4" s="148"/>
      <c r="T4" s="3" t="s">
        <v>8</v>
      </c>
      <c r="U4" s="4">
        <f>K61</f>
        <v>0</v>
      </c>
      <c r="V4" s="3"/>
      <c r="W4" s="3"/>
      <c r="X4" s="3">
        <f t="shared" si="0"/>
        <v>0</v>
      </c>
      <c r="Y4" s="3">
        <f t="shared" ref="Y4:Y28" si="3">X4+Y3</f>
        <v>0</v>
      </c>
      <c r="Z4" s="3">
        <v>4000</v>
      </c>
      <c r="AA4" s="3">
        <f t="shared" si="1"/>
        <v>4650</v>
      </c>
      <c r="AB4" s="3">
        <v>7000</v>
      </c>
      <c r="AC4" s="68">
        <f t="shared" si="2"/>
        <v>15650</v>
      </c>
      <c r="AD4" s="151"/>
    </row>
    <row r="5" spans="1:30" s="21" customFormat="1">
      <c r="A5" s="70" t="s">
        <v>150</v>
      </c>
      <c r="B5" s="70">
        <v>2</v>
      </c>
      <c r="C5" s="70">
        <v>10</v>
      </c>
      <c r="D5" s="70">
        <f>SUM(B5:C5)</f>
        <v>12</v>
      </c>
      <c r="E5" s="111"/>
      <c r="F5" s="111"/>
      <c r="G5" s="111"/>
      <c r="H5" s="111"/>
      <c r="I5" s="111"/>
      <c r="J5" s="111"/>
      <c r="K5" s="111"/>
      <c r="L5" s="111"/>
      <c r="P5" s="2"/>
      <c r="S5" s="147">
        <v>2024</v>
      </c>
      <c r="T5" s="3" t="s">
        <v>9</v>
      </c>
      <c r="U5" s="4">
        <f>B67</f>
        <v>0</v>
      </c>
      <c r="V5" s="3"/>
      <c r="W5" s="3"/>
      <c r="X5" s="3">
        <f t="shared" si="0"/>
        <v>0</v>
      </c>
      <c r="Y5" s="3">
        <f t="shared" si="3"/>
        <v>0</v>
      </c>
      <c r="Z5" s="3"/>
      <c r="AA5" s="3">
        <f t="shared" si="1"/>
        <v>4650</v>
      </c>
      <c r="AB5" s="3">
        <v>7000</v>
      </c>
      <c r="AC5" s="68">
        <f t="shared" si="2"/>
        <v>11650</v>
      </c>
      <c r="AD5" s="152"/>
    </row>
    <row r="6" spans="1:30" s="111" customFormat="1">
      <c r="A6" s="70" t="s">
        <v>182</v>
      </c>
      <c r="B6" s="70">
        <v>7</v>
      </c>
      <c r="C6" s="70">
        <v>8</v>
      </c>
      <c r="D6" s="70">
        <f>SUM(B6:C6)</f>
        <v>15</v>
      </c>
      <c r="P6" s="69"/>
      <c r="S6" s="149"/>
      <c r="T6" s="3" t="s">
        <v>10</v>
      </c>
      <c r="U6" s="4">
        <f>C67</f>
        <v>0</v>
      </c>
      <c r="V6" s="3"/>
      <c r="W6" s="3"/>
      <c r="X6" s="3">
        <f t="shared" si="0"/>
        <v>0</v>
      </c>
      <c r="Y6" s="3">
        <f t="shared" si="3"/>
        <v>0</v>
      </c>
      <c r="Z6" s="3"/>
      <c r="AA6" s="3">
        <f t="shared" si="1"/>
        <v>4650</v>
      </c>
      <c r="AB6" s="3">
        <v>7000</v>
      </c>
      <c r="AC6" s="68">
        <f t="shared" si="2"/>
        <v>11650</v>
      </c>
      <c r="AD6" s="150">
        <f>SUM(AC5:AC16)</f>
        <v>170206</v>
      </c>
    </row>
    <row r="7" spans="1:30" s="111" customFormat="1">
      <c r="A7" s="70" t="s">
        <v>183</v>
      </c>
      <c r="B7" s="70">
        <v>4</v>
      </c>
      <c r="C7" s="70">
        <v>5</v>
      </c>
      <c r="D7" s="70">
        <f>SUM(B7:C7)</f>
        <v>9</v>
      </c>
      <c r="P7" s="69"/>
      <c r="S7" s="149"/>
      <c r="T7" s="3" t="s">
        <v>11</v>
      </c>
      <c r="U7" s="4">
        <f>D67</f>
        <v>0</v>
      </c>
      <c r="V7" s="3">
        <v>22000</v>
      </c>
      <c r="W7" s="3"/>
      <c r="X7" s="3">
        <f t="shared" si="0"/>
        <v>0</v>
      </c>
      <c r="Y7" s="3">
        <f t="shared" si="3"/>
        <v>0</v>
      </c>
      <c r="Z7" s="3"/>
      <c r="AA7" s="3">
        <f t="shared" si="1"/>
        <v>4650</v>
      </c>
      <c r="AB7" s="3">
        <v>7000</v>
      </c>
      <c r="AC7" s="68">
        <f t="shared" si="2"/>
        <v>33650</v>
      </c>
      <c r="AD7" s="151"/>
    </row>
    <row r="8" spans="1:30" s="111" customFormat="1">
      <c r="A8" s="70" t="s">
        <v>184</v>
      </c>
      <c r="B8" s="70">
        <v>6</v>
      </c>
      <c r="C8" s="70">
        <v>7</v>
      </c>
      <c r="D8" s="70">
        <f>SUM(B8:C8)</f>
        <v>13</v>
      </c>
      <c r="P8" s="69"/>
      <c r="S8" s="149"/>
      <c r="T8" s="3" t="s">
        <v>12</v>
      </c>
      <c r="U8" s="4">
        <f>E67</f>
        <v>0</v>
      </c>
      <c r="V8" s="3"/>
      <c r="W8" s="3"/>
      <c r="X8" s="3">
        <f t="shared" si="0"/>
        <v>0</v>
      </c>
      <c r="Y8" s="3">
        <f>X8+Y7</f>
        <v>0</v>
      </c>
      <c r="Z8" s="3">
        <v>4000</v>
      </c>
      <c r="AA8" s="3">
        <f t="shared" si="1"/>
        <v>4650</v>
      </c>
      <c r="AB8" s="3">
        <v>7000</v>
      </c>
      <c r="AC8" s="68">
        <f t="shared" si="2"/>
        <v>15650</v>
      </c>
      <c r="AD8" s="151"/>
    </row>
    <row r="9" spans="1:30" s="111" customFormat="1">
      <c r="A9" s="70" t="s">
        <v>185</v>
      </c>
      <c r="B9" s="70">
        <v>2</v>
      </c>
      <c r="C9" s="70">
        <v>3</v>
      </c>
      <c r="D9" s="70">
        <f>SUM(B9:C9)</f>
        <v>5</v>
      </c>
      <c r="P9" s="69"/>
      <c r="S9" s="149"/>
      <c r="T9" s="3" t="s">
        <v>13</v>
      </c>
      <c r="U9" s="4">
        <f>F67</f>
        <v>0</v>
      </c>
      <c r="V9" s="3"/>
      <c r="W9" s="3"/>
      <c r="X9" s="3">
        <f t="shared" si="0"/>
        <v>0</v>
      </c>
      <c r="Y9" s="3">
        <f>X9+Y8</f>
        <v>0</v>
      </c>
      <c r="Z9" s="3"/>
      <c r="AA9" s="3">
        <f t="shared" si="1"/>
        <v>4650</v>
      </c>
      <c r="AB9" s="3">
        <v>7000</v>
      </c>
      <c r="AC9" s="68">
        <f t="shared" si="2"/>
        <v>11650</v>
      </c>
      <c r="AD9" s="151"/>
    </row>
    <row r="10" spans="1:30" s="111" customFormat="1">
      <c r="A10" s="70" t="s">
        <v>186</v>
      </c>
      <c r="B10" s="70">
        <v>4</v>
      </c>
      <c r="C10" s="70">
        <v>5</v>
      </c>
      <c r="D10" s="70">
        <f>SUM(B10:C10)</f>
        <v>9</v>
      </c>
      <c r="P10" s="69"/>
      <c r="S10" s="149"/>
      <c r="T10" s="3" t="s">
        <v>14</v>
      </c>
      <c r="U10" s="4">
        <f>G67</f>
        <v>0</v>
      </c>
      <c r="V10" s="3"/>
      <c r="W10" s="3"/>
      <c r="X10" s="3">
        <f t="shared" si="0"/>
        <v>0</v>
      </c>
      <c r="Y10" s="3">
        <f t="shared" si="3"/>
        <v>0</v>
      </c>
      <c r="Z10" s="3"/>
      <c r="AA10" s="3">
        <f t="shared" si="1"/>
        <v>4650</v>
      </c>
      <c r="AB10" s="3">
        <v>7000</v>
      </c>
      <c r="AC10" s="68">
        <f t="shared" si="2"/>
        <v>11650</v>
      </c>
      <c r="AD10" s="151"/>
    </row>
    <row r="11" spans="1:30" s="111" customFormat="1">
      <c r="A11" s="70" t="s">
        <v>187</v>
      </c>
      <c r="B11" s="70">
        <v>6</v>
      </c>
      <c r="C11" s="70">
        <v>8</v>
      </c>
      <c r="D11" s="70">
        <f>SUM(B11:C11)</f>
        <v>14</v>
      </c>
      <c r="P11" s="69"/>
      <c r="S11" s="149"/>
      <c r="T11" s="3" t="s">
        <v>15</v>
      </c>
      <c r="U11" s="4">
        <f>H67</f>
        <v>0</v>
      </c>
      <c r="V11" s="3"/>
      <c r="W11" s="3"/>
      <c r="X11" s="3">
        <f t="shared" si="0"/>
        <v>0</v>
      </c>
      <c r="Y11" s="3">
        <f>X11+Y10</f>
        <v>0</v>
      </c>
      <c r="Z11" s="3"/>
      <c r="AA11" s="3">
        <f t="shared" si="1"/>
        <v>4650</v>
      </c>
      <c r="AB11" s="3">
        <v>7000</v>
      </c>
      <c r="AC11" s="68">
        <f t="shared" si="2"/>
        <v>11650</v>
      </c>
      <c r="AD11" s="151"/>
    </row>
    <row r="12" spans="1:30" s="111" customFormat="1">
      <c r="A12" s="70" t="s">
        <v>188</v>
      </c>
      <c r="B12" s="70">
        <v>2</v>
      </c>
      <c r="C12" s="70">
        <v>4</v>
      </c>
      <c r="D12" s="70">
        <f>SUM(B12:C12)</f>
        <v>6</v>
      </c>
      <c r="P12" s="69"/>
      <c r="S12" s="149"/>
      <c r="T12" s="3" t="s">
        <v>16</v>
      </c>
      <c r="U12" s="4">
        <f>I67</f>
        <v>0</v>
      </c>
      <c r="V12" s="3"/>
      <c r="W12" s="3"/>
      <c r="X12" s="3">
        <f t="shared" si="0"/>
        <v>0</v>
      </c>
      <c r="Y12" s="3">
        <f t="shared" si="3"/>
        <v>0</v>
      </c>
      <c r="Z12" s="3"/>
      <c r="AA12" s="3">
        <f t="shared" si="1"/>
        <v>4650</v>
      </c>
      <c r="AB12" s="3">
        <v>7000</v>
      </c>
      <c r="AC12" s="68">
        <f t="shared" si="2"/>
        <v>11650</v>
      </c>
      <c r="AD12" s="151"/>
    </row>
    <row r="13" spans="1:30" s="111" customFormat="1">
      <c r="A13" s="70" t="s">
        <v>189</v>
      </c>
      <c r="B13" s="70">
        <v>1</v>
      </c>
      <c r="C13" s="70">
        <v>2</v>
      </c>
      <c r="D13" s="70">
        <f>SUM(B13:C13)</f>
        <v>3</v>
      </c>
      <c r="P13" s="69"/>
      <c r="S13" s="149"/>
      <c r="T13" s="3" t="s">
        <v>17</v>
      </c>
      <c r="U13" s="4">
        <f>J67</f>
        <v>0</v>
      </c>
      <c r="V13" s="3"/>
      <c r="W13" s="3"/>
      <c r="X13" s="3">
        <f t="shared" si="0"/>
        <v>0</v>
      </c>
      <c r="Y13" s="3">
        <f t="shared" si="3"/>
        <v>0</v>
      </c>
      <c r="Z13" s="3">
        <v>4000</v>
      </c>
      <c r="AA13" s="3">
        <f t="shared" si="1"/>
        <v>4650</v>
      </c>
      <c r="AB13" s="3">
        <v>7000</v>
      </c>
      <c r="AC13" s="68">
        <f t="shared" si="2"/>
        <v>15650</v>
      </c>
      <c r="AD13" s="151"/>
    </row>
    <row r="14" spans="1:30" s="111" customFormat="1">
      <c r="A14" s="70" t="s">
        <v>187</v>
      </c>
      <c r="B14" s="70">
        <v>3</v>
      </c>
      <c r="C14" s="70">
        <v>5</v>
      </c>
      <c r="D14" s="70">
        <f>SUM(B14:C14)</f>
        <v>8</v>
      </c>
      <c r="N14" s="69"/>
      <c r="P14" s="69"/>
      <c r="S14" s="149"/>
      <c r="T14" s="3" t="s">
        <v>6</v>
      </c>
      <c r="U14" s="4">
        <f>K67</f>
        <v>0</v>
      </c>
      <c r="V14" s="3"/>
      <c r="W14" s="3"/>
      <c r="X14" s="3">
        <f t="shared" si="0"/>
        <v>0</v>
      </c>
      <c r="Y14" s="3">
        <f t="shared" si="3"/>
        <v>0</v>
      </c>
      <c r="Z14" s="3"/>
      <c r="AA14" s="3">
        <f t="shared" si="1"/>
        <v>4650</v>
      </c>
      <c r="AB14" s="3">
        <v>7000</v>
      </c>
      <c r="AC14" s="68">
        <f t="shared" si="2"/>
        <v>11650</v>
      </c>
      <c r="AD14" s="151"/>
    </row>
    <row r="15" spans="1:30" s="111" customFormat="1">
      <c r="N15" s="2" t="s">
        <v>181</v>
      </c>
      <c r="P15" s="69"/>
      <c r="S15" s="149"/>
      <c r="T15" s="3" t="s">
        <v>7</v>
      </c>
      <c r="U15" s="4">
        <f>L67</f>
        <v>0</v>
      </c>
      <c r="V15" s="3"/>
      <c r="W15" s="3">
        <v>406</v>
      </c>
      <c r="X15" s="3">
        <f t="shared" si="0"/>
        <v>0</v>
      </c>
      <c r="Y15" s="3">
        <f t="shared" si="3"/>
        <v>0</v>
      </c>
      <c r="Z15" s="3"/>
      <c r="AA15" s="3">
        <f t="shared" si="1"/>
        <v>4650</v>
      </c>
      <c r="AB15" s="3">
        <v>7000</v>
      </c>
      <c r="AC15" s="68">
        <f t="shared" si="2"/>
        <v>12056</v>
      </c>
      <c r="AD15" s="151"/>
    </row>
    <row r="16" spans="1:30">
      <c r="A16" s="70">
        <v>2024</v>
      </c>
      <c r="B16" s="130" t="s">
        <v>9</v>
      </c>
      <c r="C16" s="130" t="s">
        <v>10</v>
      </c>
      <c r="D16" s="25" t="s">
        <v>11</v>
      </c>
      <c r="E16" s="128" t="s">
        <v>12</v>
      </c>
      <c r="F16" s="128" t="s">
        <v>13</v>
      </c>
      <c r="G16" s="128" t="s">
        <v>14</v>
      </c>
      <c r="H16" s="128" t="s">
        <v>15</v>
      </c>
      <c r="I16" s="128" t="s">
        <v>16</v>
      </c>
      <c r="J16" s="128" t="s">
        <v>17</v>
      </c>
      <c r="K16" s="128" t="s">
        <v>6</v>
      </c>
      <c r="L16" s="128" t="s">
        <v>7</v>
      </c>
      <c r="M16" s="67" t="s">
        <v>8</v>
      </c>
      <c r="N16" s="3"/>
      <c r="S16" s="149"/>
      <c r="T16" s="3" t="s">
        <v>8</v>
      </c>
      <c r="U16" s="4">
        <f>M67</f>
        <v>0</v>
      </c>
      <c r="V16" s="3"/>
      <c r="W16" s="3"/>
      <c r="X16" s="3">
        <f t="shared" si="0"/>
        <v>0</v>
      </c>
      <c r="Y16" s="3">
        <f t="shared" si="3"/>
        <v>0</v>
      </c>
      <c r="Z16" s="3"/>
      <c r="AA16" s="3">
        <f t="shared" si="1"/>
        <v>4650</v>
      </c>
      <c r="AB16" s="3">
        <v>7000</v>
      </c>
      <c r="AC16" s="68">
        <f t="shared" si="2"/>
        <v>11650</v>
      </c>
      <c r="AD16" s="152"/>
    </row>
    <row r="17" spans="1:30" s="69" customFormat="1">
      <c r="A17" s="74" t="s">
        <v>149</v>
      </c>
      <c r="B17" s="180">
        <v>40</v>
      </c>
      <c r="C17" s="180">
        <v>23</v>
      </c>
      <c r="D17" s="181">
        <v>23</v>
      </c>
      <c r="E17" s="180">
        <v>30</v>
      </c>
      <c r="F17" s="180">
        <v>18</v>
      </c>
      <c r="G17" s="180">
        <v>19</v>
      </c>
      <c r="H17" s="180">
        <v>40</v>
      </c>
      <c r="I17" s="180">
        <v>17</v>
      </c>
      <c r="J17" s="180">
        <v>20</v>
      </c>
      <c r="K17" s="180">
        <v>21</v>
      </c>
      <c r="L17" s="180">
        <v>26</v>
      </c>
      <c r="M17" s="180">
        <v>37</v>
      </c>
      <c r="N17" s="70">
        <f>SUM(B17:M17)</f>
        <v>314</v>
      </c>
      <c r="S17" s="147">
        <v>2025</v>
      </c>
      <c r="T17" s="3" t="s">
        <v>9</v>
      </c>
      <c r="U17" s="4">
        <f>B73</f>
        <v>3185</v>
      </c>
      <c r="V17" s="3"/>
      <c r="W17" s="3"/>
      <c r="X17" s="3">
        <f t="shared" si="0"/>
        <v>500</v>
      </c>
      <c r="Y17" s="3">
        <f t="shared" si="3"/>
        <v>500</v>
      </c>
      <c r="Z17" s="3">
        <v>4000</v>
      </c>
      <c r="AA17" s="3">
        <f t="shared" si="1"/>
        <v>4650</v>
      </c>
      <c r="AB17" s="3">
        <v>7000</v>
      </c>
      <c r="AC17" s="68">
        <f t="shared" si="2"/>
        <v>18835</v>
      </c>
      <c r="AD17" s="150">
        <f>SUM(AC17:AC28)</f>
        <v>248865.3125</v>
      </c>
    </row>
    <row r="18" spans="1:30" s="69" customFormat="1">
      <c r="A18" s="70" t="s">
        <v>150</v>
      </c>
      <c r="B18" s="180">
        <v>35</v>
      </c>
      <c r="C18" s="180">
        <v>15</v>
      </c>
      <c r="D18" s="181">
        <v>12</v>
      </c>
      <c r="E18" s="180">
        <v>41</v>
      </c>
      <c r="F18" s="180">
        <v>23</v>
      </c>
      <c r="G18" s="180">
        <v>32</v>
      </c>
      <c r="H18" s="180">
        <v>10</v>
      </c>
      <c r="I18" s="180">
        <v>15</v>
      </c>
      <c r="J18" s="180">
        <v>17</v>
      </c>
      <c r="K18" s="180">
        <v>19</v>
      </c>
      <c r="L18" s="180">
        <v>25</v>
      </c>
      <c r="M18" s="180">
        <v>31</v>
      </c>
      <c r="N18" s="70">
        <f>SUM(B18:M18)</f>
        <v>275</v>
      </c>
      <c r="S18" s="149"/>
      <c r="T18" s="3" t="s">
        <v>10</v>
      </c>
      <c r="U18" s="4">
        <f>C73</f>
        <v>2985.9375</v>
      </c>
      <c r="V18" s="3"/>
      <c r="W18" s="3"/>
      <c r="X18" s="3">
        <f t="shared" si="0"/>
        <v>468.75</v>
      </c>
      <c r="Y18" s="3">
        <f t="shared" si="3"/>
        <v>968.75</v>
      </c>
      <c r="Z18" s="3"/>
      <c r="AA18" s="3">
        <f t="shared" si="1"/>
        <v>4650</v>
      </c>
      <c r="AB18" s="3">
        <v>7000</v>
      </c>
      <c r="AC18" s="68">
        <f t="shared" si="2"/>
        <v>14635.9375</v>
      </c>
      <c r="AD18" s="151"/>
    </row>
    <row r="19" spans="1:30" s="69" customFormat="1">
      <c r="A19" s="70" t="s">
        <v>182</v>
      </c>
      <c r="B19" s="180">
        <v>32</v>
      </c>
      <c r="C19" s="180">
        <v>41</v>
      </c>
      <c r="D19" s="181">
        <v>23</v>
      </c>
      <c r="E19" s="180">
        <v>12</v>
      </c>
      <c r="F19" s="180">
        <v>15</v>
      </c>
      <c r="G19" s="180">
        <v>14</v>
      </c>
      <c r="H19" s="180">
        <v>16</v>
      </c>
      <c r="I19" s="180">
        <v>19</v>
      </c>
      <c r="J19" s="180">
        <v>31</v>
      </c>
      <c r="K19" s="180">
        <v>17</v>
      </c>
      <c r="L19" s="180">
        <v>22</v>
      </c>
      <c r="M19" s="180">
        <v>21</v>
      </c>
      <c r="N19" s="70">
        <f>SUM(B19:M19)</f>
        <v>263</v>
      </c>
      <c r="S19" s="149"/>
      <c r="T19" s="3" t="s">
        <v>11</v>
      </c>
      <c r="U19" s="4">
        <f>D73</f>
        <v>5374.6875</v>
      </c>
      <c r="V19" s="3">
        <v>22000</v>
      </c>
      <c r="W19" s="3"/>
      <c r="X19" s="3">
        <f t="shared" si="0"/>
        <v>843.75</v>
      </c>
      <c r="Y19" s="3">
        <f t="shared" si="3"/>
        <v>1812.5</v>
      </c>
      <c r="Z19" s="3"/>
      <c r="AA19" s="3">
        <f t="shared" si="1"/>
        <v>4650</v>
      </c>
      <c r="AB19" s="3">
        <v>7000</v>
      </c>
      <c r="AC19" s="68">
        <f t="shared" si="2"/>
        <v>39024.6875</v>
      </c>
      <c r="AD19" s="151"/>
    </row>
    <row r="20" spans="1:30" s="69" customFormat="1">
      <c r="A20" s="70" t="s">
        <v>183</v>
      </c>
      <c r="B20" s="180">
        <v>12</v>
      </c>
      <c r="C20" s="180">
        <v>14</v>
      </c>
      <c r="D20" s="181">
        <v>17</v>
      </c>
      <c r="E20" s="180">
        <v>19</v>
      </c>
      <c r="F20" s="180">
        <v>31</v>
      </c>
      <c r="G20" s="180">
        <v>16</v>
      </c>
      <c r="H20" s="180">
        <v>17</v>
      </c>
      <c r="I20" s="180">
        <v>20</v>
      </c>
      <c r="J20" s="180">
        <v>34</v>
      </c>
      <c r="K20" s="180">
        <v>45</v>
      </c>
      <c r="L20" s="180">
        <v>20</v>
      </c>
      <c r="M20" s="180">
        <v>17</v>
      </c>
      <c r="N20" s="70">
        <f>SUM(B20:M20)</f>
        <v>262</v>
      </c>
      <c r="S20" s="149"/>
      <c r="T20" s="3" t="s">
        <v>12</v>
      </c>
      <c r="U20" s="4">
        <f>E73</f>
        <v>6967.1875</v>
      </c>
      <c r="V20" s="3"/>
      <c r="W20" s="3"/>
      <c r="X20" s="3">
        <f t="shared" si="0"/>
        <v>1093.75</v>
      </c>
      <c r="Y20" s="3">
        <f t="shared" si="3"/>
        <v>2906.25</v>
      </c>
      <c r="Z20" s="3">
        <v>4000</v>
      </c>
      <c r="AA20" s="3">
        <f t="shared" si="1"/>
        <v>4650</v>
      </c>
      <c r="AB20" s="3">
        <v>7000</v>
      </c>
      <c r="AC20" s="68">
        <f t="shared" si="2"/>
        <v>22617.1875</v>
      </c>
      <c r="AD20" s="151"/>
    </row>
    <row r="21" spans="1:30" s="69" customFormat="1">
      <c r="A21" s="70" t="s">
        <v>184</v>
      </c>
      <c r="B21" s="180">
        <v>16</v>
      </c>
      <c r="C21" s="180">
        <v>15</v>
      </c>
      <c r="D21" s="181">
        <v>27</v>
      </c>
      <c r="E21" s="180">
        <v>35</v>
      </c>
      <c r="F21" s="180">
        <v>44</v>
      </c>
      <c r="G21" s="180">
        <v>48</v>
      </c>
      <c r="H21" s="180">
        <v>37</v>
      </c>
      <c r="I21" s="180">
        <v>36</v>
      </c>
      <c r="J21" s="180">
        <v>39</v>
      </c>
      <c r="K21" s="180">
        <v>17</v>
      </c>
      <c r="L21" s="180">
        <v>19</v>
      </c>
      <c r="M21" s="180">
        <v>24</v>
      </c>
      <c r="N21" s="70">
        <f>SUM(B21:M21)</f>
        <v>357</v>
      </c>
      <c r="S21" s="149"/>
      <c r="T21" s="3" t="s">
        <v>13</v>
      </c>
      <c r="U21" s="4">
        <f>F73</f>
        <v>8758.75</v>
      </c>
      <c r="V21" s="3"/>
      <c r="W21" s="3"/>
      <c r="X21" s="3">
        <f t="shared" si="0"/>
        <v>1375</v>
      </c>
      <c r="Y21" s="3">
        <f t="shared" si="3"/>
        <v>4281.25</v>
      </c>
      <c r="Z21" s="3"/>
      <c r="AA21" s="3">
        <f t="shared" si="1"/>
        <v>4650</v>
      </c>
      <c r="AB21" s="3">
        <v>7000</v>
      </c>
      <c r="AC21" s="68">
        <f t="shared" si="2"/>
        <v>20408.75</v>
      </c>
      <c r="AD21" s="151"/>
    </row>
    <row r="22" spans="1:30" s="69" customFormat="1">
      <c r="A22" s="70" t="s">
        <v>185</v>
      </c>
      <c r="B22" s="180">
        <v>17</v>
      </c>
      <c r="C22" s="180">
        <v>14</v>
      </c>
      <c r="D22" s="181">
        <v>17</v>
      </c>
      <c r="E22" s="180">
        <v>19</v>
      </c>
      <c r="F22" s="180">
        <v>31</v>
      </c>
      <c r="G22" s="180">
        <v>16</v>
      </c>
      <c r="H22" s="180">
        <v>17</v>
      </c>
      <c r="I22" s="180">
        <v>20</v>
      </c>
      <c r="J22" s="180">
        <v>34</v>
      </c>
      <c r="K22" s="180">
        <v>45</v>
      </c>
      <c r="L22" s="180">
        <v>20</v>
      </c>
      <c r="M22" s="180">
        <v>17</v>
      </c>
      <c r="N22" s="70">
        <f>SUM(B22:M22)</f>
        <v>267</v>
      </c>
      <c r="S22" s="149"/>
      <c r="T22" s="3" t="s">
        <v>14</v>
      </c>
      <c r="U22" s="4">
        <f>G73</f>
        <v>9555</v>
      </c>
      <c r="V22" s="3"/>
      <c r="W22" s="3"/>
      <c r="X22" s="3">
        <f t="shared" si="0"/>
        <v>1500</v>
      </c>
      <c r="Y22" s="3">
        <f t="shared" si="3"/>
        <v>5781.25</v>
      </c>
      <c r="Z22" s="3"/>
      <c r="AA22" s="3">
        <f t="shared" si="1"/>
        <v>4650</v>
      </c>
      <c r="AB22" s="3">
        <v>7000</v>
      </c>
      <c r="AC22" s="68">
        <f t="shared" si="2"/>
        <v>21205</v>
      </c>
      <c r="AD22" s="151"/>
    </row>
    <row r="23" spans="1:30" s="69" customFormat="1">
      <c r="A23" s="70" t="s">
        <v>186</v>
      </c>
      <c r="B23" s="180">
        <v>20</v>
      </c>
      <c r="C23" s="180">
        <v>23</v>
      </c>
      <c r="D23" s="181">
        <v>23</v>
      </c>
      <c r="E23" s="180">
        <v>30</v>
      </c>
      <c r="F23" s="180">
        <v>18</v>
      </c>
      <c r="G23" s="180">
        <v>19</v>
      </c>
      <c r="H23" s="180">
        <v>40</v>
      </c>
      <c r="I23" s="180">
        <v>17</v>
      </c>
      <c r="J23" s="180">
        <v>20</v>
      </c>
      <c r="K23" s="180">
        <v>21</v>
      </c>
      <c r="L23" s="180">
        <v>26</v>
      </c>
      <c r="M23" s="180">
        <v>37</v>
      </c>
      <c r="N23" s="70">
        <f>SUM(B23:M23)</f>
        <v>294</v>
      </c>
      <c r="S23" s="149"/>
      <c r="T23" s="3" t="s">
        <v>15</v>
      </c>
      <c r="U23" s="4">
        <f>H73</f>
        <v>7365.3125</v>
      </c>
      <c r="V23" s="3"/>
      <c r="W23" s="3"/>
      <c r="X23" s="3">
        <f t="shared" si="0"/>
        <v>1156.25</v>
      </c>
      <c r="Y23" s="3">
        <f t="shared" si="3"/>
        <v>6937.5</v>
      </c>
      <c r="Z23" s="3"/>
      <c r="AA23" s="3">
        <f t="shared" si="1"/>
        <v>4650</v>
      </c>
      <c r="AB23" s="3">
        <v>7000</v>
      </c>
      <c r="AC23" s="68">
        <f t="shared" si="2"/>
        <v>19015.3125</v>
      </c>
      <c r="AD23" s="151"/>
    </row>
    <row r="24" spans="1:30" s="69" customFormat="1">
      <c r="A24" s="70" t="s">
        <v>187</v>
      </c>
      <c r="B24" s="180">
        <v>21</v>
      </c>
      <c r="C24" s="180">
        <v>15</v>
      </c>
      <c r="D24" s="181">
        <v>12</v>
      </c>
      <c r="E24" s="180">
        <v>41</v>
      </c>
      <c r="F24" s="180">
        <v>23</v>
      </c>
      <c r="G24" s="180">
        <v>32</v>
      </c>
      <c r="H24" s="180">
        <v>10</v>
      </c>
      <c r="I24" s="180">
        <v>15</v>
      </c>
      <c r="J24" s="180">
        <v>17</v>
      </c>
      <c r="K24" s="180">
        <v>19</v>
      </c>
      <c r="L24" s="180">
        <v>25</v>
      </c>
      <c r="M24" s="180">
        <v>31</v>
      </c>
      <c r="N24" s="70">
        <f>SUM(B24:M24)</f>
        <v>261</v>
      </c>
      <c r="S24" s="149"/>
      <c r="T24" s="3" t="s">
        <v>16</v>
      </c>
      <c r="U24" s="4">
        <f>I73</f>
        <v>7166.25</v>
      </c>
      <c r="V24" s="3"/>
      <c r="W24" s="3"/>
      <c r="X24" s="3">
        <f t="shared" si="0"/>
        <v>1125</v>
      </c>
      <c r="Y24" s="3">
        <f t="shared" si="3"/>
        <v>8062.5</v>
      </c>
      <c r="Z24" s="3">
        <v>4000</v>
      </c>
      <c r="AA24" s="3">
        <f t="shared" si="1"/>
        <v>4650</v>
      </c>
      <c r="AB24" s="3">
        <v>7000</v>
      </c>
      <c r="AC24" s="68">
        <f t="shared" si="2"/>
        <v>22816.25</v>
      </c>
      <c r="AD24" s="151"/>
    </row>
    <row r="25" spans="1:30" s="69" customFormat="1">
      <c r="A25" s="70" t="s">
        <v>188</v>
      </c>
      <c r="B25" s="180">
        <v>36</v>
      </c>
      <c r="C25" s="180">
        <v>41</v>
      </c>
      <c r="D25" s="181">
        <v>23</v>
      </c>
      <c r="E25" s="180">
        <v>12</v>
      </c>
      <c r="F25" s="180">
        <v>15</v>
      </c>
      <c r="G25" s="180">
        <v>14</v>
      </c>
      <c r="H25" s="180">
        <v>16</v>
      </c>
      <c r="I25" s="180">
        <v>19</v>
      </c>
      <c r="J25" s="180">
        <v>31</v>
      </c>
      <c r="K25" s="180">
        <v>17</v>
      </c>
      <c r="L25" s="180">
        <v>22</v>
      </c>
      <c r="M25" s="180">
        <v>21</v>
      </c>
      <c r="N25" s="70">
        <f>SUM(B25:M25)</f>
        <v>267</v>
      </c>
      <c r="S25" s="149"/>
      <c r="T25" s="3" t="s">
        <v>17</v>
      </c>
      <c r="U25" s="4">
        <f>J73</f>
        <v>7763.4375</v>
      </c>
      <c r="V25" s="3"/>
      <c r="W25" s="3"/>
      <c r="X25" s="3">
        <f t="shared" si="0"/>
        <v>1218.75</v>
      </c>
      <c r="Y25" s="3">
        <f t="shared" si="3"/>
        <v>9281.25</v>
      </c>
      <c r="Z25" s="3"/>
      <c r="AA25" s="3">
        <f t="shared" si="1"/>
        <v>4650</v>
      </c>
      <c r="AB25" s="3">
        <v>7000</v>
      </c>
      <c r="AC25" s="68">
        <f t="shared" si="2"/>
        <v>19413.4375</v>
      </c>
      <c r="AD25" s="151"/>
    </row>
    <row r="26" spans="1:30" s="69" customFormat="1">
      <c r="A26" s="70" t="s">
        <v>189</v>
      </c>
      <c r="B26" s="180">
        <v>24</v>
      </c>
      <c r="C26" s="180">
        <v>14</v>
      </c>
      <c r="D26" s="181">
        <v>17</v>
      </c>
      <c r="E26" s="180">
        <v>19</v>
      </c>
      <c r="F26" s="180">
        <v>31</v>
      </c>
      <c r="G26" s="180">
        <v>16</v>
      </c>
      <c r="H26" s="180">
        <v>17</v>
      </c>
      <c r="I26" s="180">
        <v>20</v>
      </c>
      <c r="J26" s="180">
        <v>34</v>
      </c>
      <c r="K26" s="180">
        <v>45</v>
      </c>
      <c r="L26" s="180">
        <v>20</v>
      </c>
      <c r="M26" s="180">
        <v>17</v>
      </c>
      <c r="N26" s="70">
        <f>SUM(B26:M26)</f>
        <v>274</v>
      </c>
      <c r="S26" s="149"/>
      <c r="T26" s="3" t="s">
        <v>6</v>
      </c>
      <c r="U26" s="4">
        <f>K73</f>
        <v>3384.0625</v>
      </c>
      <c r="V26" s="3"/>
      <c r="W26" s="3"/>
      <c r="X26" s="3">
        <f t="shared" si="0"/>
        <v>531.25</v>
      </c>
      <c r="Y26" s="3">
        <f t="shared" si="3"/>
        <v>9812.5</v>
      </c>
      <c r="Z26" s="3"/>
      <c r="AA26" s="3">
        <f t="shared" si="1"/>
        <v>4650</v>
      </c>
      <c r="AB26" s="3">
        <v>7000</v>
      </c>
      <c r="AC26" s="68">
        <f t="shared" si="2"/>
        <v>15034.0625</v>
      </c>
      <c r="AD26" s="151"/>
    </row>
    <row r="27" spans="1:30">
      <c r="A27" s="70" t="s">
        <v>187</v>
      </c>
      <c r="B27" s="180">
        <v>43</v>
      </c>
      <c r="C27" s="180">
        <v>41</v>
      </c>
      <c r="D27" s="180">
        <v>23</v>
      </c>
      <c r="E27" s="180">
        <v>17</v>
      </c>
      <c r="F27" s="180">
        <v>19</v>
      </c>
      <c r="G27" s="180">
        <v>20</v>
      </c>
      <c r="H27" s="180">
        <v>41</v>
      </c>
      <c r="I27" s="180">
        <v>48</v>
      </c>
      <c r="J27" s="180">
        <v>21</v>
      </c>
      <c r="K27" s="180">
        <v>22</v>
      </c>
      <c r="L27" s="180">
        <v>27</v>
      </c>
      <c r="M27" s="180">
        <v>38</v>
      </c>
      <c r="N27" s="70">
        <f>SUM(B27:M27)</f>
        <v>360</v>
      </c>
      <c r="S27" s="149"/>
      <c r="T27" s="3" t="s">
        <v>7</v>
      </c>
      <c r="U27" s="4">
        <f>L73</f>
        <v>3782.1875</v>
      </c>
      <c r="V27" s="3"/>
      <c r="W27" s="3"/>
      <c r="X27" s="3">
        <f t="shared" si="0"/>
        <v>593.75</v>
      </c>
      <c r="Y27" s="3">
        <f t="shared" si="3"/>
        <v>10406.25</v>
      </c>
      <c r="Z27" s="3">
        <v>4000</v>
      </c>
      <c r="AA27" s="3">
        <f t="shared" si="1"/>
        <v>4650</v>
      </c>
      <c r="AB27" s="3">
        <v>7000</v>
      </c>
      <c r="AC27" s="68">
        <f t="shared" si="2"/>
        <v>19432.1875</v>
      </c>
      <c r="AD27" s="151"/>
    </row>
    <row r="28" spans="1:30" s="21" customFormat="1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S28" s="148"/>
      <c r="T28" s="3" t="s">
        <v>8</v>
      </c>
      <c r="U28" s="4">
        <f>M73</f>
        <v>4777.5</v>
      </c>
      <c r="V28" s="3"/>
      <c r="W28" s="3"/>
      <c r="X28" s="3">
        <f t="shared" si="0"/>
        <v>750</v>
      </c>
      <c r="Y28" s="3">
        <f t="shared" si="3"/>
        <v>11156.25</v>
      </c>
      <c r="Z28" s="3"/>
      <c r="AA28" s="3">
        <f t="shared" si="1"/>
        <v>4650</v>
      </c>
      <c r="AB28" s="3">
        <v>7000</v>
      </c>
      <c r="AC28" s="68">
        <f t="shared" si="2"/>
        <v>16427.5</v>
      </c>
      <c r="AD28" s="152"/>
    </row>
    <row r="29" spans="1:30">
      <c r="A29" s="70">
        <v>2025</v>
      </c>
      <c r="B29" s="130" t="s">
        <v>9</v>
      </c>
      <c r="C29" s="130" t="s">
        <v>10</v>
      </c>
      <c r="D29" s="130" t="s">
        <v>11</v>
      </c>
      <c r="E29" s="130" t="s">
        <v>12</v>
      </c>
      <c r="F29" s="130" t="s">
        <v>13</v>
      </c>
      <c r="G29" s="130" t="s">
        <v>14</v>
      </c>
      <c r="H29" s="130" t="s">
        <v>15</v>
      </c>
      <c r="I29" s="130" t="s">
        <v>16</v>
      </c>
      <c r="J29" s="130" t="s">
        <v>17</v>
      </c>
      <c r="K29" s="130" t="s">
        <v>6</v>
      </c>
      <c r="L29" s="130" t="s">
        <v>7</v>
      </c>
      <c r="M29" s="130" t="s">
        <v>8</v>
      </c>
      <c r="N29" s="70"/>
      <c r="S29" s="182"/>
      <c r="AD29" s="183"/>
    </row>
    <row r="30" spans="1:30">
      <c r="A30" s="74" t="s">
        <v>149</v>
      </c>
      <c r="B30" s="180">
        <v>40</v>
      </c>
      <c r="C30" s="180">
        <v>23</v>
      </c>
      <c r="D30" s="181">
        <v>23</v>
      </c>
      <c r="E30" s="180">
        <v>30</v>
      </c>
      <c r="F30" s="180">
        <v>18</v>
      </c>
      <c r="G30" s="180">
        <v>19</v>
      </c>
      <c r="H30" s="180">
        <v>40</v>
      </c>
      <c r="I30" s="180">
        <v>17</v>
      </c>
      <c r="J30" s="180">
        <v>20</v>
      </c>
      <c r="K30" s="180">
        <v>21</v>
      </c>
      <c r="L30" s="180">
        <v>26</v>
      </c>
      <c r="M30" s="180">
        <v>37</v>
      </c>
      <c r="N30" s="70">
        <f>SUM(B30:M30)</f>
        <v>314</v>
      </c>
      <c r="R30" s="111"/>
      <c r="S30" s="182"/>
      <c r="T30" s="111"/>
      <c r="U30" s="111"/>
      <c r="AD30" s="183"/>
    </row>
    <row r="31" spans="1:30" s="69" customFormat="1">
      <c r="A31" s="70" t="s">
        <v>150</v>
      </c>
      <c r="B31" s="180">
        <v>35</v>
      </c>
      <c r="C31" s="180">
        <v>15</v>
      </c>
      <c r="D31" s="181">
        <v>12</v>
      </c>
      <c r="E31" s="180">
        <v>41</v>
      </c>
      <c r="F31" s="180">
        <v>23</v>
      </c>
      <c r="G31" s="180">
        <v>32</v>
      </c>
      <c r="H31" s="180">
        <v>10</v>
      </c>
      <c r="I31" s="180">
        <v>15</v>
      </c>
      <c r="J31" s="180">
        <v>17</v>
      </c>
      <c r="K31" s="180">
        <v>19</v>
      </c>
      <c r="L31" s="180">
        <v>25</v>
      </c>
      <c r="M31" s="180">
        <v>31</v>
      </c>
      <c r="N31" s="70">
        <f>SUM(B31:M31)</f>
        <v>275</v>
      </c>
      <c r="R31" s="111"/>
      <c r="S31" s="182"/>
      <c r="T31" s="111"/>
      <c r="U31" s="111"/>
      <c r="V31" s="2"/>
      <c r="W31" s="2"/>
      <c r="X31" s="2"/>
      <c r="Y31" s="2"/>
      <c r="Z31" s="2"/>
      <c r="AA31" s="2"/>
      <c r="AB31" s="2"/>
      <c r="AC31" s="2"/>
      <c r="AD31" s="183"/>
    </row>
    <row r="32" spans="1:30" s="69" customFormat="1">
      <c r="A32" s="70" t="s">
        <v>182</v>
      </c>
      <c r="B32" s="180">
        <v>32</v>
      </c>
      <c r="C32" s="180">
        <v>41</v>
      </c>
      <c r="D32" s="181">
        <v>23</v>
      </c>
      <c r="E32" s="180">
        <v>12</v>
      </c>
      <c r="F32" s="180">
        <v>15</v>
      </c>
      <c r="G32" s="180">
        <v>14</v>
      </c>
      <c r="H32" s="180">
        <v>16</v>
      </c>
      <c r="I32" s="180">
        <v>19</v>
      </c>
      <c r="J32" s="180">
        <v>31</v>
      </c>
      <c r="K32" s="180">
        <v>17</v>
      </c>
      <c r="L32" s="180">
        <v>22</v>
      </c>
      <c r="M32" s="180">
        <v>21</v>
      </c>
      <c r="N32" s="70">
        <f>SUM(B32:M32)</f>
        <v>263</v>
      </c>
      <c r="R32" s="111"/>
      <c r="S32" s="182"/>
      <c r="T32" s="111"/>
      <c r="U32" s="111"/>
      <c r="V32" s="2"/>
      <c r="W32" s="2"/>
      <c r="X32" s="2"/>
      <c r="Y32" s="2"/>
      <c r="Z32" s="2"/>
      <c r="AA32" s="2"/>
      <c r="AB32" s="2"/>
      <c r="AC32" s="2"/>
      <c r="AD32" s="183"/>
    </row>
    <row r="33" spans="1:30" s="69" customFormat="1">
      <c r="A33" s="70" t="s">
        <v>183</v>
      </c>
      <c r="B33" s="180">
        <v>12</v>
      </c>
      <c r="C33" s="180">
        <v>14</v>
      </c>
      <c r="D33" s="181">
        <v>17</v>
      </c>
      <c r="E33" s="180">
        <v>19</v>
      </c>
      <c r="F33" s="180">
        <v>31</v>
      </c>
      <c r="G33" s="180">
        <v>16</v>
      </c>
      <c r="H33" s="180">
        <v>17</v>
      </c>
      <c r="I33" s="180">
        <v>20</v>
      </c>
      <c r="J33" s="180">
        <v>34</v>
      </c>
      <c r="K33" s="180">
        <v>45</v>
      </c>
      <c r="L33" s="180">
        <v>20</v>
      </c>
      <c r="M33" s="180">
        <v>17</v>
      </c>
      <c r="N33" s="70">
        <f>SUM(B33:M33)</f>
        <v>262</v>
      </c>
      <c r="R33" s="111"/>
      <c r="S33" s="182"/>
      <c r="T33" s="111"/>
      <c r="U33" s="111"/>
      <c r="V33" s="2"/>
      <c r="W33" s="2"/>
      <c r="X33" s="2"/>
      <c r="Y33" s="2"/>
      <c r="Z33" s="2"/>
      <c r="AA33" s="2"/>
      <c r="AB33" s="2"/>
      <c r="AC33" s="2"/>
      <c r="AD33" s="183"/>
    </row>
    <row r="34" spans="1:30" s="69" customFormat="1">
      <c r="A34" s="70" t="s">
        <v>184</v>
      </c>
      <c r="B34" s="180">
        <v>16</v>
      </c>
      <c r="C34" s="180">
        <v>15</v>
      </c>
      <c r="D34" s="181">
        <v>27</v>
      </c>
      <c r="E34" s="180">
        <v>35</v>
      </c>
      <c r="F34" s="180">
        <v>44</v>
      </c>
      <c r="G34" s="180">
        <v>48</v>
      </c>
      <c r="H34" s="180">
        <v>37</v>
      </c>
      <c r="I34" s="180">
        <v>36</v>
      </c>
      <c r="J34" s="180">
        <v>39</v>
      </c>
      <c r="K34" s="180">
        <v>17</v>
      </c>
      <c r="L34" s="180">
        <v>19</v>
      </c>
      <c r="M34" s="180">
        <v>24</v>
      </c>
      <c r="N34" s="70">
        <f>SUM(B34:M34)</f>
        <v>357</v>
      </c>
      <c r="R34" s="111"/>
      <c r="S34" s="182"/>
      <c r="T34" s="111"/>
      <c r="U34" s="111"/>
      <c r="V34" s="2"/>
      <c r="W34" s="2"/>
      <c r="X34" s="2"/>
      <c r="Y34" s="2"/>
      <c r="Z34" s="2"/>
      <c r="AA34" s="2"/>
      <c r="AB34" s="2"/>
      <c r="AC34" s="2"/>
      <c r="AD34" s="183"/>
    </row>
    <row r="35" spans="1:30" s="69" customFormat="1">
      <c r="A35" s="70" t="s">
        <v>185</v>
      </c>
      <c r="B35" s="180">
        <v>17</v>
      </c>
      <c r="C35" s="180">
        <v>14</v>
      </c>
      <c r="D35" s="181">
        <v>17</v>
      </c>
      <c r="E35" s="180">
        <v>19</v>
      </c>
      <c r="F35" s="180">
        <v>31</v>
      </c>
      <c r="G35" s="180">
        <v>16</v>
      </c>
      <c r="H35" s="180">
        <v>17</v>
      </c>
      <c r="I35" s="180">
        <v>20</v>
      </c>
      <c r="J35" s="180">
        <v>34</v>
      </c>
      <c r="K35" s="180">
        <v>45</v>
      </c>
      <c r="L35" s="180">
        <v>20</v>
      </c>
      <c r="M35" s="180">
        <v>17</v>
      </c>
      <c r="N35" s="70">
        <f>SUM(B35:M35)</f>
        <v>267</v>
      </c>
      <c r="R35" s="111"/>
      <c r="S35" s="182"/>
      <c r="T35" s="111"/>
      <c r="U35" s="111"/>
      <c r="V35" s="2"/>
      <c r="W35" s="2"/>
      <c r="X35" s="2"/>
      <c r="Y35" s="2"/>
      <c r="Z35" s="2"/>
      <c r="AA35" s="2"/>
      <c r="AB35" s="2"/>
      <c r="AC35" s="2"/>
      <c r="AD35" s="183"/>
    </row>
    <row r="36" spans="1:30" s="69" customFormat="1">
      <c r="A36" s="70" t="s">
        <v>186</v>
      </c>
      <c r="B36" s="180">
        <v>20</v>
      </c>
      <c r="C36" s="180">
        <v>23</v>
      </c>
      <c r="D36" s="181">
        <v>23</v>
      </c>
      <c r="E36" s="180">
        <v>30</v>
      </c>
      <c r="F36" s="180">
        <v>18</v>
      </c>
      <c r="G36" s="180">
        <v>19</v>
      </c>
      <c r="H36" s="180">
        <v>40</v>
      </c>
      <c r="I36" s="180">
        <v>17</v>
      </c>
      <c r="J36" s="180">
        <v>20</v>
      </c>
      <c r="K36" s="180">
        <v>21</v>
      </c>
      <c r="L36" s="180">
        <v>26</v>
      </c>
      <c r="M36" s="180">
        <v>37</v>
      </c>
      <c r="N36" s="70">
        <f>SUM(B36:M36)</f>
        <v>294</v>
      </c>
      <c r="R36" s="111"/>
      <c r="S36" s="182"/>
      <c r="T36" s="111"/>
      <c r="U36" s="111"/>
      <c r="V36" s="2"/>
      <c r="W36" s="2"/>
      <c r="X36" s="2"/>
      <c r="Y36" s="2"/>
      <c r="Z36" s="2"/>
      <c r="AA36" s="2"/>
      <c r="AB36" s="2"/>
      <c r="AC36" s="2"/>
      <c r="AD36" s="183"/>
    </row>
    <row r="37" spans="1:30" s="69" customFormat="1">
      <c r="A37" s="70" t="s">
        <v>187</v>
      </c>
      <c r="B37" s="180">
        <v>21</v>
      </c>
      <c r="C37" s="180">
        <v>15</v>
      </c>
      <c r="D37" s="181">
        <v>12</v>
      </c>
      <c r="E37" s="180">
        <v>41</v>
      </c>
      <c r="F37" s="180">
        <v>23</v>
      </c>
      <c r="G37" s="180">
        <v>32</v>
      </c>
      <c r="H37" s="180">
        <v>10</v>
      </c>
      <c r="I37" s="180">
        <v>15</v>
      </c>
      <c r="J37" s="180">
        <v>17</v>
      </c>
      <c r="K37" s="180">
        <v>19</v>
      </c>
      <c r="L37" s="180">
        <v>25</v>
      </c>
      <c r="M37" s="180">
        <v>31</v>
      </c>
      <c r="N37" s="70">
        <f>SUM(B37:M37)</f>
        <v>261</v>
      </c>
      <c r="R37" s="111"/>
      <c r="S37" s="182"/>
      <c r="T37" s="111"/>
      <c r="U37" s="111"/>
      <c r="V37" s="2"/>
      <c r="W37" s="2"/>
      <c r="X37" s="2"/>
      <c r="Y37" s="2"/>
      <c r="Z37" s="2"/>
      <c r="AA37" s="2"/>
      <c r="AB37" s="2"/>
      <c r="AC37" s="2"/>
      <c r="AD37" s="183"/>
    </row>
    <row r="38" spans="1:30" s="69" customFormat="1">
      <c r="A38" s="70" t="s">
        <v>188</v>
      </c>
      <c r="B38" s="180">
        <v>36</v>
      </c>
      <c r="C38" s="180">
        <v>41</v>
      </c>
      <c r="D38" s="181">
        <v>23</v>
      </c>
      <c r="E38" s="180">
        <v>12</v>
      </c>
      <c r="F38" s="180">
        <v>15</v>
      </c>
      <c r="G38" s="180">
        <v>14</v>
      </c>
      <c r="H38" s="180">
        <v>16</v>
      </c>
      <c r="I38" s="180">
        <v>19</v>
      </c>
      <c r="J38" s="180">
        <v>31</v>
      </c>
      <c r="K38" s="180">
        <v>17</v>
      </c>
      <c r="L38" s="180">
        <v>22</v>
      </c>
      <c r="M38" s="180">
        <v>21</v>
      </c>
      <c r="N38" s="70">
        <f>SUM(B38:M38)</f>
        <v>267</v>
      </c>
      <c r="R38" s="111"/>
      <c r="S38" s="182"/>
      <c r="T38" s="111"/>
      <c r="U38" s="111"/>
      <c r="V38" s="2"/>
      <c r="W38" s="2"/>
      <c r="X38" s="2"/>
      <c r="Y38" s="2"/>
      <c r="Z38" s="2"/>
      <c r="AA38" s="2"/>
      <c r="AB38" s="2"/>
      <c r="AC38" s="2"/>
      <c r="AD38" s="183"/>
    </row>
    <row r="39" spans="1:30" s="69" customFormat="1">
      <c r="A39" s="70" t="s">
        <v>189</v>
      </c>
      <c r="B39" s="180">
        <v>24</v>
      </c>
      <c r="C39" s="180">
        <v>14</v>
      </c>
      <c r="D39" s="181">
        <v>17</v>
      </c>
      <c r="E39" s="180">
        <v>19</v>
      </c>
      <c r="F39" s="180">
        <v>31</v>
      </c>
      <c r="G39" s="180">
        <v>16</v>
      </c>
      <c r="H39" s="180">
        <v>17</v>
      </c>
      <c r="I39" s="180">
        <v>20</v>
      </c>
      <c r="J39" s="180">
        <v>34</v>
      </c>
      <c r="K39" s="180">
        <v>45</v>
      </c>
      <c r="L39" s="180">
        <v>20</v>
      </c>
      <c r="M39" s="180">
        <v>17</v>
      </c>
      <c r="N39" s="70">
        <f>SUM(B39:M39)</f>
        <v>274</v>
      </c>
      <c r="R39" s="111"/>
      <c r="S39" s="182"/>
      <c r="T39" s="111"/>
      <c r="U39" s="111"/>
      <c r="V39" s="2"/>
      <c r="W39" s="2"/>
      <c r="X39" s="2"/>
      <c r="Y39" s="2"/>
      <c r="Z39" s="2"/>
      <c r="AA39" s="2"/>
      <c r="AB39" s="2"/>
      <c r="AC39" s="2"/>
      <c r="AD39" s="183"/>
    </row>
    <row r="40" spans="1:30" s="69" customFormat="1">
      <c r="A40" s="70" t="s">
        <v>187</v>
      </c>
      <c r="B40" s="180">
        <v>43</v>
      </c>
      <c r="C40" s="180">
        <v>41</v>
      </c>
      <c r="D40" s="180">
        <v>23</v>
      </c>
      <c r="E40" s="180">
        <v>17</v>
      </c>
      <c r="F40" s="180">
        <v>19</v>
      </c>
      <c r="G40" s="180">
        <v>20</v>
      </c>
      <c r="H40" s="180">
        <v>41</v>
      </c>
      <c r="I40" s="180">
        <v>48</v>
      </c>
      <c r="J40" s="180">
        <v>21</v>
      </c>
      <c r="K40" s="180">
        <v>22</v>
      </c>
      <c r="L40" s="180">
        <v>27</v>
      </c>
      <c r="M40" s="180">
        <v>38</v>
      </c>
      <c r="N40" s="70">
        <f>SUM(B40:M40)</f>
        <v>360</v>
      </c>
      <c r="R40" s="111"/>
      <c r="S40" s="182"/>
      <c r="T40" s="111"/>
      <c r="U40" s="111"/>
      <c r="V40" s="2"/>
      <c r="W40" s="2"/>
      <c r="X40" s="2"/>
      <c r="Y40" s="2"/>
      <c r="Z40" s="2"/>
      <c r="AA40" s="2"/>
      <c r="AB40" s="2"/>
      <c r="AC40" s="2"/>
      <c r="AD40" s="183"/>
    </row>
    <row r="41" spans="1:30" s="69" customFormat="1">
      <c r="A41" s="174">
        <v>2026</v>
      </c>
      <c r="B41" s="175" t="s">
        <v>9</v>
      </c>
      <c r="C41" s="175" t="s">
        <v>10</v>
      </c>
      <c r="D41" s="175" t="s">
        <v>11</v>
      </c>
      <c r="E41" s="175" t="s">
        <v>12</v>
      </c>
      <c r="F41" s="175" t="s">
        <v>13</v>
      </c>
      <c r="G41" s="175" t="s">
        <v>14</v>
      </c>
      <c r="H41" s="175" t="s">
        <v>15</v>
      </c>
      <c r="I41" s="175" t="s">
        <v>16</v>
      </c>
      <c r="J41" s="175" t="s">
        <v>17</v>
      </c>
      <c r="K41" s="175" t="s">
        <v>6</v>
      </c>
      <c r="L41" s="175" t="s">
        <v>7</v>
      </c>
      <c r="M41" s="175" t="s">
        <v>8</v>
      </c>
      <c r="N41" s="174"/>
      <c r="R41" s="111"/>
      <c r="S41" s="182"/>
      <c r="T41" s="111"/>
      <c r="U41" s="111"/>
      <c r="V41" s="2"/>
      <c r="W41" s="2"/>
      <c r="X41" s="2"/>
      <c r="Y41" s="2"/>
      <c r="Z41" s="2"/>
      <c r="AA41" s="2"/>
      <c r="AB41" s="2"/>
      <c r="AC41" s="2"/>
      <c r="AD41" s="183"/>
    </row>
    <row r="42" spans="1:30" s="69" customFormat="1">
      <c r="A42" s="176" t="s">
        <v>149</v>
      </c>
      <c r="B42" s="174">
        <v>71</v>
      </c>
      <c r="C42" s="174">
        <v>51</v>
      </c>
      <c r="D42" s="174">
        <v>28</v>
      </c>
      <c r="E42" s="174">
        <v>31</v>
      </c>
      <c r="F42" s="174">
        <v>23</v>
      </c>
      <c r="G42" s="174">
        <v>25</v>
      </c>
      <c r="H42" s="174">
        <v>75</v>
      </c>
      <c r="I42" s="174">
        <v>67</v>
      </c>
      <c r="J42" s="174">
        <v>25</v>
      </c>
      <c r="K42" s="174">
        <v>30</v>
      </c>
      <c r="L42" s="174">
        <v>33</v>
      </c>
      <c r="M42" s="174">
        <v>51</v>
      </c>
      <c r="N42" s="174">
        <f>SUM(B42:M42)</f>
        <v>510</v>
      </c>
      <c r="R42" s="111"/>
      <c r="S42" s="182"/>
      <c r="T42" s="111"/>
      <c r="U42" s="111"/>
      <c r="V42" s="2"/>
      <c r="W42" s="2"/>
      <c r="X42" s="2"/>
      <c r="Y42" s="2"/>
      <c r="Z42" s="2"/>
      <c r="AA42" s="2"/>
      <c r="AB42" s="2"/>
      <c r="AC42" s="2"/>
      <c r="AD42" s="183"/>
    </row>
    <row r="43" spans="1:30" s="69" customFormat="1">
      <c r="A43" s="174" t="s">
        <v>150</v>
      </c>
      <c r="B43" s="174">
        <v>68</v>
      </c>
      <c r="C43" s="174">
        <v>49</v>
      </c>
      <c r="D43" s="174">
        <v>25</v>
      </c>
      <c r="E43" s="174">
        <v>31</v>
      </c>
      <c r="F43" s="174">
        <v>21</v>
      </c>
      <c r="G43" s="174">
        <v>21</v>
      </c>
      <c r="H43" s="174">
        <v>73</v>
      </c>
      <c r="I43" s="174">
        <v>61</v>
      </c>
      <c r="J43" s="174">
        <v>21</v>
      </c>
      <c r="K43" s="174">
        <v>28</v>
      </c>
      <c r="L43" s="174">
        <v>31</v>
      </c>
      <c r="M43" s="174">
        <v>48</v>
      </c>
      <c r="N43" s="174">
        <f>SUM(B43:M43)</f>
        <v>477</v>
      </c>
      <c r="R43" s="111"/>
      <c r="S43" s="182"/>
      <c r="T43" s="111"/>
      <c r="U43" s="111"/>
      <c r="V43" s="2"/>
      <c r="W43" s="2"/>
      <c r="X43" s="2"/>
      <c r="Y43" s="2"/>
      <c r="Z43" s="2"/>
      <c r="AA43" s="2"/>
      <c r="AB43" s="2"/>
      <c r="AC43" s="2"/>
      <c r="AD43" s="183"/>
    </row>
    <row r="44" spans="1:30" s="69" customForma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R44" s="111"/>
      <c r="S44" s="182"/>
      <c r="T44" s="111"/>
      <c r="U44" s="111"/>
      <c r="V44" s="2"/>
      <c r="W44" s="2"/>
      <c r="X44" s="2"/>
      <c r="Y44" s="2"/>
      <c r="Z44" s="2"/>
      <c r="AA44" s="2"/>
      <c r="AB44" s="2"/>
      <c r="AC44" s="2"/>
      <c r="AD44" s="183"/>
    </row>
    <row r="45" spans="1:30" s="69" customFormat="1">
      <c r="A45" s="2" t="s">
        <v>180</v>
      </c>
      <c r="B45" s="2"/>
      <c r="C45" s="2"/>
      <c r="D45" s="2" t="s">
        <v>181</v>
      </c>
      <c r="E45" s="2"/>
      <c r="F45" s="174"/>
      <c r="G45" s="174"/>
      <c r="H45" s="174"/>
      <c r="I45" s="174"/>
      <c r="J45" s="174"/>
      <c r="K45" s="174"/>
      <c r="L45" s="2"/>
      <c r="M45" s="2"/>
      <c r="N45" s="2"/>
      <c r="R45" s="111"/>
      <c r="S45" s="182"/>
      <c r="T45" s="111"/>
      <c r="U45" s="111"/>
      <c r="V45" s="2"/>
      <c r="W45" s="2"/>
      <c r="X45" s="2"/>
      <c r="Y45" s="2"/>
      <c r="Z45" s="2"/>
      <c r="AA45" s="2"/>
      <c r="AB45" s="2"/>
      <c r="AC45" s="2"/>
      <c r="AD45" s="183"/>
    </row>
    <row r="46" spans="1:30">
      <c r="A46" s="3">
        <v>2023</v>
      </c>
      <c r="B46" s="67" t="s">
        <v>7</v>
      </c>
      <c r="C46" s="67" t="s">
        <v>8</v>
      </c>
      <c r="D46" s="36"/>
      <c r="E46" s="175" t="s">
        <v>13</v>
      </c>
      <c r="F46" s="175" t="s">
        <v>15</v>
      </c>
      <c r="G46" s="175" t="s">
        <v>16</v>
      </c>
      <c r="H46" s="175" t="s">
        <v>17</v>
      </c>
      <c r="I46" s="175" t="s">
        <v>6</v>
      </c>
      <c r="J46" s="175" t="s">
        <v>7</v>
      </c>
      <c r="K46" s="175" t="s">
        <v>8</v>
      </c>
      <c r="M46" s="37"/>
      <c r="N46" s="37"/>
      <c r="R46" s="111"/>
      <c r="S46" s="182"/>
      <c r="T46" s="111"/>
      <c r="U46" s="111"/>
      <c r="AD46" s="183"/>
    </row>
    <row r="47" spans="1:30">
      <c r="A47" s="14" t="s">
        <v>151</v>
      </c>
      <c r="B47" s="3">
        <f>(B4*2000)+(B5*700)</f>
        <v>13400</v>
      </c>
      <c r="C47" s="3">
        <f>(C4*2000)+(C5*700)</f>
        <v>29000</v>
      </c>
      <c r="D47" s="36">
        <f ca="1">SUM(B47:K47)</f>
        <v>42400</v>
      </c>
      <c r="E47" s="174">
        <f>(D4*2000)+(D5*700)</f>
        <v>42400</v>
      </c>
      <c r="F47" s="174">
        <f>(F4*2000)+(F5*700)</f>
        <v>0</v>
      </c>
      <c r="G47" s="174">
        <f>(G4*2000)+(G5*700)</f>
        <v>0</v>
      </c>
      <c r="H47" s="174">
        <f>(H4*2000)+(H5*700)</f>
        <v>0</v>
      </c>
      <c r="I47" s="174">
        <f>(I4*2000)+(I5*700)</f>
        <v>0</v>
      </c>
      <c r="J47" s="174">
        <f>(J4*2000)+(J5*700)</f>
        <v>0</v>
      </c>
      <c r="K47" s="174">
        <f>(K4*2000)+(K5*700)</f>
        <v>0</v>
      </c>
      <c r="M47" s="37"/>
      <c r="N47" s="37"/>
      <c r="R47" s="111"/>
      <c r="S47" s="182"/>
      <c r="T47" s="111"/>
      <c r="U47" s="111"/>
      <c r="AD47" s="183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" t="s">
        <v>0</v>
      </c>
      <c r="R48" s="111"/>
      <c r="S48" s="182"/>
      <c r="T48" s="111"/>
      <c r="U48" s="111"/>
      <c r="AD48" s="183"/>
    </row>
    <row r="49" spans="1:30">
      <c r="A49" s="3">
        <v>2024</v>
      </c>
      <c r="B49" s="67" t="s">
        <v>9</v>
      </c>
      <c r="C49" s="67" t="s">
        <v>10</v>
      </c>
      <c r="D49" s="67" t="s">
        <v>11</v>
      </c>
      <c r="E49" s="67" t="s">
        <v>12</v>
      </c>
      <c r="F49" s="67" t="s">
        <v>13</v>
      </c>
      <c r="G49" s="67" t="s">
        <v>14</v>
      </c>
      <c r="H49" s="67" t="s">
        <v>15</v>
      </c>
      <c r="I49" s="67" t="s">
        <v>16</v>
      </c>
      <c r="J49" s="67" t="s">
        <v>17</v>
      </c>
      <c r="K49" s="67" t="s">
        <v>6</v>
      </c>
      <c r="L49" s="67" t="s">
        <v>7</v>
      </c>
      <c r="M49" s="67" t="s">
        <v>8</v>
      </c>
      <c r="N49" s="3"/>
      <c r="R49" s="111"/>
      <c r="S49" s="182"/>
      <c r="T49" s="111"/>
      <c r="U49" s="111"/>
      <c r="AD49" s="183"/>
    </row>
    <row r="50" spans="1:30">
      <c r="A50" s="74" t="s">
        <v>151</v>
      </c>
      <c r="B50" s="22">
        <f>B27*2000+B28*700</f>
        <v>86000</v>
      </c>
      <c r="C50" s="22">
        <f>C27*2000+C28*700</f>
        <v>82000</v>
      </c>
      <c r="D50" s="22">
        <f>D27*2000+D28*700</f>
        <v>46000</v>
      </c>
      <c r="E50" s="22">
        <f>E27*2000+E28*700</f>
        <v>34000</v>
      </c>
      <c r="F50" s="22">
        <f>F27*2000+F28*700</f>
        <v>38000</v>
      </c>
      <c r="G50" s="22">
        <f>G27*2000+G28*700</f>
        <v>40000</v>
      </c>
      <c r="H50" s="22">
        <f>H27*2000+H28*700</f>
        <v>82000</v>
      </c>
      <c r="I50" s="22">
        <f>I27*2000+I28*700</f>
        <v>96000</v>
      </c>
      <c r="J50" s="22">
        <f>J27*2000+J28*700</f>
        <v>42000</v>
      </c>
      <c r="K50" s="22">
        <f>K27*2000+K28*700</f>
        <v>44000</v>
      </c>
      <c r="L50" s="22">
        <f>L27*2000+L28*700</f>
        <v>54000</v>
      </c>
      <c r="M50" s="22">
        <f>M27*2000+M28*700</f>
        <v>76000</v>
      </c>
      <c r="N50" s="22">
        <f>SUM(B50:M50)</f>
        <v>720000</v>
      </c>
      <c r="R50" s="111"/>
      <c r="S50" s="182"/>
      <c r="T50" s="111"/>
      <c r="U50" s="111"/>
      <c r="AD50" s="183"/>
    </row>
    <row r="51" spans="1:30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R51" s="111"/>
      <c r="S51" s="182"/>
      <c r="T51" s="111"/>
      <c r="U51" s="111"/>
      <c r="AD51" s="183"/>
    </row>
    <row r="52" spans="1:30">
      <c r="A52" s="24">
        <v>2025</v>
      </c>
      <c r="B52" s="130" t="s">
        <v>9</v>
      </c>
      <c r="C52" s="130" t="s">
        <v>10</v>
      </c>
      <c r="D52" s="130" t="s">
        <v>11</v>
      </c>
      <c r="E52" s="130" t="s">
        <v>12</v>
      </c>
      <c r="F52" s="130" t="s">
        <v>13</v>
      </c>
      <c r="G52" s="130" t="s">
        <v>14</v>
      </c>
      <c r="H52" s="130" t="s">
        <v>15</v>
      </c>
      <c r="I52" s="130" t="s">
        <v>16</v>
      </c>
      <c r="J52" s="130" t="s">
        <v>17</v>
      </c>
      <c r="K52" s="130" t="s">
        <v>6</v>
      </c>
      <c r="L52" s="130" t="s">
        <v>7</v>
      </c>
      <c r="M52" s="130" t="s">
        <v>8</v>
      </c>
      <c r="N52" s="70"/>
      <c r="R52" s="111"/>
      <c r="S52" s="182"/>
      <c r="T52" s="111"/>
      <c r="U52" s="111"/>
      <c r="AD52" s="183"/>
    </row>
    <row r="53" spans="1:30">
      <c r="A53" s="74" t="s">
        <v>151</v>
      </c>
      <c r="B53" s="70">
        <f>B30*2000+B31*700</f>
        <v>104500</v>
      </c>
      <c r="C53" s="70">
        <f>C30*2000+C31*700</f>
        <v>56500</v>
      </c>
      <c r="D53" s="70">
        <f>D30*2000+D31*700</f>
        <v>54400</v>
      </c>
      <c r="E53" s="70">
        <f>E30*2000+E31*700</f>
        <v>88700</v>
      </c>
      <c r="F53" s="70">
        <f>F30*2000+F31*700</f>
        <v>52100</v>
      </c>
      <c r="G53" s="70">
        <f>G30*2000+G31*700</f>
        <v>60400</v>
      </c>
      <c r="H53" s="70">
        <f>H30*2000+H31*700</f>
        <v>87000</v>
      </c>
      <c r="I53" s="70">
        <f>I30*2000+I31*700</f>
        <v>44500</v>
      </c>
      <c r="J53" s="70">
        <f>J30*2000+J31*700</f>
        <v>51900</v>
      </c>
      <c r="K53" s="70">
        <f>K30*2000+K31*700</f>
        <v>55300</v>
      </c>
      <c r="L53" s="70">
        <f>L30*2000+L31*700</f>
        <v>69500</v>
      </c>
      <c r="M53" s="70">
        <f>M30*2000+M31*700</f>
        <v>95700</v>
      </c>
      <c r="N53" s="70">
        <f>SUM(B53:M53)</f>
        <v>820500</v>
      </c>
      <c r="R53" s="111"/>
      <c r="S53" s="182"/>
      <c r="T53" s="111"/>
      <c r="U53" s="111"/>
      <c r="AD53" s="183"/>
    </row>
    <row r="54" spans="1:30">
      <c r="R54" s="111"/>
      <c r="S54" s="182"/>
      <c r="T54" s="111"/>
      <c r="U54" s="111"/>
      <c r="AD54" s="183"/>
    </row>
    <row r="55" spans="1:30">
      <c r="A55" s="174">
        <v>2026</v>
      </c>
      <c r="B55" s="175" t="s">
        <v>9</v>
      </c>
      <c r="C55" s="175" t="s">
        <v>10</v>
      </c>
      <c r="D55" s="175" t="s">
        <v>11</v>
      </c>
      <c r="E55" s="175" t="s">
        <v>12</v>
      </c>
      <c r="F55" s="175" t="s">
        <v>13</v>
      </c>
      <c r="G55" s="175" t="s">
        <v>14</v>
      </c>
      <c r="H55" s="175" t="s">
        <v>15</v>
      </c>
      <c r="I55" s="175" t="s">
        <v>16</v>
      </c>
      <c r="J55" s="175" t="s">
        <v>17</v>
      </c>
      <c r="K55" s="175" t="s">
        <v>6</v>
      </c>
      <c r="L55" s="175" t="s">
        <v>7</v>
      </c>
      <c r="M55" s="175" t="s">
        <v>8</v>
      </c>
      <c r="N55" s="174"/>
      <c r="R55" s="111"/>
      <c r="S55" s="182"/>
      <c r="T55" s="111"/>
      <c r="U55" s="111"/>
      <c r="AD55" s="183"/>
    </row>
    <row r="56" spans="1:30">
      <c r="A56" s="176" t="s">
        <v>151</v>
      </c>
      <c r="B56" s="174">
        <f>B42*2000+B43*700</f>
        <v>189600</v>
      </c>
      <c r="C56" s="174">
        <f t="shared" ref="C56:M56" si="4">C42*2000+C43*700</f>
        <v>136300</v>
      </c>
      <c r="D56" s="174">
        <f t="shared" si="4"/>
        <v>73500</v>
      </c>
      <c r="E56" s="174">
        <f t="shared" si="4"/>
        <v>83700</v>
      </c>
      <c r="F56" s="174">
        <f t="shared" si="4"/>
        <v>60700</v>
      </c>
      <c r="G56" s="174">
        <f t="shared" si="4"/>
        <v>64700</v>
      </c>
      <c r="H56" s="174">
        <f t="shared" si="4"/>
        <v>201100</v>
      </c>
      <c r="I56" s="174">
        <f t="shared" si="4"/>
        <v>176700</v>
      </c>
      <c r="J56" s="174">
        <f t="shared" si="4"/>
        <v>64700</v>
      </c>
      <c r="K56" s="174">
        <f t="shared" si="4"/>
        <v>79600</v>
      </c>
      <c r="L56" s="174">
        <f t="shared" si="4"/>
        <v>87700</v>
      </c>
      <c r="M56" s="174">
        <f t="shared" si="4"/>
        <v>135600</v>
      </c>
      <c r="N56" s="174">
        <f>SUM(B56:M56)</f>
        <v>1353900</v>
      </c>
      <c r="R56" s="111"/>
      <c r="S56" s="182"/>
      <c r="T56" s="111"/>
      <c r="U56" s="111"/>
      <c r="AD56" s="183"/>
    </row>
    <row r="57" spans="1:30">
      <c r="R57" s="111"/>
      <c r="S57" s="182"/>
      <c r="T57" s="111"/>
      <c r="U57" s="111"/>
      <c r="AD57" s="183"/>
    </row>
    <row r="58" spans="1:30">
      <c r="R58" s="111"/>
      <c r="S58" s="182"/>
      <c r="T58" s="111"/>
      <c r="U58" s="111"/>
      <c r="AD58" s="183"/>
    </row>
    <row r="59" spans="1:30">
      <c r="B59" s="13"/>
      <c r="C59" s="13"/>
      <c r="D59" s="2" t="s">
        <v>181</v>
      </c>
      <c r="E59" s="174"/>
      <c r="F59" s="174"/>
      <c r="G59" s="174"/>
      <c r="H59" s="174"/>
      <c r="I59" s="174"/>
      <c r="J59" s="174"/>
      <c r="K59" s="174"/>
      <c r="R59" s="111"/>
      <c r="S59" s="182"/>
      <c r="T59" s="111"/>
      <c r="U59" s="111"/>
      <c r="AD59" s="183"/>
    </row>
    <row r="60" spans="1:30">
      <c r="A60" s="3">
        <v>2023</v>
      </c>
      <c r="B60" s="67" t="s">
        <v>7</v>
      </c>
      <c r="C60" s="67" t="s">
        <v>8</v>
      </c>
      <c r="D60" s="36"/>
      <c r="E60" s="175" t="s">
        <v>14</v>
      </c>
      <c r="F60" s="175" t="s">
        <v>15</v>
      </c>
      <c r="G60" s="175" t="s">
        <v>16</v>
      </c>
      <c r="H60" s="175" t="s">
        <v>17</v>
      </c>
      <c r="I60" s="175" t="s">
        <v>6</v>
      </c>
      <c r="J60" s="175" t="s">
        <v>7</v>
      </c>
      <c r="K60" s="175" t="s">
        <v>8</v>
      </c>
      <c r="M60" s="37"/>
      <c r="N60" s="37"/>
      <c r="R60" s="111"/>
      <c r="S60" s="182"/>
      <c r="T60" s="111"/>
      <c r="U60" s="111"/>
      <c r="AD60" s="183"/>
    </row>
    <row r="61" spans="1:30">
      <c r="A61" s="3" t="s">
        <v>152</v>
      </c>
      <c r="B61" s="4">
        <f>(B5*31.25*0.13)*49</f>
        <v>398.125</v>
      </c>
      <c r="C61" s="4">
        <f>(C5*31.25*0.13)*49</f>
        <v>1990.625</v>
      </c>
      <c r="D61" s="55">
        <f ca="1">SUM(B61:K61)</f>
        <v>5088</v>
      </c>
      <c r="E61" s="177">
        <f>(E5*31.25*0.13)*49</f>
        <v>0</v>
      </c>
      <c r="F61" s="177">
        <f>(F5*31.25*0.13)*49</f>
        <v>0</v>
      </c>
      <c r="G61" s="177">
        <f>(G5*31.25*0.13)*49</f>
        <v>0</v>
      </c>
      <c r="H61" s="177">
        <f>(H5*31.25*0.13)*49</f>
        <v>0</v>
      </c>
      <c r="I61" s="177">
        <f>(I5*31.25*0.13)*49</f>
        <v>0</v>
      </c>
      <c r="J61" s="177">
        <f>(J5*31.25*0.13)*49</f>
        <v>0</v>
      </c>
      <c r="K61" s="177">
        <f>(K5*31.25*0.13)*49</f>
        <v>0</v>
      </c>
      <c r="M61" s="59"/>
      <c r="N61" s="59"/>
      <c r="R61" s="111"/>
      <c r="S61" s="182"/>
      <c r="T61" s="111"/>
      <c r="U61" s="111"/>
      <c r="AD61" s="183"/>
    </row>
    <row r="62" spans="1:30">
      <c r="A62" s="17" t="s">
        <v>78</v>
      </c>
      <c r="B62" s="56">
        <f>B47*0.06</f>
        <v>804</v>
      </c>
      <c r="C62" s="56">
        <f t="shared" ref="C62" si="5">C47*0.06</f>
        <v>1740</v>
      </c>
      <c r="D62" s="57">
        <f>SUM(B62:C62)</f>
        <v>2544</v>
      </c>
      <c r="E62" s="178"/>
      <c r="F62" s="178">
        <f>F47*0.06</f>
        <v>0</v>
      </c>
      <c r="G62" s="178">
        <f>G47*0.06</f>
        <v>0</v>
      </c>
      <c r="H62" s="178">
        <f>H47*0.06</f>
        <v>0</v>
      </c>
      <c r="I62" s="178">
        <f>I47*0.06</f>
        <v>0</v>
      </c>
      <c r="J62" s="178">
        <f>J47*0.06</f>
        <v>0</v>
      </c>
      <c r="K62" s="178">
        <f>K47*0.06</f>
        <v>0</v>
      </c>
      <c r="M62" s="58"/>
      <c r="N62" s="58"/>
      <c r="R62" s="111"/>
      <c r="S62" s="182"/>
      <c r="T62" s="111"/>
      <c r="U62" s="111"/>
      <c r="AD62" s="183"/>
    </row>
    <row r="63" spans="1:30">
      <c r="A63" s="28" t="s">
        <v>66</v>
      </c>
      <c r="B63" s="63">
        <v>15000</v>
      </c>
      <c r="C63" s="63">
        <v>7000</v>
      </c>
      <c r="D63" s="57">
        <f ca="1">SUM(B63:K63)</f>
        <v>66422.5</v>
      </c>
      <c r="E63" s="178">
        <v>7000</v>
      </c>
      <c r="F63" s="178">
        <v>7000</v>
      </c>
      <c r="G63" s="178">
        <v>7000</v>
      </c>
      <c r="H63" s="178">
        <v>7000</v>
      </c>
      <c r="I63" s="178">
        <v>7000</v>
      </c>
      <c r="J63" s="178">
        <v>7000</v>
      </c>
      <c r="K63" s="178">
        <v>7000</v>
      </c>
      <c r="M63" s="58"/>
      <c r="N63" s="58"/>
      <c r="R63" s="111"/>
      <c r="S63" s="182"/>
      <c r="T63" s="111"/>
      <c r="U63" s="111"/>
      <c r="AD63" s="183"/>
    </row>
    <row r="64" spans="1:30">
      <c r="A64" s="28" t="s">
        <v>41</v>
      </c>
      <c r="B64" s="54" t="e">
        <f>B47-#REF!</f>
        <v>#REF!</v>
      </c>
      <c r="C64" s="54" t="e">
        <f>C47-#REF!</f>
        <v>#REF!</v>
      </c>
      <c r="D64" s="57" t="e">
        <f>SUM(B64:C64)</f>
        <v>#REF!</v>
      </c>
      <c r="E64" s="179"/>
      <c r="F64" s="179"/>
      <c r="G64" s="179"/>
      <c r="H64" s="179"/>
      <c r="I64" s="179"/>
      <c r="J64" s="179">
        <f>J47-AC3</f>
        <v>-12056</v>
      </c>
      <c r="K64" s="179">
        <f>K47-AC4</f>
        <v>-15650</v>
      </c>
      <c r="M64" s="39"/>
      <c r="R64" s="111"/>
      <c r="S64" s="182"/>
      <c r="T64" s="111"/>
      <c r="U64" s="111"/>
      <c r="AD64" s="183"/>
    </row>
    <row r="65" spans="1:30">
      <c r="A65" s="31"/>
      <c r="B65" s="31"/>
      <c r="C65" s="31"/>
      <c r="D65" s="31"/>
      <c r="E65" s="38"/>
      <c r="F65" s="38"/>
      <c r="G65" s="38"/>
      <c r="H65" s="38"/>
      <c r="I65" s="38"/>
      <c r="J65" s="38"/>
      <c r="K65" s="38"/>
      <c r="L65" s="38"/>
      <c r="M65" s="38"/>
      <c r="N65" s="2" t="s">
        <v>0</v>
      </c>
      <c r="R65" s="111"/>
      <c r="S65" s="182"/>
      <c r="T65" s="111"/>
      <c r="U65" s="111"/>
      <c r="AD65" s="183"/>
    </row>
    <row r="66" spans="1:30">
      <c r="A66" s="29">
        <v>2024</v>
      </c>
      <c r="B66" s="30" t="s">
        <v>9</v>
      </c>
      <c r="C66" s="30" t="s">
        <v>10</v>
      </c>
      <c r="D66" s="30" t="s">
        <v>11</v>
      </c>
      <c r="E66" s="30" t="s">
        <v>12</v>
      </c>
      <c r="F66" s="30" t="s">
        <v>13</v>
      </c>
      <c r="G66" s="30" t="s">
        <v>14</v>
      </c>
      <c r="H66" s="30" t="s">
        <v>15</v>
      </c>
      <c r="I66" s="30" t="s">
        <v>16</v>
      </c>
      <c r="J66" s="30" t="s">
        <v>17</v>
      </c>
      <c r="K66" s="30" t="s">
        <v>6</v>
      </c>
      <c r="L66" s="30" t="s">
        <v>7</v>
      </c>
      <c r="M66" s="30" t="s">
        <v>8</v>
      </c>
      <c r="N66" s="17"/>
      <c r="R66" s="111"/>
      <c r="S66" s="182"/>
      <c r="T66" s="111"/>
      <c r="U66" s="111"/>
      <c r="AD66" s="183"/>
    </row>
    <row r="67" spans="1:30">
      <c r="A67" s="17" t="s">
        <v>152</v>
      </c>
      <c r="B67" s="47">
        <f>(B28*31.25*0.13)*49</f>
        <v>0</v>
      </c>
      <c r="C67" s="47">
        <f>(C28*31.25*0.13)*49</f>
        <v>0</v>
      </c>
      <c r="D67" s="47">
        <f>(D28*31.25*0.13)*49</f>
        <v>0</v>
      </c>
      <c r="E67" s="47">
        <f>(E28*31.25*0.13)*49</f>
        <v>0</v>
      </c>
      <c r="F67" s="47">
        <f>(F28*31.25*0.13)*49</f>
        <v>0</v>
      </c>
      <c r="G67" s="47">
        <f>(G28*31.25*0.13)*49</f>
        <v>0</v>
      </c>
      <c r="H67" s="47">
        <f>(H28*31.25*0.13)*49</f>
        <v>0</v>
      </c>
      <c r="I67" s="47">
        <f>(I28*31.25*0.13)*49</f>
        <v>0</v>
      </c>
      <c r="J67" s="47">
        <f>(J28*31.25*0.13)*49</f>
        <v>0</v>
      </c>
      <c r="K67" s="47">
        <f>(K28*31.25*0.13)*49</f>
        <v>0</v>
      </c>
      <c r="L67" s="47">
        <f>(L28*31.25*0.13)*49</f>
        <v>0</v>
      </c>
      <c r="M67" s="47">
        <f>(M28*31.25*0.13)*49</f>
        <v>0</v>
      </c>
      <c r="N67" s="47">
        <f>SUM(B67:M67)</f>
        <v>0</v>
      </c>
      <c r="O67" s="13"/>
      <c r="R67" s="111"/>
      <c r="S67" s="182"/>
      <c r="T67" s="111"/>
      <c r="U67" s="111"/>
      <c r="AD67" s="183"/>
    </row>
    <row r="68" spans="1:30">
      <c r="A68" s="17" t="s">
        <v>78</v>
      </c>
      <c r="B68" s="4">
        <f>B50*0.06</f>
        <v>5160</v>
      </c>
      <c r="C68" s="4">
        <f t="shared" ref="C68:M68" si="6">C50*0.06</f>
        <v>4920</v>
      </c>
      <c r="D68" s="4">
        <f t="shared" si="6"/>
        <v>2760</v>
      </c>
      <c r="E68" s="4">
        <f t="shared" si="6"/>
        <v>2040</v>
      </c>
      <c r="F68" s="4">
        <f t="shared" si="6"/>
        <v>2280</v>
      </c>
      <c r="G68" s="4">
        <f t="shared" si="6"/>
        <v>2400</v>
      </c>
      <c r="H68" s="4">
        <f t="shared" si="6"/>
        <v>4920</v>
      </c>
      <c r="I68" s="4">
        <f t="shared" si="6"/>
        <v>5760</v>
      </c>
      <c r="J68" s="4">
        <f t="shared" si="6"/>
        <v>2520</v>
      </c>
      <c r="K68" s="4">
        <f t="shared" si="6"/>
        <v>2640</v>
      </c>
      <c r="L68" s="4">
        <f t="shared" si="6"/>
        <v>3240</v>
      </c>
      <c r="M68" s="4">
        <f t="shared" si="6"/>
        <v>4560</v>
      </c>
      <c r="N68" s="47">
        <f t="shared" ref="N68" si="7">SUM(B68:M68)</f>
        <v>43200</v>
      </c>
      <c r="O68" s="13"/>
      <c r="R68" s="111"/>
      <c r="S68" s="182"/>
      <c r="T68" s="111"/>
      <c r="U68" s="111"/>
      <c r="AD68" s="183"/>
    </row>
    <row r="69" spans="1:30">
      <c r="A69" s="28" t="s">
        <v>66</v>
      </c>
      <c r="B69" s="52">
        <v>7000</v>
      </c>
      <c r="C69" s="52">
        <v>7000</v>
      </c>
      <c r="D69" s="52">
        <v>7000</v>
      </c>
      <c r="E69" s="52">
        <v>7000</v>
      </c>
      <c r="F69" s="52">
        <v>7000</v>
      </c>
      <c r="G69" s="52">
        <v>7000</v>
      </c>
      <c r="H69" s="52">
        <v>7000</v>
      </c>
      <c r="I69" s="52">
        <v>7000</v>
      </c>
      <c r="J69" s="52">
        <v>7000</v>
      </c>
      <c r="K69" s="52">
        <v>7000</v>
      </c>
      <c r="L69" s="52">
        <v>7000</v>
      </c>
      <c r="M69" s="52">
        <v>7000</v>
      </c>
      <c r="N69" s="54">
        <f>SUM(B69:M69)</f>
        <v>84000</v>
      </c>
      <c r="O69" s="13"/>
      <c r="R69" s="111"/>
      <c r="S69" s="182"/>
      <c r="T69" s="111"/>
      <c r="U69" s="111"/>
      <c r="AD69" s="183"/>
    </row>
    <row r="70" spans="1:30">
      <c r="A70" s="28" t="s">
        <v>41</v>
      </c>
      <c r="B70" s="54">
        <f>B50-AC5</f>
        <v>74350</v>
      </c>
      <c r="C70" s="54">
        <f>C50-AC6</f>
        <v>70350</v>
      </c>
      <c r="D70" s="54">
        <f>D50-AC7</f>
        <v>12350</v>
      </c>
      <c r="E70" s="54">
        <f>E50-AC8</f>
        <v>18350</v>
      </c>
      <c r="F70" s="54">
        <f>F50-AC9</f>
        <v>26350</v>
      </c>
      <c r="G70" s="54">
        <f>G50-AC10</f>
        <v>28350</v>
      </c>
      <c r="H70" s="54">
        <f>H50-AC11</f>
        <v>70350</v>
      </c>
      <c r="I70" s="54">
        <f>I50-AC12</f>
        <v>84350</v>
      </c>
      <c r="J70" s="54">
        <f>J50-AC13</f>
        <v>26350</v>
      </c>
      <c r="K70" s="54">
        <f>K50-AC14</f>
        <v>32350</v>
      </c>
      <c r="L70" s="54">
        <f>L50-AC15</f>
        <v>41944</v>
      </c>
      <c r="M70" s="54">
        <f>M50-AC16</f>
        <v>64350</v>
      </c>
      <c r="N70" s="54">
        <f>SUM(B70:M70)</f>
        <v>549794</v>
      </c>
      <c r="R70" s="111"/>
      <c r="S70" s="182"/>
      <c r="T70" s="111"/>
      <c r="U70" s="111"/>
      <c r="AD70" s="183"/>
    </row>
    <row r="71" spans="1:30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R71" s="111"/>
      <c r="S71" s="182"/>
      <c r="T71" s="111"/>
      <c r="U71" s="111"/>
      <c r="AD71" s="183"/>
    </row>
    <row r="72" spans="1:30">
      <c r="A72" s="29">
        <v>2025</v>
      </c>
      <c r="B72" s="30" t="s">
        <v>9</v>
      </c>
      <c r="C72" s="30" t="s">
        <v>10</v>
      </c>
      <c r="D72" s="30" t="s">
        <v>11</v>
      </c>
      <c r="E72" s="30" t="s">
        <v>12</v>
      </c>
      <c r="F72" s="30" t="s">
        <v>13</v>
      </c>
      <c r="G72" s="30" t="s">
        <v>14</v>
      </c>
      <c r="H72" s="30" t="s">
        <v>15</v>
      </c>
      <c r="I72" s="30" t="s">
        <v>16</v>
      </c>
      <c r="J72" s="30" t="s">
        <v>17</v>
      </c>
      <c r="K72" s="30" t="s">
        <v>6</v>
      </c>
      <c r="L72" s="30" t="s">
        <v>7</v>
      </c>
      <c r="M72" s="30" t="s">
        <v>8</v>
      </c>
      <c r="N72" s="29"/>
      <c r="R72" s="111"/>
      <c r="S72" s="111"/>
      <c r="T72" s="111"/>
      <c r="U72" s="111"/>
    </row>
    <row r="73" spans="1:30">
      <c r="A73" s="17" t="s">
        <v>152</v>
      </c>
      <c r="B73" s="47">
        <f>(B34*31.25*0.13)*49</f>
        <v>3185</v>
      </c>
      <c r="C73" s="47">
        <f>(C34*31.25*0.13)*49</f>
        <v>2985.9375</v>
      </c>
      <c r="D73" s="47">
        <f>(D34*31.25*0.13)*49</f>
        <v>5374.6875</v>
      </c>
      <c r="E73" s="47">
        <f>(E34*31.25*0.13)*49</f>
        <v>6967.1875</v>
      </c>
      <c r="F73" s="47">
        <f>(F34*31.25*0.13)*49</f>
        <v>8758.75</v>
      </c>
      <c r="G73" s="47">
        <f>(G34*31.25*0.13)*49</f>
        <v>9555</v>
      </c>
      <c r="H73" s="47">
        <f>(H34*31.25*0.13)*49</f>
        <v>7365.3125</v>
      </c>
      <c r="I73" s="47">
        <f>(I34*31.25*0.13)*49</f>
        <v>7166.25</v>
      </c>
      <c r="J73" s="47">
        <f>(J34*31.25*0.13)*49</f>
        <v>7763.4375</v>
      </c>
      <c r="K73" s="47">
        <f>(K34*31.25*0.13)*49</f>
        <v>3384.0625</v>
      </c>
      <c r="L73" s="47">
        <f>(L34*31.25*0.13)*49</f>
        <v>3782.1875</v>
      </c>
      <c r="M73" s="47">
        <f>(M34*31.25*0.13)*49</f>
        <v>4777.5</v>
      </c>
      <c r="N73" s="47">
        <f>SUM(B73:M73)</f>
        <v>71065.3125</v>
      </c>
    </row>
    <row r="74" spans="1:30">
      <c r="A74" s="17" t="s">
        <v>79</v>
      </c>
      <c r="B74" s="4">
        <f t="shared" ref="B74:M74" si="8">B53*0.02</f>
        <v>2090</v>
      </c>
      <c r="C74" s="4">
        <f t="shared" si="8"/>
        <v>1130</v>
      </c>
      <c r="D74" s="4">
        <f t="shared" si="8"/>
        <v>1088</v>
      </c>
      <c r="E74" s="4">
        <f t="shared" si="8"/>
        <v>1774</v>
      </c>
      <c r="F74" s="4">
        <f t="shared" si="8"/>
        <v>1042</v>
      </c>
      <c r="G74" s="4">
        <f t="shared" si="8"/>
        <v>1208</v>
      </c>
      <c r="H74" s="4">
        <f t="shared" si="8"/>
        <v>1740</v>
      </c>
      <c r="I74" s="4">
        <f t="shared" si="8"/>
        <v>890</v>
      </c>
      <c r="J74" s="4">
        <f t="shared" si="8"/>
        <v>1038</v>
      </c>
      <c r="K74" s="4">
        <f t="shared" si="8"/>
        <v>1106</v>
      </c>
      <c r="L74" s="4">
        <f t="shared" si="8"/>
        <v>1390</v>
      </c>
      <c r="M74" s="4">
        <f t="shared" si="8"/>
        <v>1914</v>
      </c>
      <c r="N74" s="47">
        <f>SUM(B74:M74)</f>
        <v>16410</v>
      </c>
    </row>
    <row r="75" spans="1:30">
      <c r="A75" s="17" t="s">
        <v>66</v>
      </c>
      <c r="B75" s="4">
        <v>7000</v>
      </c>
      <c r="C75" s="4">
        <v>7000</v>
      </c>
      <c r="D75" s="4">
        <v>7000</v>
      </c>
      <c r="E75" s="4">
        <v>7000</v>
      </c>
      <c r="F75" s="4">
        <v>7000</v>
      </c>
      <c r="G75" s="4">
        <v>7000</v>
      </c>
      <c r="H75" s="4">
        <v>7000</v>
      </c>
      <c r="I75" s="4">
        <v>7000</v>
      </c>
      <c r="J75" s="4">
        <v>7000</v>
      </c>
      <c r="K75" s="4">
        <v>7000</v>
      </c>
      <c r="L75" s="4">
        <v>7000</v>
      </c>
      <c r="M75" s="4">
        <v>7000</v>
      </c>
      <c r="N75" s="47">
        <f>SUM(B75:M75)</f>
        <v>84000</v>
      </c>
    </row>
    <row r="76" spans="1:30">
      <c r="A76" s="17" t="s">
        <v>41</v>
      </c>
      <c r="B76" s="47">
        <f>B53-AC17</f>
        <v>85665</v>
      </c>
      <c r="C76" s="47">
        <f>C53-AC18</f>
        <v>41864.0625</v>
      </c>
      <c r="D76" s="47">
        <f>D53-AC19</f>
        <v>15375.3125</v>
      </c>
      <c r="E76" s="47">
        <f>E53-AC20</f>
        <v>66082.8125</v>
      </c>
      <c r="F76" s="47">
        <f>F53-AC21</f>
        <v>31691.25</v>
      </c>
      <c r="G76" s="47">
        <f>G53-AC22</f>
        <v>39195</v>
      </c>
      <c r="H76" s="47">
        <f>H53-AC23</f>
        <v>67984.6875</v>
      </c>
      <c r="I76" s="47">
        <f>I53-AC24</f>
        <v>21683.75</v>
      </c>
      <c r="J76" s="47">
        <f>J53-AC25</f>
        <v>32486.5625</v>
      </c>
      <c r="K76" s="47">
        <f>K53-AC26</f>
        <v>40265.9375</v>
      </c>
      <c r="L76" s="47">
        <f>L53-AC27</f>
        <v>50067.8125</v>
      </c>
      <c r="M76" s="47">
        <f>M53-AC28</f>
        <v>79272.5</v>
      </c>
      <c r="N76" s="47">
        <f>SUM(B76:M76)</f>
        <v>571634.6875</v>
      </c>
    </row>
  </sheetData>
  <mergeCells count="18">
    <mergeCell ref="AD17:AD28"/>
    <mergeCell ref="S3:S4"/>
    <mergeCell ref="S5:S16"/>
    <mergeCell ref="S17:S28"/>
    <mergeCell ref="AD3:AD5"/>
    <mergeCell ref="AD6:AD16"/>
    <mergeCell ref="AD1:AD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</mergeCells>
  <pageMargins left="0.7" right="0.7" top="0.75" bottom="0.75" header="0.3" footer="0.3"/>
  <pageSetup paperSize="9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60" zoomScaleNormal="160" workbookViewId="0">
      <selection activeCell="E16" sqref="E16"/>
    </sheetView>
  </sheetViews>
  <sheetFormatPr defaultColWidth="9.109375" defaultRowHeight="13.8"/>
  <cols>
    <col min="1" max="1" width="9.109375" style="1"/>
    <col min="2" max="2" width="11.6640625" style="1" customWidth="1"/>
    <col min="3" max="3" width="42.5546875" style="1" customWidth="1"/>
    <col min="4" max="4" width="21.6640625" style="1" customWidth="1"/>
    <col min="5" max="5" width="11.88671875" style="1" bestFit="1" customWidth="1"/>
    <col min="6" max="6" width="12.6640625" style="1" bestFit="1" customWidth="1"/>
    <col min="7" max="7" width="11.88671875" style="1" bestFit="1" customWidth="1"/>
    <col min="8" max="16384" width="9.109375" style="1"/>
  </cols>
  <sheetData>
    <row r="1" spans="1:6" ht="15.6">
      <c r="A1" s="139" t="s">
        <v>42</v>
      </c>
      <c r="B1" s="139"/>
      <c r="C1" s="139"/>
      <c r="D1" s="2"/>
      <c r="E1" s="2"/>
      <c r="F1" s="2"/>
    </row>
    <row r="2" spans="1:6" ht="15.6">
      <c r="A2" s="2"/>
      <c r="B2" s="2"/>
      <c r="C2" s="2"/>
      <c r="D2" s="2"/>
      <c r="E2" s="2"/>
      <c r="F2" s="2"/>
    </row>
    <row r="3" spans="1:6" ht="15.6">
      <c r="A3" s="2"/>
      <c r="B3" s="3" t="s">
        <v>27</v>
      </c>
      <c r="C3" s="3" t="s">
        <v>43</v>
      </c>
      <c r="D3" s="27">
        <v>2023</v>
      </c>
      <c r="E3" s="27">
        <v>2024</v>
      </c>
      <c r="F3" s="27">
        <v>2025</v>
      </c>
    </row>
    <row r="4" spans="1:6" ht="15.6">
      <c r="A4" s="2"/>
      <c r="B4" s="3">
        <v>1</v>
      </c>
      <c r="C4" s="3" t="s">
        <v>159</v>
      </c>
      <c r="D4" s="4">
        <v>160</v>
      </c>
      <c r="E4" s="4">
        <f>'План на будущие периоды '!N27</f>
        <v>360</v>
      </c>
      <c r="F4" s="4">
        <f>'План на будущие периоды '!N30</f>
        <v>314</v>
      </c>
    </row>
    <row r="5" spans="1:6" ht="15.6">
      <c r="A5" s="2"/>
      <c r="B5" s="3">
        <v>2</v>
      </c>
      <c r="C5" s="3" t="s">
        <v>44</v>
      </c>
      <c r="D5" s="4">
        <f>SUM('План на будущие периоды '!AD3:AD47)</f>
        <v>446777.3125</v>
      </c>
      <c r="E5" s="4">
        <f>SUM('План на будущие периоды '!AD6:AD59)</f>
        <v>419071.3125</v>
      </c>
      <c r="F5" s="4">
        <f>SUM('План на будущие периоды '!AD17:AD71)</f>
        <v>248865.3125</v>
      </c>
    </row>
    <row r="6" spans="1:6" ht="15.6">
      <c r="A6" s="2"/>
      <c r="B6" s="3">
        <v>3</v>
      </c>
      <c r="C6" s="3" t="s">
        <v>160</v>
      </c>
      <c r="D6" s="4">
        <f>D5/D4</f>
        <v>2792.3582031249998</v>
      </c>
      <c r="E6" s="4">
        <f t="shared" ref="E6:F6" si="0">E5/E4</f>
        <v>1164.0869791666667</v>
      </c>
      <c r="F6" s="4">
        <f t="shared" si="0"/>
        <v>792.56468949044586</v>
      </c>
    </row>
  </sheetData>
  <mergeCells count="1">
    <mergeCell ref="A1:C1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zoomScale="60" zoomScaleNormal="60" workbookViewId="0"/>
  </sheetViews>
  <sheetFormatPr defaultColWidth="8.88671875" defaultRowHeight="13.8"/>
  <cols>
    <col min="1" max="1" width="26.33203125" style="1" customWidth="1"/>
    <col min="2" max="2" width="13.44140625" style="1" customWidth="1"/>
    <col min="3" max="3" width="18.88671875" style="33" customWidth="1"/>
    <col min="4" max="4" width="18.5546875" style="33" customWidth="1"/>
    <col min="5" max="5" width="12.6640625" style="33" customWidth="1"/>
    <col min="6" max="6" width="16.88671875" style="1" customWidth="1"/>
    <col min="7" max="7" width="10.88671875" style="1" customWidth="1"/>
    <col min="8" max="8" width="11" style="1" customWidth="1"/>
    <col min="9" max="9" width="11.5546875" style="1" customWidth="1"/>
    <col min="10" max="10" width="13.88671875" style="1" customWidth="1"/>
    <col min="11" max="11" width="14.33203125" style="1" customWidth="1"/>
    <col min="12" max="12" width="11.5546875" style="1" bestFit="1" customWidth="1"/>
    <col min="13" max="14" width="8.88671875" style="41"/>
    <col min="15" max="16384" width="8.88671875" style="1"/>
  </cols>
  <sheetData>
    <row r="2" spans="1:14" ht="14.4" customHeight="1">
      <c r="A2" s="155" t="s">
        <v>161</v>
      </c>
      <c r="B2" s="155"/>
      <c r="C2" s="155"/>
      <c r="D2" s="155"/>
      <c r="E2" s="155"/>
      <c r="F2" s="155"/>
    </row>
    <row r="4" spans="1:14" s="8" customFormat="1" ht="27.6">
      <c r="A4" s="10" t="s">
        <v>5</v>
      </c>
      <c r="B4" s="10" t="s">
        <v>4</v>
      </c>
      <c r="C4" s="10" t="s">
        <v>139</v>
      </c>
      <c r="D4" s="10" t="s">
        <v>138</v>
      </c>
      <c r="E4" s="10" t="s">
        <v>64</v>
      </c>
      <c r="F4" s="10" t="s">
        <v>18</v>
      </c>
      <c r="G4" s="7"/>
      <c r="H4" s="7"/>
      <c r="I4" s="7"/>
      <c r="J4" s="7"/>
      <c r="M4" s="42"/>
      <c r="N4" s="42"/>
    </row>
    <row r="5" spans="1:14" ht="14.4" customHeight="1">
      <c r="A5" s="189">
        <v>2023</v>
      </c>
      <c r="B5" s="194" t="s">
        <v>7</v>
      </c>
      <c r="C5" s="64">
        <v>11</v>
      </c>
      <c r="D5" s="64">
        <v>8</v>
      </c>
      <c r="E5" s="64">
        <f t="shared" ref="E5:E30" si="0">C5+D5</f>
        <v>19</v>
      </c>
      <c r="F5" s="154">
        <v>241</v>
      </c>
    </row>
    <row r="6" spans="1:14">
      <c r="A6" s="190"/>
      <c r="B6" s="194" t="s">
        <v>8</v>
      </c>
      <c r="C6" s="64">
        <v>29</v>
      </c>
      <c r="D6" s="64">
        <v>29</v>
      </c>
      <c r="E6" s="64">
        <f t="shared" si="0"/>
        <v>58</v>
      </c>
      <c r="F6" s="154"/>
    </row>
    <row r="7" spans="1:14">
      <c r="A7" s="190">
        <v>2024</v>
      </c>
      <c r="B7" s="9" t="s">
        <v>9</v>
      </c>
      <c r="C7" s="64">
        <v>43</v>
      </c>
      <c r="D7" s="64">
        <v>42</v>
      </c>
      <c r="E7" s="64">
        <f t="shared" si="0"/>
        <v>85</v>
      </c>
      <c r="F7" s="191">
        <f>SUM(E6:E17)</f>
        <v>684</v>
      </c>
    </row>
    <row r="8" spans="1:14" ht="14.4" customHeight="1">
      <c r="A8" s="156"/>
      <c r="B8" s="9" t="s">
        <v>10</v>
      </c>
      <c r="C8" s="64">
        <v>41</v>
      </c>
      <c r="D8" s="64">
        <v>39</v>
      </c>
      <c r="E8" s="64">
        <f t="shared" si="0"/>
        <v>80</v>
      </c>
      <c r="F8" s="192"/>
    </row>
    <row r="9" spans="1:14">
      <c r="A9" s="156"/>
      <c r="B9" s="9" t="s">
        <v>11</v>
      </c>
      <c r="C9" s="64">
        <v>23</v>
      </c>
      <c r="D9" s="64">
        <v>23</v>
      </c>
      <c r="E9" s="64">
        <f t="shared" si="0"/>
        <v>46</v>
      </c>
      <c r="F9" s="192"/>
    </row>
    <row r="10" spans="1:14">
      <c r="A10" s="156"/>
      <c r="B10" s="9" t="s">
        <v>12</v>
      </c>
      <c r="C10" s="64">
        <v>17</v>
      </c>
      <c r="D10" s="64">
        <v>16</v>
      </c>
      <c r="E10" s="64">
        <f t="shared" si="0"/>
        <v>33</v>
      </c>
      <c r="F10" s="192"/>
    </row>
    <row r="11" spans="1:14">
      <c r="A11" s="156"/>
      <c r="B11" s="9" t="s">
        <v>13</v>
      </c>
      <c r="C11" s="64">
        <v>19</v>
      </c>
      <c r="D11" s="64">
        <v>17</v>
      </c>
      <c r="E11" s="64">
        <f t="shared" si="0"/>
        <v>36</v>
      </c>
      <c r="F11" s="192"/>
    </row>
    <row r="12" spans="1:14">
      <c r="A12" s="156"/>
      <c r="B12" s="9" t="s">
        <v>14</v>
      </c>
      <c r="C12" s="64">
        <v>20</v>
      </c>
      <c r="D12" s="64">
        <v>20</v>
      </c>
      <c r="E12" s="64">
        <f t="shared" si="0"/>
        <v>40</v>
      </c>
      <c r="F12" s="192"/>
    </row>
    <row r="13" spans="1:14">
      <c r="A13" s="156"/>
      <c r="B13" s="9" t="s">
        <v>15</v>
      </c>
      <c r="C13" s="64">
        <v>41</v>
      </c>
      <c r="D13" s="64">
        <v>41</v>
      </c>
      <c r="E13" s="64">
        <f t="shared" si="0"/>
        <v>82</v>
      </c>
      <c r="F13" s="192"/>
      <c r="H13" s="153" t="s">
        <v>132</v>
      </c>
      <c r="I13" s="153"/>
      <c r="J13" s="153"/>
      <c r="K13" s="153"/>
      <c r="L13" s="153"/>
      <c r="M13" s="153"/>
      <c r="N13" s="153"/>
    </row>
    <row r="14" spans="1:14">
      <c r="A14" s="156"/>
      <c r="B14" s="9" t="s">
        <v>16</v>
      </c>
      <c r="C14" s="64">
        <v>48</v>
      </c>
      <c r="D14" s="64">
        <v>40</v>
      </c>
      <c r="E14" s="64">
        <f t="shared" si="0"/>
        <v>88</v>
      </c>
      <c r="F14" s="192"/>
    </row>
    <row r="15" spans="1:14">
      <c r="A15" s="156"/>
      <c r="B15" s="9" t="s">
        <v>17</v>
      </c>
      <c r="C15" s="64">
        <v>21</v>
      </c>
      <c r="D15" s="64">
        <v>20</v>
      </c>
      <c r="E15" s="64">
        <f t="shared" si="0"/>
        <v>41</v>
      </c>
      <c r="F15" s="192"/>
      <c r="J15" s="9"/>
      <c r="K15" s="9">
        <v>2023</v>
      </c>
      <c r="L15" s="9">
        <v>2024</v>
      </c>
      <c r="M15" s="43">
        <v>2025</v>
      </c>
      <c r="N15" s="1"/>
    </row>
    <row r="16" spans="1:14">
      <c r="A16" s="156"/>
      <c r="B16" s="9" t="s">
        <v>6</v>
      </c>
      <c r="C16" s="64">
        <v>22</v>
      </c>
      <c r="D16" s="64">
        <v>21</v>
      </c>
      <c r="E16" s="64">
        <f t="shared" si="0"/>
        <v>43</v>
      </c>
      <c r="F16" s="192"/>
      <c r="J16" s="9" t="s">
        <v>37</v>
      </c>
      <c r="K16" s="32" t="s">
        <v>59</v>
      </c>
      <c r="L16" s="9">
        <f t="shared" ref="L16:L27" si="1">E6</f>
        <v>58</v>
      </c>
      <c r="M16" s="44">
        <f>E18</f>
        <v>75</v>
      </c>
      <c r="N16" s="1"/>
    </row>
    <row r="17" spans="1:14">
      <c r="A17" s="156"/>
      <c r="B17" s="9" t="s">
        <v>7</v>
      </c>
      <c r="C17" s="64">
        <v>27</v>
      </c>
      <c r="D17" s="64">
        <v>25</v>
      </c>
      <c r="E17" s="64">
        <f t="shared" si="0"/>
        <v>52</v>
      </c>
      <c r="F17" s="192"/>
      <c r="J17" s="9" t="s">
        <v>19</v>
      </c>
      <c r="K17" s="32" t="s">
        <v>59</v>
      </c>
      <c r="L17" s="9">
        <f t="shared" si="1"/>
        <v>85</v>
      </c>
      <c r="M17" s="44">
        <f>E19</f>
        <v>128</v>
      </c>
      <c r="N17" s="1"/>
    </row>
    <row r="18" spans="1:14">
      <c r="A18" s="156"/>
      <c r="B18" s="9" t="s">
        <v>8</v>
      </c>
      <c r="C18" s="64">
        <v>38</v>
      </c>
      <c r="D18" s="64">
        <v>37</v>
      </c>
      <c r="E18" s="64">
        <f t="shared" si="0"/>
        <v>75</v>
      </c>
      <c r="F18" s="193"/>
      <c r="J18" s="9" t="s">
        <v>20</v>
      </c>
      <c r="K18" s="32" t="s">
        <v>59</v>
      </c>
      <c r="L18" s="9">
        <f t="shared" si="1"/>
        <v>80</v>
      </c>
      <c r="M18" s="44">
        <f>E20</f>
        <v>105</v>
      </c>
      <c r="N18" s="1"/>
    </row>
    <row r="19" spans="1:14">
      <c r="A19" s="156">
        <v>2025</v>
      </c>
      <c r="B19" s="9" t="s">
        <v>9</v>
      </c>
      <c r="C19" s="64">
        <v>65</v>
      </c>
      <c r="D19" s="64">
        <v>63</v>
      </c>
      <c r="E19" s="64">
        <f t="shared" si="0"/>
        <v>128</v>
      </c>
      <c r="F19" s="191">
        <f>SUM(E19:E30)</f>
        <v>980</v>
      </c>
      <c r="J19" s="9" t="s">
        <v>21</v>
      </c>
      <c r="K19" s="32" t="s">
        <v>59</v>
      </c>
      <c r="L19" s="9">
        <f t="shared" si="1"/>
        <v>46</v>
      </c>
      <c r="M19" s="44">
        <f>E21</f>
        <v>57</v>
      </c>
      <c r="N19" s="1"/>
    </row>
    <row r="20" spans="1:14" ht="14.4" customHeight="1">
      <c r="A20" s="156"/>
      <c r="B20" s="9" t="s">
        <v>10</v>
      </c>
      <c r="C20" s="64">
        <v>54</v>
      </c>
      <c r="D20" s="64">
        <v>51</v>
      </c>
      <c r="E20" s="64">
        <f t="shared" si="0"/>
        <v>105</v>
      </c>
      <c r="F20" s="192"/>
      <c r="J20" s="9" t="s">
        <v>22</v>
      </c>
      <c r="K20" s="32" t="s">
        <v>59</v>
      </c>
      <c r="L20" s="9">
        <f t="shared" si="1"/>
        <v>33</v>
      </c>
      <c r="M20" s="44">
        <f>E22</f>
        <v>53</v>
      </c>
      <c r="N20" s="1"/>
    </row>
    <row r="21" spans="1:14">
      <c r="A21" s="156"/>
      <c r="B21" s="9" t="s">
        <v>11</v>
      </c>
      <c r="C21" s="64">
        <v>30</v>
      </c>
      <c r="D21" s="64">
        <v>27</v>
      </c>
      <c r="E21" s="64">
        <f t="shared" si="0"/>
        <v>57</v>
      </c>
      <c r="F21" s="192"/>
      <c r="J21" s="9" t="s">
        <v>23</v>
      </c>
      <c r="K21" s="32" t="s">
        <v>59</v>
      </c>
      <c r="L21" s="9">
        <f t="shared" si="1"/>
        <v>36</v>
      </c>
      <c r="M21" s="44">
        <f t="shared" ref="M21:M27" si="2">E23</f>
        <v>50</v>
      </c>
      <c r="N21" s="1"/>
    </row>
    <row r="22" spans="1:14">
      <c r="A22" s="156"/>
      <c r="B22" s="9" t="s">
        <v>12</v>
      </c>
      <c r="C22" s="64">
        <v>28</v>
      </c>
      <c r="D22" s="64">
        <v>25</v>
      </c>
      <c r="E22" s="64">
        <f t="shared" si="0"/>
        <v>53</v>
      </c>
      <c r="F22" s="192"/>
      <c r="J22" s="9" t="s">
        <v>24</v>
      </c>
      <c r="K22" s="32" t="s">
        <v>59</v>
      </c>
      <c r="L22" s="9">
        <f t="shared" si="1"/>
        <v>40</v>
      </c>
      <c r="M22" s="44">
        <f t="shared" si="2"/>
        <v>52</v>
      </c>
      <c r="N22" s="1"/>
    </row>
    <row r="23" spans="1:14">
      <c r="A23" s="156"/>
      <c r="B23" s="9" t="s">
        <v>13</v>
      </c>
      <c r="C23" s="64">
        <v>26</v>
      </c>
      <c r="D23" s="64">
        <v>24</v>
      </c>
      <c r="E23" s="64">
        <f t="shared" si="0"/>
        <v>50</v>
      </c>
      <c r="F23" s="192"/>
      <c r="J23" s="9" t="s">
        <v>25</v>
      </c>
      <c r="K23" s="32" t="s">
        <v>59</v>
      </c>
      <c r="L23" s="9">
        <f t="shared" si="1"/>
        <v>82</v>
      </c>
      <c r="M23" s="44">
        <f t="shared" si="2"/>
        <v>124</v>
      </c>
      <c r="N23" s="1"/>
    </row>
    <row r="24" spans="1:14">
      <c r="A24" s="156"/>
      <c r="B24" s="9" t="s">
        <v>14</v>
      </c>
      <c r="C24" s="64">
        <v>27</v>
      </c>
      <c r="D24" s="64">
        <v>25</v>
      </c>
      <c r="E24" s="64">
        <f t="shared" si="0"/>
        <v>52</v>
      </c>
      <c r="F24" s="192"/>
      <c r="J24" s="9" t="s">
        <v>26</v>
      </c>
      <c r="K24" s="32" t="s">
        <v>59</v>
      </c>
      <c r="L24" s="9">
        <f t="shared" si="1"/>
        <v>88</v>
      </c>
      <c r="M24" s="44">
        <f t="shared" si="2"/>
        <v>141</v>
      </c>
      <c r="N24" s="1"/>
    </row>
    <row r="25" spans="1:14">
      <c r="A25" s="156"/>
      <c r="B25" s="9" t="s">
        <v>15</v>
      </c>
      <c r="C25" s="64">
        <v>63</v>
      </c>
      <c r="D25" s="64">
        <v>61</v>
      </c>
      <c r="E25" s="64">
        <f t="shared" si="0"/>
        <v>124</v>
      </c>
      <c r="F25" s="192"/>
      <c r="J25" s="9" t="s">
        <v>38</v>
      </c>
      <c r="K25" s="32" t="s">
        <v>59</v>
      </c>
      <c r="L25" s="9">
        <f t="shared" si="1"/>
        <v>41</v>
      </c>
      <c r="M25" s="44">
        <f t="shared" si="2"/>
        <v>58</v>
      </c>
      <c r="N25" s="1"/>
    </row>
    <row r="26" spans="1:14">
      <c r="A26" s="156"/>
      <c r="B26" s="9" t="s">
        <v>16</v>
      </c>
      <c r="C26" s="64">
        <v>71</v>
      </c>
      <c r="D26" s="64">
        <v>70</v>
      </c>
      <c r="E26" s="64">
        <f t="shared" si="0"/>
        <v>141</v>
      </c>
      <c r="F26" s="192"/>
      <c r="J26" s="9" t="s">
        <v>39</v>
      </c>
      <c r="K26" s="9">
        <f>E5</f>
        <v>19</v>
      </c>
      <c r="L26" s="9">
        <f t="shared" si="1"/>
        <v>43</v>
      </c>
      <c r="M26" s="44">
        <f t="shared" si="2"/>
        <v>60</v>
      </c>
      <c r="N26" s="1"/>
    </row>
    <row r="27" spans="1:14">
      <c r="A27" s="156"/>
      <c r="B27" s="9" t="s">
        <v>17</v>
      </c>
      <c r="C27" s="64">
        <v>30</v>
      </c>
      <c r="D27" s="64">
        <v>28</v>
      </c>
      <c r="E27" s="64">
        <f t="shared" si="0"/>
        <v>58</v>
      </c>
      <c r="F27" s="192"/>
      <c r="J27" s="9" t="s">
        <v>40</v>
      </c>
      <c r="K27" s="9">
        <f>E6</f>
        <v>58</v>
      </c>
      <c r="L27" s="9">
        <f t="shared" si="1"/>
        <v>52</v>
      </c>
      <c r="M27" s="44">
        <f t="shared" si="2"/>
        <v>66</v>
      </c>
      <c r="N27" s="1"/>
    </row>
    <row r="28" spans="1:14">
      <c r="A28" s="156"/>
      <c r="B28" s="9" t="s">
        <v>6</v>
      </c>
      <c r="C28" s="64">
        <v>31</v>
      </c>
      <c r="D28" s="64">
        <v>29</v>
      </c>
      <c r="E28" s="64">
        <f t="shared" si="0"/>
        <v>60</v>
      </c>
      <c r="F28" s="192"/>
    </row>
    <row r="29" spans="1:14">
      <c r="A29" s="156"/>
      <c r="B29" s="9" t="s">
        <v>7</v>
      </c>
      <c r="C29" s="64">
        <v>33</v>
      </c>
      <c r="D29" s="64">
        <v>33</v>
      </c>
      <c r="E29" s="64">
        <f t="shared" si="0"/>
        <v>66</v>
      </c>
      <c r="F29" s="192"/>
    </row>
    <row r="30" spans="1:14">
      <c r="A30" s="156"/>
      <c r="B30" s="9" t="s">
        <v>8</v>
      </c>
      <c r="C30" s="64">
        <v>45</v>
      </c>
      <c r="D30" s="64">
        <v>41</v>
      </c>
      <c r="E30" s="64">
        <f t="shared" si="0"/>
        <v>86</v>
      </c>
      <c r="F30" s="193"/>
    </row>
    <row r="31" spans="1:14">
      <c r="A31" s="188" t="s">
        <v>162</v>
      </c>
      <c r="B31" s="188"/>
      <c r="C31" s="188"/>
      <c r="D31" s="188"/>
    </row>
    <row r="32" spans="1:14">
      <c r="A32" s="9">
        <v>2023</v>
      </c>
      <c r="B32" s="32" t="s">
        <v>39</v>
      </c>
      <c r="C32" s="9" t="s">
        <v>40</v>
      </c>
      <c r="D32" s="9" t="s">
        <v>70</v>
      </c>
      <c r="E32" s="1"/>
      <c r="H32" s="41"/>
      <c r="I32" s="41"/>
      <c r="M32" s="1"/>
      <c r="N32" s="1"/>
    </row>
    <row r="33" spans="1:14" ht="14.4" customHeight="1">
      <c r="A33" s="40" t="s">
        <v>60</v>
      </c>
      <c r="B33" s="60">
        <v>27600</v>
      </c>
      <c r="C33" s="65">
        <v>38000</v>
      </c>
      <c r="D33" s="65">
        <f>SUM(B33:C33)</f>
        <v>65600</v>
      </c>
      <c r="E33" s="1"/>
      <c r="H33" s="41"/>
      <c r="I33" s="41"/>
      <c r="M33" s="1"/>
      <c r="N33" s="1"/>
    </row>
    <row r="34" spans="1:14">
      <c r="A34" s="40" t="s">
        <v>61</v>
      </c>
      <c r="B34" s="60">
        <f>'План на будущие периоды '!AC3</f>
        <v>12056</v>
      </c>
      <c r="C34" s="60">
        <f>'План на будущие периоды '!AC4</f>
        <v>15650</v>
      </c>
      <c r="D34" s="65">
        <f>SUM(B34:C34)</f>
        <v>27706</v>
      </c>
      <c r="E34" s="1"/>
      <c r="H34" s="41"/>
      <c r="I34" s="41"/>
      <c r="M34" s="1"/>
      <c r="N34" s="1"/>
    </row>
    <row r="35" spans="1:14">
      <c r="A35" s="9" t="s">
        <v>73</v>
      </c>
      <c r="B35" s="65">
        <f>B33-B34</f>
        <v>15544</v>
      </c>
      <c r="C35" s="65">
        <f>C33-C34</f>
        <v>22350</v>
      </c>
      <c r="D35" s="65">
        <f>D33-D34</f>
        <v>37894</v>
      </c>
      <c r="E35" s="1"/>
      <c r="H35" s="41"/>
      <c r="I35" s="41"/>
      <c r="M35" s="1"/>
      <c r="N35" s="1"/>
    </row>
    <row r="41" spans="1:14">
      <c r="F41" s="20"/>
      <c r="G41" s="20"/>
      <c r="H41" s="20"/>
      <c r="I41" s="20"/>
      <c r="J41" s="20"/>
    </row>
    <row r="42" spans="1:14">
      <c r="F42" s="20"/>
      <c r="G42" s="20"/>
      <c r="H42" s="20"/>
      <c r="I42" s="20"/>
      <c r="J42" s="20"/>
    </row>
    <row r="43" spans="1:14">
      <c r="F43" s="20"/>
      <c r="G43" s="20"/>
      <c r="H43" s="20"/>
      <c r="I43" s="20"/>
      <c r="J43" s="20"/>
    </row>
    <row r="44" spans="1:14">
      <c r="F44" s="20"/>
      <c r="G44" s="184"/>
      <c r="H44" s="185"/>
      <c r="I44" s="185"/>
      <c r="J44" s="20"/>
    </row>
    <row r="45" spans="1:14">
      <c r="F45" s="20"/>
      <c r="G45" s="186"/>
      <c r="H45" s="186"/>
      <c r="I45" s="186"/>
      <c r="J45" s="20"/>
    </row>
    <row r="46" spans="1:14">
      <c r="F46" s="20"/>
      <c r="G46" s="186"/>
      <c r="H46" s="186"/>
      <c r="I46" s="186"/>
      <c r="J46" s="20"/>
    </row>
    <row r="47" spans="1:14">
      <c r="F47" s="20"/>
      <c r="G47" s="187"/>
      <c r="H47" s="187"/>
      <c r="I47" s="187"/>
      <c r="J47" s="20"/>
    </row>
    <row r="48" spans="1:14">
      <c r="F48" s="20"/>
      <c r="G48" s="20"/>
      <c r="H48" s="20"/>
      <c r="I48" s="20"/>
      <c r="J48" s="20"/>
    </row>
    <row r="49" spans="6:10">
      <c r="F49" s="20"/>
      <c r="G49" s="20"/>
      <c r="H49" s="20"/>
      <c r="I49" s="20"/>
      <c r="J49" s="20"/>
    </row>
    <row r="53" spans="6:10" ht="16.5" customHeight="1"/>
    <row r="54" spans="6:10" ht="16.5" customHeight="1"/>
  </sheetData>
  <mergeCells count="9">
    <mergeCell ref="A31:D31"/>
    <mergeCell ref="H13:N13"/>
    <mergeCell ref="A2:F2"/>
    <mergeCell ref="A7:A18"/>
    <mergeCell ref="A19:A30"/>
    <mergeCell ref="F5:F6"/>
    <mergeCell ref="A5:A6"/>
    <mergeCell ref="F19:F30"/>
    <mergeCell ref="F7:F18"/>
  </mergeCells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zoomScale="112" zoomScaleNormal="112" workbookViewId="0"/>
  </sheetViews>
  <sheetFormatPr defaultRowHeight="14.4"/>
  <cols>
    <col min="2" max="2" width="29.5546875" customWidth="1"/>
    <col min="3" max="3" width="15.44140625" customWidth="1"/>
  </cols>
  <sheetData>
    <row r="2" spans="1:3" ht="15.6">
      <c r="A2" s="2"/>
      <c r="B2" s="2" t="s">
        <v>45</v>
      </c>
      <c r="C2" s="2"/>
    </row>
    <row r="3" spans="1:3" ht="15.6">
      <c r="A3" s="2"/>
      <c r="B3" s="2"/>
      <c r="C3" s="2"/>
    </row>
    <row r="4" spans="1:3" ht="15.6">
      <c r="A4" s="3"/>
      <c r="B4" s="3"/>
      <c r="C4" s="12">
        <v>2023</v>
      </c>
    </row>
    <row r="5" spans="1:3" ht="15.6">
      <c r="A5" s="3">
        <v>1</v>
      </c>
      <c r="B5" s="3" t="s">
        <v>62</v>
      </c>
      <c r="C5" s="45">
        <f ca="1">'Прогнозный баланс'!C2</f>
        <v>42400</v>
      </c>
    </row>
    <row r="6" spans="1:3" ht="15.6">
      <c r="A6" s="3">
        <v>2</v>
      </c>
      <c r="B6" s="3" t="s">
        <v>61</v>
      </c>
      <c r="C6" s="45">
        <f>'Прогнозный баланс'!C3</f>
        <v>27706</v>
      </c>
    </row>
    <row r="7" spans="1:3" ht="15.6">
      <c r="A7" s="3">
        <v>3</v>
      </c>
      <c r="B7" s="3" t="s">
        <v>56</v>
      </c>
      <c r="C7" s="45">
        <f>'[2]Прогнозный баланс'!C4</f>
        <v>263225.25</v>
      </c>
    </row>
    <row r="8" spans="1:3" ht="15.6">
      <c r="A8" s="3">
        <v>4</v>
      </c>
      <c r="B8" s="3" t="s">
        <v>55</v>
      </c>
      <c r="C8" s="45">
        <f ca="1">'Прогнозный баланс'!C5</f>
        <v>2544</v>
      </c>
    </row>
    <row r="9" spans="1:3" ht="15.6">
      <c r="A9" s="3">
        <v>5</v>
      </c>
      <c r="B9" s="3" t="s">
        <v>47</v>
      </c>
      <c r="C9" s="45">
        <f>'[2]Прогнозный баланс'!C6</f>
        <v>238025.25</v>
      </c>
    </row>
    <row r="10" spans="1:3" ht="15.6">
      <c r="A10" s="2"/>
      <c r="B10" s="2"/>
      <c r="C10" s="2"/>
    </row>
    <row r="11" spans="1:3" ht="15.6">
      <c r="A11" s="2"/>
      <c r="B11" s="2"/>
      <c r="C11" s="2"/>
    </row>
    <row r="12" spans="1:3" ht="15.6">
      <c r="A12" s="2"/>
      <c r="B12" s="2"/>
      <c r="C12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1" zoomScaleNormal="131" workbookViewId="0"/>
  </sheetViews>
  <sheetFormatPr defaultRowHeight="14.4"/>
  <cols>
    <col min="2" max="2" width="28.44140625" bestFit="1" customWidth="1"/>
    <col min="3" max="3" width="14.6640625" style="46" customWidth="1"/>
    <col min="4" max="4" width="18.44140625" style="46" customWidth="1"/>
    <col min="5" max="5" width="19.33203125" style="46" customWidth="1"/>
    <col min="6" max="6" width="19" style="46" customWidth="1"/>
  </cols>
  <sheetData>
    <row r="1" spans="1:6" ht="15.6">
      <c r="A1" s="3"/>
      <c r="B1" s="3" t="s">
        <v>33</v>
      </c>
      <c r="C1" s="35">
        <v>2023</v>
      </c>
      <c r="D1" s="35">
        <v>2024</v>
      </c>
      <c r="E1" s="35">
        <v>2025</v>
      </c>
      <c r="F1"/>
    </row>
    <row r="2" spans="1:6" ht="15.6">
      <c r="A2" s="3">
        <v>1</v>
      </c>
      <c r="B2" s="3" t="s">
        <v>48</v>
      </c>
      <c r="C2" s="45">
        <f ca="1">'План на будущие периоды '!D47</f>
        <v>42400</v>
      </c>
      <c r="D2" s="45">
        <f>'План на будущие периоды '!N50</f>
        <v>720000</v>
      </c>
      <c r="E2" s="45">
        <f>'План на будущие периоды '!N53</f>
        <v>820500</v>
      </c>
      <c r="F2"/>
    </row>
    <row r="3" spans="1:6" ht="15.6">
      <c r="A3" s="3">
        <v>2</v>
      </c>
      <c r="B3" s="3" t="s">
        <v>46</v>
      </c>
      <c r="C3" s="45">
        <f>'План на будущие периоды '!AD3:AD47</f>
        <v>27706</v>
      </c>
      <c r="D3" s="45">
        <f>SUM('План на будущие периоды '!AD6:AD59)</f>
        <v>419071.3125</v>
      </c>
      <c r="E3" s="45">
        <f>SUM('План на будущие периоды '!AD17:AD71)</f>
        <v>248865.3125</v>
      </c>
      <c r="F3"/>
    </row>
    <row r="4" spans="1:6" ht="15.6">
      <c r="A4" s="3">
        <v>3</v>
      </c>
      <c r="B4" s="3" t="s">
        <v>56</v>
      </c>
      <c r="C4" s="45">
        <v>14694</v>
      </c>
      <c r="D4" s="45">
        <f t="shared" ref="D4:E4" si="0">D2-D3</f>
        <v>300928.6875</v>
      </c>
      <c r="E4" s="45">
        <f t="shared" si="0"/>
        <v>571634.6875</v>
      </c>
      <c r="F4"/>
    </row>
    <row r="5" spans="1:6" ht="15.6">
      <c r="A5" s="3">
        <v>4</v>
      </c>
      <c r="B5" s="3" t="s">
        <v>55</v>
      </c>
      <c r="C5" s="45">
        <f ca="1">C2*0.06</f>
        <v>2544</v>
      </c>
      <c r="D5" s="45">
        <f t="shared" ref="D5:E5" si="1">D2*0.06</f>
        <v>43200</v>
      </c>
      <c r="E5" s="45">
        <f t="shared" si="1"/>
        <v>49230</v>
      </c>
      <c r="F5"/>
    </row>
    <row r="6" spans="1:6" ht="15.6">
      <c r="A6" s="3">
        <v>5</v>
      </c>
      <c r="B6" s="3" t="s">
        <v>47</v>
      </c>
      <c r="C6" s="45">
        <v>12150</v>
      </c>
      <c r="D6" s="45">
        <f t="shared" ref="D6:E6" si="2">D4-D5</f>
        <v>257728.6875</v>
      </c>
      <c r="E6" s="45">
        <f t="shared" si="2"/>
        <v>522404.6875</v>
      </c>
      <c r="F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130" zoomScaleNormal="130" workbookViewId="0"/>
  </sheetViews>
  <sheetFormatPr defaultRowHeight="14.4"/>
  <cols>
    <col min="1" max="1" width="44.6640625" bestFit="1" customWidth="1"/>
    <col min="2" max="2" width="12.109375" bestFit="1" customWidth="1"/>
    <col min="3" max="5" width="11.88671875" bestFit="1" customWidth="1"/>
  </cols>
  <sheetData>
    <row r="2" spans="1:4" ht="15.6">
      <c r="A2" s="135" t="s">
        <v>49</v>
      </c>
      <c r="B2" s="135"/>
      <c r="C2" s="135"/>
      <c r="D2" s="135"/>
    </row>
    <row r="3" spans="1:4" ht="15.6">
      <c r="A3" s="70" t="s">
        <v>50</v>
      </c>
      <c r="B3" s="70">
        <v>2023</v>
      </c>
      <c r="C3" s="70">
        <v>2024</v>
      </c>
      <c r="D3" s="70">
        <v>2025</v>
      </c>
    </row>
    <row r="4" spans="1:4" ht="15.6">
      <c r="A4" s="157" t="s">
        <v>52</v>
      </c>
      <c r="B4" s="157"/>
      <c r="C4" s="157"/>
      <c r="D4" s="157"/>
    </row>
    <row r="5" spans="1:4" ht="15.6">
      <c r="A5" s="16" t="s">
        <v>51</v>
      </c>
      <c r="B5" s="71">
        <f ca="1">B6</f>
        <v>42400</v>
      </c>
      <c r="C5" s="71">
        <f t="shared" ref="C5:D5" si="0">C6</f>
        <v>720000</v>
      </c>
      <c r="D5" s="71">
        <f t="shared" si="0"/>
        <v>820500</v>
      </c>
    </row>
    <row r="6" spans="1:4" ht="15.6">
      <c r="A6" s="70" t="s">
        <v>163</v>
      </c>
      <c r="B6" s="71">
        <f ca="1">'Прогнозный баланс'!C2</f>
        <v>42400</v>
      </c>
      <c r="C6" s="71">
        <f>'Прогнозный баланс'!D2</f>
        <v>720000</v>
      </c>
      <c r="D6" s="71">
        <f>'Прогнозный баланс'!E2</f>
        <v>820500</v>
      </c>
    </row>
    <row r="7" spans="1:4" ht="15.6">
      <c r="A7" s="16" t="s">
        <v>53</v>
      </c>
      <c r="B7" s="71"/>
      <c r="C7" s="71"/>
      <c r="D7" s="71"/>
    </row>
    <row r="8" spans="1:4" ht="15.6">
      <c r="A8" s="70" t="s">
        <v>72</v>
      </c>
      <c r="B8" s="71">
        <f>SUM('План на будущие периоды '!AD3:AD47)</f>
        <v>446777.3125</v>
      </c>
      <c r="C8" s="71">
        <f>SUM('План на будущие периоды '!AD6:AD59)</f>
        <v>419071.3125</v>
      </c>
      <c r="D8" s="71">
        <f>SUM('План на будущие периоды '!AD17:AD71)</f>
        <v>248865.3125</v>
      </c>
    </row>
    <row r="9" spans="1:4" ht="15.6">
      <c r="A9" s="17" t="s">
        <v>57</v>
      </c>
      <c r="B9" s="47">
        <f ca="1">'Прогнозный баланс'!C5</f>
        <v>2544</v>
      </c>
      <c r="C9" s="47">
        <f>'Прогнозный баланс'!D5</f>
        <v>43200</v>
      </c>
      <c r="D9" s="47">
        <f>'Прогнозный баланс'!E5</f>
        <v>49230</v>
      </c>
    </row>
    <row r="10" spans="1:4" ht="15.6">
      <c r="A10" s="17" t="s">
        <v>65</v>
      </c>
      <c r="B10" s="71">
        <f ca="1">B6*0.2</f>
        <v>8480</v>
      </c>
      <c r="C10" s="71">
        <f t="shared" ref="C10:D10" si="1">C6*0.2</f>
        <v>144000</v>
      </c>
      <c r="D10" s="71">
        <f t="shared" si="1"/>
        <v>164100</v>
      </c>
    </row>
    <row r="11" spans="1:4" ht="15.6">
      <c r="A11" s="53" t="s">
        <v>68</v>
      </c>
      <c r="B11" s="71">
        <f ca="1">B5-B8-B9-B10</f>
        <v>154025.25</v>
      </c>
      <c r="C11" s="71">
        <f t="shared" ref="C11:D11" si="2">C5-C8-C9-C10</f>
        <v>113728.6875</v>
      </c>
      <c r="D11" s="71">
        <f t="shared" si="2"/>
        <v>358304.6875</v>
      </c>
    </row>
  </sheetData>
  <mergeCells count="2">
    <mergeCell ref="A2:D2"/>
    <mergeCell ref="A4:D4"/>
  </mergeCells>
  <pageMargins left="0.7" right="0.7" top="0.75" bottom="0.75" header="0.3" footer="0.3"/>
  <pageSetup paperSize="9" scale="9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20" zoomScaleNormal="120" workbookViewId="0">
      <selection sqref="A1:H1"/>
    </sheetView>
  </sheetViews>
  <sheetFormatPr defaultRowHeight="14.4"/>
  <cols>
    <col min="1" max="1" width="5.33203125" bestFit="1" customWidth="1"/>
    <col min="2" max="2" width="57.5546875" bestFit="1" customWidth="1"/>
    <col min="3" max="3" width="7.88671875" bestFit="1" customWidth="1"/>
    <col min="4" max="4" width="12.44140625" bestFit="1" customWidth="1"/>
    <col min="5" max="8" width="13.6640625" bestFit="1" customWidth="1"/>
  </cols>
  <sheetData>
    <row r="1" spans="1:8" ht="15.6">
      <c r="A1" s="139" t="s">
        <v>131</v>
      </c>
      <c r="B1" s="139"/>
      <c r="C1" s="139"/>
      <c r="D1" s="139"/>
      <c r="E1" s="139"/>
      <c r="F1" s="139"/>
      <c r="G1" s="139"/>
      <c r="H1" s="139"/>
    </row>
    <row r="2" spans="1:8" ht="15.6">
      <c r="A2" s="69"/>
      <c r="B2" s="69"/>
      <c r="C2" s="69"/>
      <c r="D2" s="69"/>
      <c r="E2" s="69"/>
      <c r="F2" s="69"/>
      <c r="G2" s="69"/>
      <c r="H2" s="69"/>
    </row>
    <row r="3" spans="1:8" ht="15.6">
      <c r="A3" s="117" t="s">
        <v>119</v>
      </c>
      <c r="B3" s="117" t="s">
        <v>118</v>
      </c>
      <c r="C3" s="117" t="s">
        <v>117</v>
      </c>
      <c r="D3" s="158" t="s">
        <v>96</v>
      </c>
      <c r="E3" s="159"/>
      <c r="F3" s="159"/>
      <c r="G3" s="117" t="s">
        <v>70</v>
      </c>
    </row>
    <row r="4" spans="1:8" ht="15.6">
      <c r="A4" s="70"/>
      <c r="B4" s="70"/>
      <c r="C4" s="70"/>
      <c r="D4" s="70">
        <v>1</v>
      </c>
      <c r="E4" s="70">
        <v>2</v>
      </c>
      <c r="F4" s="70">
        <v>3</v>
      </c>
      <c r="G4" s="70"/>
    </row>
    <row r="5" spans="1:8" ht="15.6">
      <c r="A5" s="70">
        <v>1</v>
      </c>
      <c r="B5" s="70" t="s">
        <v>115</v>
      </c>
      <c r="C5" s="70">
        <v>1</v>
      </c>
      <c r="D5" s="71">
        <f>'Показатели деятельности '!I6</f>
        <v>39384</v>
      </c>
      <c r="E5" s="70"/>
      <c r="F5" s="70"/>
      <c r="G5" s="70"/>
    </row>
    <row r="6" spans="1:8" ht="15.6">
      <c r="A6" s="70">
        <v>3</v>
      </c>
      <c r="B6" s="70" t="s">
        <v>113</v>
      </c>
      <c r="C6" s="70">
        <v>1</v>
      </c>
      <c r="D6" s="71">
        <f>'Показатели деятельности '!I7</f>
        <v>0</v>
      </c>
      <c r="E6" s="70"/>
      <c r="F6" s="70"/>
      <c r="G6" s="70"/>
    </row>
    <row r="7" spans="1:8" ht="15.6">
      <c r="A7" s="70">
        <v>4</v>
      </c>
      <c r="B7" s="70" t="s">
        <v>112</v>
      </c>
      <c r="C7" s="70">
        <v>1</v>
      </c>
      <c r="D7" s="71">
        <f ca="1">'Показатели деятельности '!I8</f>
        <v>42400</v>
      </c>
      <c r="E7" s="71">
        <f>'Показатели деятельности '!J8</f>
        <v>720000</v>
      </c>
      <c r="F7" s="71">
        <f>'Показатели деятельности '!K8</f>
        <v>820500</v>
      </c>
      <c r="G7" s="71">
        <f>'Показатели деятельности '!K8</f>
        <v>820500</v>
      </c>
    </row>
    <row r="8" spans="1:8" ht="15.6">
      <c r="A8" s="70">
        <v>5</v>
      </c>
      <c r="B8" s="70" t="s">
        <v>53</v>
      </c>
      <c r="C8" s="70">
        <v>1</v>
      </c>
      <c r="D8" s="71">
        <f>'Показатели деятельности '!I9</f>
        <v>446777.3125</v>
      </c>
      <c r="E8" s="71">
        <f>'Показатели деятельности '!J9</f>
        <v>419071.3125</v>
      </c>
      <c r="F8" s="71">
        <f>'Показатели деятельности '!K9</f>
        <v>248865.3125</v>
      </c>
      <c r="G8" s="71">
        <f>'Показатели деятельности '!K9</f>
        <v>248865.3125</v>
      </c>
    </row>
    <row r="9" spans="1:8" ht="15.6">
      <c r="A9" s="70">
        <v>6</v>
      </c>
      <c r="B9" s="70" t="s">
        <v>111</v>
      </c>
      <c r="C9" s="70">
        <v>1</v>
      </c>
      <c r="D9" s="71">
        <f>'Показатели деятельности '!I10</f>
        <v>0</v>
      </c>
      <c r="E9" s="71">
        <f>'Показатели деятельности '!J10</f>
        <v>7876.8</v>
      </c>
      <c r="F9" s="71">
        <f>'Показатели деятельности '!K10</f>
        <v>7876.8</v>
      </c>
      <c r="G9" s="71">
        <f>'Показатели деятельности '!L10</f>
        <v>15753.6</v>
      </c>
    </row>
    <row r="10" spans="1:8" ht="15.6">
      <c r="A10" s="70">
        <v>7</v>
      </c>
      <c r="B10" s="70" t="s">
        <v>110</v>
      </c>
      <c r="C10" s="70">
        <v>1</v>
      </c>
      <c r="D10" s="71">
        <f>'[2]Показатели деятельности '!I11</f>
        <v>263225.25</v>
      </c>
      <c r="E10" s="71">
        <f>'Показатели деятельности '!J11</f>
        <v>293051.88750000001</v>
      </c>
      <c r="F10" s="71">
        <f>'Показатели деятельности '!K11</f>
        <v>563757.88749999995</v>
      </c>
      <c r="G10" s="71">
        <f>'Показатели деятельности '!K11</f>
        <v>563757.88749999995</v>
      </c>
    </row>
    <row r="11" spans="1:8" ht="15.6">
      <c r="A11" s="70">
        <v>8</v>
      </c>
      <c r="B11" s="70" t="s">
        <v>109</v>
      </c>
      <c r="C11" s="70">
        <v>1</v>
      </c>
      <c r="D11" s="71">
        <f>'[2]Показатели деятельности '!I12</f>
        <v>15793.514999999999</v>
      </c>
      <c r="E11" s="71">
        <f>'Показатели деятельности '!J12</f>
        <v>17583.113249999999</v>
      </c>
      <c r="F11" s="71">
        <f>'Показатели деятельности '!K12</f>
        <v>33825.473249999995</v>
      </c>
      <c r="G11" s="71">
        <f>'Показатели деятельности '!K12</f>
        <v>33825.473249999995</v>
      </c>
    </row>
    <row r="12" spans="1:8" ht="15.6">
      <c r="A12" s="70">
        <v>9</v>
      </c>
      <c r="B12" s="70" t="s">
        <v>108</v>
      </c>
      <c r="C12" s="70">
        <v>1</v>
      </c>
      <c r="D12" s="71">
        <f>'[2]Показатели деятельности '!I13</f>
        <v>247431.73499999999</v>
      </c>
      <c r="E12" s="71">
        <f>'Показатели деятельности '!J13</f>
        <v>275468.77425000002</v>
      </c>
      <c r="F12" s="71">
        <f>'Показатели деятельности '!K13</f>
        <v>529932.41424999991</v>
      </c>
      <c r="G12" s="71">
        <f>'Показатели деятельности '!K13</f>
        <v>529932.41424999991</v>
      </c>
    </row>
    <row r="13" spans="1:8" ht="15.6">
      <c r="A13" s="70">
        <v>10</v>
      </c>
      <c r="B13" s="70" t="s">
        <v>107</v>
      </c>
      <c r="C13" s="70">
        <v>1</v>
      </c>
      <c r="D13" s="71">
        <f>'Показатели деятельности '!I14</f>
        <v>0</v>
      </c>
      <c r="E13" s="71">
        <f>'Показатели деятельности '!J14</f>
        <v>0</v>
      </c>
      <c r="F13" s="71">
        <f>'Показатели деятельности '!K14</f>
        <v>0</v>
      </c>
      <c r="G13" s="71">
        <f>'Показатели деятельности '!L14</f>
        <v>0</v>
      </c>
    </row>
    <row r="14" spans="1:8" ht="15.6">
      <c r="A14" s="70">
        <v>11</v>
      </c>
      <c r="B14" s="70" t="s">
        <v>106</v>
      </c>
      <c r="C14" s="70">
        <v>1</v>
      </c>
      <c r="D14" s="71">
        <f>'Показатели деятельности '!I15</f>
        <v>0</v>
      </c>
      <c r="E14" s="71">
        <f>'Показатели деятельности '!J15</f>
        <v>0</v>
      </c>
      <c r="F14" s="71">
        <f>'Показатели деятельности '!K15</f>
        <v>0</v>
      </c>
      <c r="G14" s="71">
        <f>'Показатели деятельности '!L15</f>
        <v>0</v>
      </c>
    </row>
    <row r="15" spans="1:8" ht="15.6">
      <c r="A15" s="69"/>
      <c r="B15" s="69"/>
      <c r="C15" s="69"/>
      <c r="D15" s="69"/>
      <c r="E15" s="69"/>
      <c r="F15" s="69"/>
      <c r="G15" s="69"/>
      <c r="H15" s="69"/>
    </row>
    <row r="16" spans="1:8" ht="15.6">
      <c r="A16" s="139" t="s">
        <v>105</v>
      </c>
      <c r="B16" s="139"/>
      <c r="C16" s="139"/>
      <c r="D16" s="139"/>
      <c r="E16" s="139"/>
      <c r="F16" s="139"/>
      <c r="G16" s="139"/>
      <c r="H16" s="139"/>
    </row>
    <row r="17" spans="1:7" ht="15.6">
      <c r="A17" s="111"/>
      <c r="B17" s="111"/>
      <c r="C17" s="111"/>
      <c r="D17" s="117">
        <v>1</v>
      </c>
      <c r="E17" s="117">
        <v>2</v>
      </c>
      <c r="F17" s="117">
        <v>3</v>
      </c>
      <c r="G17" s="69"/>
    </row>
    <row r="18" spans="1:7" ht="15.6">
      <c r="A18" s="70">
        <v>12</v>
      </c>
      <c r="B18" s="70" t="s">
        <v>104</v>
      </c>
      <c r="C18" s="70">
        <v>1</v>
      </c>
      <c r="D18" s="118">
        <f>'Показатели деятельности '!I19</f>
        <v>39384</v>
      </c>
      <c r="E18" s="118">
        <f>'Показатели деятельности '!J19</f>
        <v>0</v>
      </c>
      <c r="F18" s="118">
        <f>'Показатели деятельности '!K19</f>
        <v>0</v>
      </c>
      <c r="G18" s="69"/>
    </row>
    <row r="19" spans="1:7" ht="15.6">
      <c r="A19" s="24">
        <v>13</v>
      </c>
      <c r="B19" s="24" t="s">
        <v>103</v>
      </c>
      <c r="C19" s="24">
        <v>1</v>
      </c>
      <c r="D19" s="118">
        <f>'[2]Показатели деятельности '!I20</f>
        <v>247431.73499999999</v>
      </c>
      <c r="E19" s="118">
        <f>'Показатели деятельности '!J20</f>
        <v>283345.57425000001</v>
      </c>
      <c r="F19" s="118">
        <f>'Показатели деятельности '!K20</f>
        <v>537809.21424999996</v>
      </c>
      <c r="G19" s="69"/>
    </row>
    <row r="20" spans="1:7" ht="15.6">
      <c r="A20" s="70">
        <v>14</v>
      </c>
      <c r="B20" s="70" t="s">
        <v>101</v>
      </c>
      <c r="C20" s="70">
        <v>1</v>
      </c>
      <c r="D20" s="118">
        <f>'Показатели деятельности '!I21</f>
        <v>0</v>
      </c>
      <c r="E20" s="118">
        <f>'Показатели деятельности '!J21</f>
        <v>0</v>
      </c>
      <c r="F20" s="118">
        <f>'Показатели деятельности '!K21</f>
        <v>0</v>
      </c>
      <c r="G20" s="69"/>
    </row>
    <row r="21" spans="1:7" ht="15.6">
      <c r="A21" s="70">
        <v>15</v>
      </c>
      <c r="B21" s="70" t="s">
        <v>88</v>
      </c>
      <c r="C21" s="70">
        <v>1</v>
      </c>
      <c r="D21" s="118">
        <f>'[2]Показатели деятельности '!I22</f>
        <v>200782.73499999999</v>
      </c>
      <c r="E21" s="118">
        <f>'Показатели деятельности '!J22</f>
        <v>283345.57425000001</v>
      </c>
      <c r="F21" s="118">
        <f>'Показатели деятельности '!K22</f>
        <v>537809.21424999996</v>
      </c>
      <c r="G21" s="69"/>
    </row>
  </sheetData>
  <mergeCells count="3">
    <mergeCell ref="A1:H1"/>
    <mergeCell ref="A16:H16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Данные для расчетов</vt:lpstr>
      <vt:lpstr>Первоначальные затраты</vt:lpstr>
      <vt:lpstr>План на будущие периоды </vt:lpstr>
      <vt:lpstr>Расчеты себестоимости продукции</vt:lpstr>
      <vt:lpstr>Факт прошлых перидов</vt:lpstr>
      <vt:lpstr>Фактический баланс</vt:lpstr>
      <vt:lpstr>Прогнозный баланс</vt:lpstr>
      <vt:lpstr>План ДДС</vt:lpstr>
      <vt:lpstr>Факт ДДС</vt:lpstr>
      <vt:lpstr>Показатели деятельности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2023-11-15T08:46:07Z</dcterms:modified>
</cp:coreProperties>
</file>