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8028" windowHeight="5916" tabRatio="915"/>
  </bookViews>
  <sheets>
    <sheet name="Данные для расчетов" sheetId="1" r:id="rId1"/>
    <sheet name="Первоначальные затраты" sheetId="2" r:id="rId2"/>
    <sheet name="План на будущие периоды " sheetId="3" r:id="rId3"/>
    <sheet name="Расчеты себестоимости продукции" sheetId="4" r:id="rId4"/>
    <sheet name="Факт прошлых перидов" sheetId="5" r:id="rId5"/>
    <sheet name="Фактический баланс" sheetId="6" r:id="rId6"/>
    <sheet name="Прогнозный баланс" sheetId="7" r:id="rId7"/>
    <sheet name="План ДДС" sheetId="8" r:id="rId8"/>
    <sheet name="Факт ДДС" sheetId="15" r:id="rId9"/>
    <sheet name="Показатели деятельности " sheetId="14" r:id="rId10"/>
  </sheets>
  <externalReferences>
    <externalReference r:id="rId11"/>
    <externalReference r:id="rId12"/>
    <externalReference r:id="rId13"/>
  </externalReferences>
  <definedNames>
    <definedName name="_xlcn.WorksheetConnection_ФактпрошлыхперидовA20F40" hidden="1">'Факт прошлых перидов'!$A$11:$F$31</definedName>
    <definedName name="CASH_DEFICIT">[1]Расчеты!$B$63</definedName>
  </definedNames>
  <calcPr calcId="144525"/>
  <extLst>
    <ext xmlns:x15="http://schemas.microsoft.com/office/spreadsheetml/2010/11/main" uri="{FCE2AD5D-F65C-4FA6-A056-5C36A1767C68}">
      <x15:dataModel>
        <x15:modelTables>
          <x15:modelTable id="Диапазон-bad4f51d-dccd-47a2-9873-ca6709c597f0" name="Диапазон" connection="WorksheetConnection_Факт прошлых перидов!$A$20:$F$40"/>
        </x15:modelTables>
      </x15:dataModel>
    </ext>
  </extLst>
</workbook>
</file>

<file path=xl/calcChain.xml><?xml version="1.0" encoding="utf-8"?>
<calcChain xmlns="http://schemas.openxmlformats.org/spreadsheetml/2006/main">
  <c r="T15" i="14" l="1"/>
  <c r="U15" i="14" s="1"/>
  <c r="T14" i="14"/>
  <c r="U14" i="14" s="1"/>
  <c r="T13" i="14"/>
  <c r="U13" i="14" s="1"/>
  <c r="T12" i="14"/>
  <c r="T11" i="14"/>
  <c r="U11" i="14" s="1"/>
  <c r="T10" i="14"/>
  <c r="U10" i="14" s="1"/>
  <c r="T9" i="14"/>
  <c r="T8" i="14"/>
  <c r="U8" i="14" s="1"/>
  <c r="V7" i="14"/>
  <c r="T7" i="14"/>
  <c r="T6" i="14"/>
  <c r="U7" i="14" s="1"/>
  <c r="T5" i="14"/>
  <c r="U5" i="14" s="1"/>
  <c r="T4" i="14"/>
  <c r="U4" i="14" s="1"/>
  <c r="U3" i="14"/>
  <c r="T3" i="14"/>
  <c r="T2" i="14"/>
  <c r="U9" i="14" l="1"/>
  <c r="U6" i="14"/>
  <c r="U12" i="14"/>
  <c r="L34" i="3"/>
  <c r="D7" i="2"/>
  <c r="D6" i="2"/>
  <c r="D5" i="2"/>
  <c r="D4" i="2"/>
  <c r="D20" i="1"/>
  <c r="D19" i="1"/>
  <c r="D18" i="1"/>
  <c r="D17" i="1"/>
  <c r="E18" i="15" l="1"/>
  <c r="F18" i="15"/>
  <c r="G18" i="15"/>
  <c r="E20" i="15"/>
  <c r="F20" i="15"/>
  <c r="G20" i="15"/>
  <c r="D20" i="15"/>
  <c r="F13" i="15"/>
  <c r="G13" i="15"/>
  <c r="H13" i="15"/>
  <c r="F14" i="15"/>
  <c r="G14" i="15"/>
  <c r="H14" i="15"/>
  <c r="E13" i="15"/>
  <c r="E14" i="15"/>
  <c r="D6" i="15"/>
  <c r="D9" i="15"/>
  <c r="D13" i="15"/>
  <c r="D14" i="15"/>
  <c r="I34" i="14" l="1"/>
  <c r="J34" i="14"/>
  <c r="K34" i="14"/>
  <c r="J21" i="14"/>
  <c r="K21" i="14"/>
  <c r="L21" i="14"/>
  <c r="B34" i="14"/>
  <c r="D34" i="14" s="1"/>
  <c r="H34" i="14"/>
  <c r="B35" i="14"/>
  <c r="D35" i="14" s="1"/>
  <c r="B36" i="14"/>
  <c r="D36" i="14" s="1"/>
  <c r="B37" i="14"/>
  <c r="D37" i="14" s="1"/>
  <c r="AA40" i="3" l="1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C27" i="3" l="1"/>
  <c r="D27" i="3"/>
  <c r="E27" i="3"/>
  <c r="F27" i="3"/>
  <c r="G27" i="3"/>
  <c r="H27" i="3"/>
  <c r="I27" i="3"/>
  <c r="J27" i="3"/>
  <c r="K27" i="3"/>
  <c r="L27" i="3"/>
  <c r="M27" i="3"/>
  <c r="B27" i="3"/>
  <c r="C24" i="3"/>
  <c r="C45" i="3" s="1"/>
  <c r="D24" i="3"/>
  <c r="D45" i="3" s="1"/>
  <c r="E24" i="3"/>
  <c r="E45" i="3" s="1"/>
  <c r="F24" i="3"/>
  <c r="G24" i="3"/>
  <c r="H24" i="3"/>
  <c r="H45" i="3" s="1"/>
  <c r="I24" i="3"/>
  <c r="J24" i="3"/>
  <c r="K24" i="3"/>
  <c r="K45" i="3" s="1"/>
  <c r="L24" i="3"/>
  <c r="M24" i="3"/>
  <c r="M45" i="3" s="1"/>
  <c r="B24" i="3"/>
  <c r="C21" i="3"/>
  <c r="D21" i="3"/>
  <c r="E21" i="3"/>
  <c r="F21" i="3"/>
  <c r="G21" i="3"/>
  <c r="H21" i="3"/>
  <c r="I21" i="3"/>
  <c r="J21" i="3"/>
  <c r="K21" i="3"/>
  <c r="L21" i="3"/>
  <c r="M21" i="3"/>
  <c r="B21" i="3"/>
  <c r="C18" i="3"/>
  <c r="D18" i="3"/>
  <c r="E18" i="3"/>
  <c r="F18" i="3"/>
  <c r="G18" i="3"/>
  <c r="H18" i="3"/>
  <c r="I18" i="3"/>
  <c r="J18" i="3"/>
  <c r="K18" i="3"/>
  <c r="B44" i="5" s="1"/>
  <c r="B18" i="3"/>
  <c r="B32" i="3"/>
  <c r="U3" i="3" s="1"/>
  <c r="C32" i="3"/>
  <c r="D32" i="3"/>
  <c r="E32" i="3"/>
  <c r="F32" i="3"/>
  <c r="G32" i="3"/>
  <c r="H32" i="3"/>
  <c r="I32" i="3"/>
  <c r="J32" i="3"/>
  <c r="K32" i="3"/>
  <c r="B38" i="3"/>
  <c r="U5" i="3" s="1"/>
  <c r="C38" i="3"/>
  <c r="U6" i="3" s="1"/>
  <c r="D38" i="3"/>
  <c r="U7" i="3" s="1"/>
  <c r="E38" i="3"/>
  <c r="U8" i="3" s="1"/>
  <c r="F38" i="3"/>
  <c r="U9" i="3" s="1"/>
  <c r="G38" i="3"/>
  <c r="U10" i="3" s="1"/>
  <c r="H38" i="3"/>
  <c r="U11" i="3" s="1"/>
  <c r="I38" i="3"/>
  <c r="U12" i="3" s="1"/>
  <c r="J38" i="3"/>
  <c r="U13" i="3" s="1"/>
  <c r="K38" i="3"/>
  <c r="U14" i="3" s="1"/>
  <c r="L38" i="3"/>
  <c r="U15" i="3" s="1"/>
  <c r="M38" i="3"/>
  <c r="U16" i="3" s="1"/>
  <c r="N40" i="3"/>
  <c r="B44" i="3"/>
  <c r="U17" i="3" s="1"/>
  <c r="C44" i="3"/>
  <c r="D44" i="3"/>
  <c r="U19" i="3" s="1"/>
  <c r="E44" i="3"/>
  <c r="U20" i="3" s="1"/>
  <c r="F44" i="3"/>
  <c r="U21" i="3" s="1"/>
  <c r="G44" i="3"/>
  <c r="U22" i="3" s="1"/>
  <c r="H44" i="3"/>
  <c r="U23" i="3" s="1"/>
  <c r="I44" i="3"/>
  <c r="U24" i="3" s="1"/>
  <c r="J44" i="3"/>
  <c r="U25" i="3" s="1"/>
  <c r="K44" i="3"/>
  <c r="U26" i="3" s="1"/>
  <c r="L44" i="3"/>
  <c r="U27" i="3" s="1"/>
  <c r="M44" i="3"/>
  <c r="U28" i="3" s="1"/>
  <c r="B45" i="3"/>
  <c r="G45" i="3"/>
  <c r="N46" i="3"/>
  <c r="B50" i="3"/>
  <c r="U29" i="3" s="1"/>
  <c r="C50" i="3"/>
  <c r="U30" i="3" s="1"/>
  <c r="D50" i="3"/>
  <c r="U31" i="3" s="1"/>
  <c r="E50" i="3"/>
  <c r="U32" i="3" s="1"/>
  <c r="F50" i="3"/>
  <c r="U33" i="3" s="1"/>
  <c r="G50" i="3"/>
  <c r="U34" i="3" s="1"/>
  <c r="H50" i="3"/>
  <c r="U35" i="3" s="1"/>
  <c r="I50" i="3"/>
  <c r="U36" i="3" s="1"/>
  <c r="J50" i="3"/>
  <c r="U37" i="3" s="1"/>
  <c r="K50" i="3"/>
  <c r="U38" i="3" s="1"/>
  <c r="L50" i="3"/>
  <c r="U39" i="3" s="1"/>
  <c r="M50" i="3"/>
  <c r="U40" i="3" s="1"/>
  <c r="N52" i="3"/>
  <c r="U4" i="3" l="1"/>
  <c r="L32" i="3"/>
  <c r="X37" i="3"/>
  <c r="AC37" i="3"/>
  <c r="J53" i="3" s="1"/>
  <c r="X33" i="3"/>
  <c r="AC33" i="3"/>
  <c r="F53" i="3" s="1"/>
  <c r="X28" i="3"/>
  <c r="AC28" i="3"/>
  <c r="M47" i="3" s="1"/>
  <c r="X20" i="3"/>
  <c r="AC20" i="3"/>
  <c r="E47" i="3" s="1"/>
  <c r="X13" i="3"/>
  <c r="AC13" i="3"/>
  <c r="J41" i="3" s="1"/>
  <c r="AC5" i="3"/>
  <c r="B41" i="3" s="1"/>
  <c r="X5" i="3"/>
  <c r="E33" i="3"/>
  <c r="I39" i="3"/>
  <c r="E39" i="3"/>
  <c r="M51" i="3"/>
  <c r="AC36" i="3"/>
  <c r="I53" i="3" s="1"/>
  <c r="X36" i="3"/>
  <c r="I45" i="3"/>
  <c r="AC27" i="3"/>
  <c r="L47" i="3" s="1"/>
  <c r="X27" i="3"/>
  <c r="X19" i="3"/>
  <c r="AC19" i="3"/>
  <c r="D47" i="3" s="1"/>
  <c r="AC12" i="3"/>
  <c r="I41" i="3" s="1"/>
  <c r="X12" i="3"/>
  <c r="D33" i="3"/>
  <c r="X39" i="3"/>
  <c r="AC39" i="3"/>
  <c r="L53" i="3" s="1"/>
  <c r="AC35" i="3"/>
  <c r="H53" i="3" s="1"/>
  <c r="X35" i="3"/>
  <c r="AC31" i="3"/>
  <c r="D53" i="3" s="1"/>
  <c r="X31" i="3"/>
  <c r="AC26" i="3"/>
  <c r="K47" i="3" s="1"/>
  <c r="X26" i="3"/>
  <c r="N44" i="3"/>
  <c r="U18" i="3"/>
  <c r="X15" i="3"/>
  <c r="AC15" i="3"/>
  <c r="AC11" i="3"/>
  <c r="H41" i="3" s="1"/>
  <c r="X11" i="3"/>
  <c r="X7" i="3"/>
  <c r="AC7" i="3"/>
  <c r="D41" i="3" s="1"/>
  <c r="K33" i="3"/>
  <c r="L33" i="3" s="1"/>
  <c r="G33" i="3"/>
  <c r="C33" i="3"/>
  <c r="K39" i="3"/>
  <c r="G39" i="3"/>
  <c r="C39" i="3"/>
  <c r="K51" i="3"/>
  <c r="G51" i="3"/>
  <c r="C51" i="3"/>
  <c r="AC29" i="3"/>
  <c r="B53" i="3" s="1"/>
  <c r="X29" i="3"/>
  <c r="X24" i="3"/>
  <c r="AC24" i="3"/>
  <c r="I47" i="3" s="1"/>
  <c r="I33" i="3"/>
  <c r="M39" i="3"/>
  <c r="I51" i="3"/>
  <c r="E51" i="3"/>
  <c r="AC40" i="3"/>
  <c r="M53" i="3" s="1"/>
  <c r="X40" i="3"/>
  <c r="AC32" i="3"/>
  <c r="E53" i="3" s="1"/>
  <c r="X32" i="3"/>
  <c r="AC23" i="3"/>
  <c r="H47" i="3" s="1"/>
  <c r="X23" i="3"/>
  <c r="X16" i="3"/>
  <c r="AC16" i="3"/>
  <c r="M41" i="3" s="1"/>
  <c r="X8" i="3"/>
  <c r="AC8" i="3"/>
  <c r="E41" i="3" s="1"/>
  <c r="B33" i="3"/>
  <c r="H33" i="3"/>
  <c r="L39" i="3"/>
  <c r="L41" i="3"/>
  <c r="H39" i="3"/>
  <c r="D39" i="3"/>
  <c r="L51" i="3"/>
  <c r="H51" i="3"/>
  <c r="D51" i="3"/>
  <c r="AC38" i="3"/>
  <c r="K53" i="3" s="1"/>
  <c r="X38" i="3"/>
  <c r="AC34" i="3"/>
  <c r="G53" i="3" s="1"/>
  <c r="X34" i="3"/>
  <c r="AC30" i="3"/>
  <c r="C53" i="3" s="1"/>
  <c r="X30" i="3"/>
  <c r="L45" i="3"/>
  <c r="X25" i="3"/>
  <c r="AC25" i="3"/>
  <c r="J47" i="3" s="1"/>
  <c r="X17" i="3"/>
  <c r="AC17" i="3"/>
  <c r="B47" i="3" s="1"/>
  <c r="AC14" i="3"/>
  <c r="K41" i="3" s="1"/>
  <c r="X14" i="3"/>
  <c r="AC6" i="3"/>
  <c r="C41" i="3" s="1"/>
  <c r="X6" i="3"/>
  <c r="X3" i="3"/>
  <c r="AC3" i="3"/>
  <c r="J33" i="3"/>
  <c r="F33" i="3"/>
  <c r="B39" i="3"/>
  <c r="J39" i="3"/>
  <c r="F39" i="3"/>
  <c r="J45" i="3"/>
  <c r="F45" i="3"/>
  <c r="B51" i="3"/>
  <c r="J51" i="3"/>
  <c r="F51" i="3"/>
  <c r="X9" i="3"/>
  <c r="AC9" i="3"/>
  <c r="F41" i="3" s="1"/>
  <c r="AC21" i="3"/>
  <c r="F47" i="3" s="1"/>
  <c r="X21" i="3"/>
  <c r="N50" i="3"/>
  <c r="N38" i="3"/>
  <c r="Y3" i="3" l="1"/>
  <c r="Y4" i="3"/>
  <c r="X4" i="3"/>
  <c r="AD3" i="3"/>
  <c r="AC4" i="3"/>
  <c r="B45" i="5" s="1"/>
  <c r="B46" i="5" s="1"/>
  <c r="N39" i="3"/>
  <c r="N45" i="3"/>
  <c r="N53" i="3"/>
  <c r="AC18" i="3"/>
  <c r="C47" i="3" s="1"/>
  <c r="X18" i="3"/>
  <c r="N51" i="3"/>
  <c r="B35" i="3"/>
  <c r="AD29" i="3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F30" i="5" l="1"/>
  <c r="F6" i="5"/>
  <c r="F18" i="5"/>
  <c r="K35" i="3"/>
  <c r="L35" i="3" s="1"/>
  <c r="E8" i="8"/>
  <c r="L9" i="14" s="1"/>
  <c r="G8" i="15" s="1"/>
  <c r="F3" i="7"/>
  <c r="G5" i="4"/>
  <c r="D9" i="2"/>
  <c r="D8" i="2"/>
  <c r="D22" i="1"/>
  <c r="N11" i="3"/>
  <c r="N14" i="3"/>
  <c r="N8" i="3"/>
  <c r="D21" i="1"/>
  <c r="D10" i="2" l="1"/>
  <c r="B2" i="14" s="1"/>
  <c r="L18" i="3"/>
  <c r="N26" i="5"/>
  <c r="N25" i="5"/>
  <c r="N24" i="5"/>
  <c r="N23" i="5"/>
  <c r="N22" i="5"/>
  <c r="N21" i="5"/>
  <c r="N20" i="5"/>
  <c r="N19" i="5"/>
  <c r="N18" i="5"/>
  <c r="N17" i="5"/>
  <c r="N16" i="5"/>
  <c r="N15" i="5"/>
  <c r="M26" i="5"/>
  <c r="M25" i="5"/>
  <c r="M24" i="5"/>
  <c r="M23" i="5"/>
  <c r="M22" i="5"/>
  <c r="M21" i="5"/>
  <c r="M20" i="5"/>
  <c r="M19" i="5"/>
  <c r="M18" i="5"/>
  <c r="M17" i="5"/>
  <c r="M16" i="5"/>
  <c r="L26" i="5"/>
  <c r="L25" i="5"/>
  <c r="L24" i="5"/>
  <c r="L23" i="5"/>
  <c r="L22" i="5"/>
  <c r="L21" i="5"/>
  <c r="L20" i="5"/>
  <c r="L19" i="5"/>
  <c r="L18" i="5"/>
  <c r="L17" i="5"/>
  <c r="L16" i="5"/>
  <c r="L15" i="5"/>
  <c r="N13" i="3"/>
  <c r="G4" i="4" s="1"/>
  <c r="N10" i="3"/>
  <c r="N7" i="3"/>
  <c r="B34" i="1"/>
  <c r="B33" i="1"/>
  <c r="B32" i="1"/>
  <c r="N24" i="3"/>
  <c r="B4" i="14" l="1"/>
  <c r="J10" i="14" s="1"/>
  <c r="E9" i="15" s="1"/>
  <c r="I6" i="14"/>
  <c r="B54" i="14"/>
  <c r="C2" i="7"/>
  <c r="F4" i="4"/>
  <c r="D12" i="1"/>
  <c r="E4" i="4"/>
  <c r="C12" i="1"/>
  <c r="D23" i="1"/>
  <c r="G6" i="4"/>
  <c r="B12" i="1"/>
  <c r="M15" i="5"/>
  <c r="E2" i="7"/>
  <c r="N27" i="3"/>
  <c r="N21" i="3"/>
  <c r="I19" i="14" l="1"/>
  <c r="D18" i="15" s="1"/>
  <c r="D5" i="15"/>
  <c r="C5" i="6"/>
  <c r="I8" i="14"/>
  <c r="D7" i="15" s="1"/>
  <c r="B5" i="14"/>
  <c r="C5" i="7"/>
  <c r="C8" i="6" s="1"/>
  <c r="K10" i="14"/>
  <c r="K8" i="14"/>
  <c r="F7" i="15" s="1"/>
  <c r="E5" i="7"/>
  <c r="F2" i="7"/>
  <c r="D6" i="8"/>
  <c r="D2" i="7"/>
  <c r="D5" i="7" s="1"/>
  <c r="B6" i="8"/>
  <c r="L10" i="14" l="1"/>
  <c r="F9" i="15"/>
  <c r="L8" i="14"/>
  <c r="F5" i="7"/>
  <c r="E6" i="8"/>
  <c r="E5" i="8" s="1"/>
  <c r="B9" i="8"/>
  <c r="B7" i="14" s="1"/>
  <c r="C6" i="8"/>
  <c r="J8" i="14" s="1"/>
  <c r="E7" i="15" s="1"/>
  <c r="D5" i="8"/>
  <c r="D10" i="8"/>
  <c r="B5" i="8"/>
  <c r="B10" i="8"/>
  <c r="F4" i="7"/>
  <c r="E9" i="8" s="1"/>
  <c r="L11" i="14" l="1"/>
  <c r="G10" i="15" s="1"/>
  <c r="G7" i="15"/>
  <c r="E10" i="8"/>
  <c r="E11" i="8" s="1"/>
  <c r="G9" i="15"/>
  <c r="M10" i="14"/>
  <c r="H9" i="15" s="1"/>
  <c r="M8" i="14"/>
  <c r="H7" i="15" s="1"/>
  <c r="C5" i="8"/>
  <c r="C10" i="8"/>
  <c r="C9" i="8"/>
  <c r="F6" i="7"/>
  <c r="L12" i="14" l="1"/>
  <c r="G11" i="15" s="1"/>
  <c r="L13" i="14"/>
  <c r="L20" i="14" l="1"/>
  <c r="G12" i="15"/>
  <c r="Y5" i="3"/>
  <c r="Y6" i="3" s="1"/>
  <c r="Y7" i="3" s="1"/>
  <c r="Y8" i="3" s="1"/>
  <c r="Y9" i="3" s="1"/>
  <c r="AC10" i="3"/>
  <c r="G41" i="3" s="1"/>
  <c r="N41" i="3" s="1"/>
  <c r="X10" i="3"/>
  <c r="AC22" i="3"/>
  <c r="X22" i="3"/>
  <c r="Y10" i="3" l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L22" i="14"/>
  <c r="G19" i="15"/>
  <c r="B8" i="8"/>
  <c r="AD17" i="3"/>
  <c r="G47" i="3"/>
  <c r="N47" i="3" s="1"/>
  <c r="AD5" i="3"/>
  <c r="C3" i="7" l="1"/>
  <c r="C6" i="6" s="1"/>
  <c r="D5" i="4"/>
  <c r="G21" i="15"/>
  <c r="E43" i="14"/>
  <c r="A37" i="14"/>
  <c r="B11" i="8"/>
  <c r="B6" i="14"/>
  <c r="B21" i="14" s="1"/>
  <c r="I9" i="14"/>
  <c r="D3" i="7"/>
  <c r="D4" i="7" s="1"/>
  <c r="D6" i="7" s="1"/>
  <c r="C8" i="8"/>
  <c r="E5" i="4"/>
  <c r="E6" i="4" s="1"/>
  <c r="F5" i="4"/>
  <c r="F6" i="4" s="1"/>
  <c r="D8" i="8"/>
  <c r="E3" i="7"/>
  <c r="E4" i="7" s="1"/>
  <c r="C4" i="7" l="1"/>
  <c r="E37" i="14"/>
  <c r="E55" i="14"/>
  <c r="E56" i="14" s="1"/>
  <c r="I11" i="14"/>
  <c r="D10" i="15" s="1"/>
  <c r="D8" i="15"/>
  <c r="D9" i="8"/>
  <c r="D11" i="8" s="1"/>
  <c r="E6" i="7"/>
  <c r="K9" i="14"/>
  <c r="J9" i="14"/>
  <c r="E8" i="15" s="1"/>
  <c r="C11" i="8"/>
  <c r="C7" i="6"/>
  <c r="C6" i="7"/>
  <c r="C9" i="6" s="1"/>
  <c r="K11" i="14" l="1"/>
  <c r="F10" i="15" s="1"/>
  <c r="F8" i="15"/>
  <c r="I12" i="14"/>
  <c r="I13" i="14" s="1"/>
  <c r="M9" i="14"/>
  <c r="J11" i="14"/>
  <c r="E10" i="15" s="1"/>
  <c r="K12" i="14" l="1"/>
  <c r="K13" i="14" s="1"/>
  <c r="D11" i="15"/>
  <c r="M11" i="14"/>
  <c r="H10" i="15" s="1"/>
  <c r="H8" i="15"/>
  <c r="I20" i="14"/>
  <c r="D12" i="15"/>
  <c r="J12" i="14"/>
  <c r="F11" i="15" l="1"/>
  <c r="M12" i="14"/>
  <c r="E11" i="15"/>
  <c r="K20" i="14"/>
  <c r="F12" i="15"/>
  <c r="I22" i="14"/>
  <c r="D19" i="15"/>
  <c r="J13" i="14"/>
  <c r="J20" i="14" l="1"/>
  <c r="E12" i="15"/>
  <c r="K22" i="14"/>
  <c r="F19" i="15"/>
  <c r="M13" i="14"/>
  <c r="H12" i="15" s="1"/>
  <c r="H11" i="15"/>
  <c r="D21" i="15"/>
  <c r="B43" i="14"/>
  <c r="A34" i="14"/>
  <c r="F21" i="15" l="1"/>
  <c r="D43" i="14"/>
  <c r="A36" i="14"/>
  <c r="J22" i="14"/>
  <c r="E19" i="15"/>
  <c r="E34" i="14"/>
  <c r="B55" i="14"/>
  <c r="B56" i="14" s="1"/>
  <c r="E21" i="15" l="1"/>
  <c r="C43" i="14"/>
  <c r="A35" i="14"/>
  <c r="E36" i="14"/>
  <c r="D55" i="14"/>
  <c r="D56" i="14" s="1"/>
  <c r="C55" i="14" l="1"/>
  <c r="C56" i="14" s="1"/>
  <c r="E51" i="14" s="1"/>
  <c r="E35" i="14"/>
  <c r="B46" i="14" l="1"/>
  <c r="E38" i="14"/>
  <c r="B51" i="14" s="1"/>
  <c r="L5" i="3" l="1"/>
  <c r="L4" i="3"/>
  <c r="D4" i="4" s="1"/>
  <c r="D6" i="4" s="1"/>
  <c r="C44" i="5"/>
  <c r="C46" i="5"/>
  <c r="C45" i="5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Факт прошлых перидов!$A$20:$F$40" type="102" refreshedVersion="5" minRefreshableVersion="5">
    <extLst>
      <ext xmlns:x15="http://schemas.microsoft.com/office/spreadsheetml/2010/11/main" uri="{DE250136-89BD-433C-8126-D09CA5730AF9}">
        <x15:connection id="Диапазон-bad4f51d-dccd-47a2-9873-ca6709c597f0" autoDelete="1">
          <x15:rangePr sourceName="_xlcn.WorksheetConnection_ФактпрошлыхперидовA20F40"/>
        </x15:connection>
      </ext>
    </extLst>
  </connection>
</connections>
</file>

<file path=xl/sharedStrings.xml><?xml version="1.0" encoding="utf-8"?>
<sst xmlns="http://schemas.openxmlformats.org/spreadsheetml/2006/main" count="467" uniqueCount="166">
  <si>
    <t>ИТОГО</t>
  </si>
  <si>
    <t xml:space="preserve">Дата начала проекта </t>
  </si>
  <si>
    <t xml:space="preserve">Число предлагаемых услуг </t>
  </si>
  <si>
    <t xml:space="preserve">Количество расчётных периодов </t>
  </si>
  <si>
    <t xml:space="preserve">Ставка дисконтирования </t>
  </si>
  <si>
    <t xml:space="preserve">Объем продаж: </t>
  </si>
  <si>
    <t>Месяц</t>
  </si>
  <si>
    <t>Год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</si>
  <si>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</si>
  <si>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</si>
  <si>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</si>
  <si>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</si>
  <si>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</si>
  <si>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</si>
  <si>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</si>
  <si>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</si>
  <si>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</si>
  <si>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</si>
  <si>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</si>
  <si>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</si>
  <si>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 xml:space="preserve">Итого по годам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</si>
  <si>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</si>
  <si>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</si>
  <si>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</si>
  <si>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</si>
  <si>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</si>
  <si>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</si>
  <si>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</si>
  <si>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</si>
  <si>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№п/п</t>
  </si>
  <si>
    <t>Наименование услуги</t>
  </si>
  <si>
    <t>Цена, руб</t>
  </si>
  <si>
    <t xml:space="preserve">Наименование конкурента </t>
  </si>
  <si>
    <t>Цена</t>
  </si>
  <si>
    <t>Средняя цена</t>
  </si>
  <si>
    <t>Максимальная цена</t>
  </si>
  <si>
    <t xml:space="preserve">Наименование </t>
  </si>
  <si>
    <t>Количество, шт</t>
  </si>
  <si>
    <t>Стоимость, руб</t>
  </si>
  <si>
    <t>Стоимость материалов "Первоначальная закупка"</t>
  </si>
  <si>
    <t>Январь</t>
  </si>
  <si>
    <t>Октябрь</t>
  </si>
  <si>
    <t>Ноябрь</t>
  </si>
  <si>
    <t>Декабрь</t>
  </si>
  <si>
    <t>Итого прибыль за месяц</t>
  </si>
  <si>
    <t>Выручка от продаж</t>
  </si>
  <si>
    <t>Расчеты себестоимости продукции</t>
  </si>
  <si>
    <t>Наименование показателя</t>
  </si>
  <si>
    <t>Расходы в год, руб.</t>
  </si>
  <si>
    <t xml:space="preserve">Себестоимость услуги, руб. </t>
  </si>
  <si>
    <t>Баланс доходов и расходов</t>
  </si>
  <si>
    <t>Издержки, тыс, руб</t>
  </si>
  <si>
    <t>Чистая прибыль</t>
  </si>
  <si>
    <t>Доход от продаж, тыс.  руб.</t>
  </si>
  <si>
    <t xml:space="preserve">План движения денежных средств </t>
  </si>
  <si>
    <t xml:space="preserve">Денежные потоки </t>
  </si>
  <si>
    <t>ПОСТУПЛЕНИЯ</t>
  </si>
  <si>
    <t xml:space="preserve">Выручка от реализации услуг </t>
  </si>
  <si>
    <t>Денежные потоки от операционной деятельности</t>
  </si>
  <si>
    <t>Операционные затраты</t>
  </si>
  <si>
    <t>Минимальная цена</t>
  </si>
  <si>
    <t>Количество услуг в год, шт</t>
  </si>
  <si>
    <t xml:space="preserve">Налоговые отчисления, руб. </t>
  </si>
  <si>
    <t xml:space="preserve">Балансовая прибыль, руб </t>
  </si>
  <si>
    <t>Расходы от уплаты налога</t>
  </si>
  <si>
    <t>Количество предоставленных услуг</t>
  </si>
  <si>
    <t xml:space="preserve"> </t>
  </si>
  <si>
    <t>-</t>
  </si>
  <si>
    <t>Доходы от продаж, руб</t>
  </si>
  <si>
    <t>Издержки, руб.</t>
  </si>
  <si>
    <t>Доход от продаж,  руб.</t>
  </si>
  <si>
    <t>год</t>
  </si>
  <si>
    <t>Бензин</t>
  </si>
  <si>
    <t>Сравнение роста значений по месяца 2023-2026 года</t>
  </si>
  <si>
    <t xml:space="preserve">Анализ оказания услуг за предыдущие периоды </t>
  </si>
  <si>
    <t>Выручка от оказанных услуг</t>
  </si>
  <si>
    <t>Итого в месяц</t>
  </si>
  <si>
    <t>Фактические данные оказания услуг по месяцам</t>
  </si>
  <si>
    <t>Инвестиция средств на развитие бизнеса</t>
  </si>
  <si>
    <t>Реклама</t>
  </si>
  <si>
    <t>Первоначальные затраты</t>
  </si>
  <si>
    <t>Остаток</t>
  </si>
  <si>
    <t xml:space="preserve">Стоимость безина </t>
  </si>
  <si>
    <t>Замена масла</t>
  </si>
  <si>
    <t>Сумма с нарастающим итогом</t>
  </si>
  <si>
    <t xml:space="preserve">Расстояние </t>
  </si>
  <si>
    <t>Налог транспортный</t>
  </si>
  <si>
    <t>Страховка</t>
  </si>
  <si>
    <t>Мойка</t>
  </si>
  <si>
    <t>Итого</t>
  </si>
  <si>
    <t>Итого за год</t>
  </si>
  <si>
    <t>Издержки</t>
  </si>
  <si>
    <t>Прибыль(убытки)</t>
  </si>
  <si>
    <t>Период окупаемости</t>
  </si>
  <si>
    <t>Начальные траты</t>
  </si>
  <si>
    <t>Нарастающий итог</t>
  </si>
  <si>
    <t>Итого кол-во месяцев</t>
  </si>
  <si>
    <t>Налог 6% от дохода</t>
  </si>
  <si>
    <t xml:space="preserve">Налог 6% от дохода </t>
  </si>
  <si>
    <t xml:space="preserve">Критерий NPV дает вероятностную оценку прироста стоимости предприятия в случае принятия данного проекта. NPV&gt;0. В данном случае имеется возможность принять проект к реализации </t>
  </si>
  <si>
    <t>Ct</t>
  </si>
  <si>
    <t>Io</t>
  </si>
  <si>
    <t>t</t>
  </si>
  <si>
    <t>PI</t>
  </si>
  <si>
    <t>NPV =</t>
  </si>
  <si>
    <r>
      <t>PI = NPV /- I</t>
    </r>
    <r>
      <rPr>
        <b/>
        <vertAlign val="subscript"/>
        <sz val="12"/>
        <color theme="1"/>
        <rFont val="Times New Roman"/>
        <family val="1"/>
        <charset val="204"/>
      </rPr>
      <t>0</t>
    </r>
    <r>
      <rPr>
        <b/>
        <sz val="12"/>
        <color theme="1"/>
        <rFont val="Times New Roman"/>
        <family val="1"/>
        <charset val="204"/>
      </rPr>
      <t xml:space="preserve"> + 1</t>
    </r>
  </si>
  <si>
    <t>Расчет индекса рентабельности</t>
  </si>
  <si>
    <t>IRR</t>
  </si>
  <si>
    <t>Чистый денежный поток NCFt (13+14-12)</t>
  </si>
  <si>
    <t>Расчет внутренней нормы доходности Проекта 1</t>
  </si>
  <si>
    <t>NPV 1</t>
  </si>
  <si>
    <t>Коэффициент дисконтирования</t>
  </si>
  <si>
    <r>
      <t>NCFt /(1+r)</t>
    </r>
    <r>
      <rPr>
        <b/>
        <vertAlign val="superscript"/>
        <sz val="12"/>
        <color theme="1"/>
        <rFont val="Times New Roman"/>
        <family val="1"/>
        <charset val="204"/>
      </rPr>
      <t>t</t>
    </r>
    <r>
      <rPr>
        <b/>
        <sz val="12"/>
        <color theme="1"/>
        <rFont val="Times New Roman"/>
        <family val="1"/>
        <charset val="204"/>
      </rPr>
      <t xml:space="preserve"> </t>
    </r>
  </si>
  <si>
    <r>
      <t>(1+r)</t>
    </r>
    <r>
      <rPr>
        <b/>
        <vertAlign val="superscript"/>
        <sz val="12"/>
        <color theme="1"/>
        <rFont val="Times New Roman"/>
        <family val="1"/>
        <charset val="204"/>
      </rPr>
      <t>t</t>
    </r>
  </si>
  <si>
    <t>1+r</t>
  </si>
  <si>
    <t>Чистый денежный поток NCFt</t>
  </si>
  <si>
    <t>Период</t>
  </si>
  <si>
    <t>Расчет чистой приведенной стоимости (NPV) Проекта 1</t>
  </si>
  <si>
    <t>NCF -  чистый денежный поток в периоде t</t>
  </si>
  <si>
    <r>
      <t xml:space="preserve">r - </t>
    </r>
    <r>
      <rPr>
        <sz val="12"/>
        <color theme="1"/>
        <rFont val="Times New Roman"/>
        <family val="1"/>
        <charset val="204"/>
      </rPr>
      <t xml:space="preserve">норма дисконта </t>
    </r>
  </si>
  <si>
    <t>Определим чистую приведенную стоимость для проектов 1:</t>
  </si>
  <si>
    <t>Поток от завершения проекта LC (10+11)</t>
  </si>
  <si>
    <t>Величина после налогового операционного потока CFt, руб</t>
  </si>
  <si>
    <t>Денежный поток от операций CF (6+9)</t>
  </si>
  <si>
    <t>Начальные капиталовложения (1+3)</t>
  </si>
  <si>
    <t>Денежный поток</t>
  </si>
  <si>
    <t>Высвобождение оборотного капитала</t>
  </si>
  <si>
    <t>Ликвидационная стоимость оборудования</t>
  </si>
  <si>
    <t>Чистый операционный доход (7-8)</t>
  </si>
  <si>
    <t xml:space="preserve">Налог </t>
  </si>
  <si>
    <t>Прибыль до налогообложения (4-5-6)</t>
  </si>
  <si>
    <t>Суммарная амортизация нового и старого оборудования</t>
  </si>
  <si>
    <t>Выручка от реализации Rt</t>
  </si>
  <si>
    <t>Увеличение оборотных средств</t>
  </si>
  <si>
    <t>Налог</t>
  </si>
  <si>
    <t>Закупка и установка оборудования</t>
  </si>
  <si>
    <t>Операционные расходы</t>
  </si>
  <si>
    <t>выручка от реализации проекта, руб</t>
  </si>
  <si>
    <t>Проект</t>
  </si>
  <si>
    <t>Выплаты и поступления по проекту</t>
  </si>
  <si>
    <t># пп</t>
  </si>
  <si>
    <t>Расчёт суммы амортизационных отчислений, руб</t>
  </si>
  <si>
    <t>Расчет линейным методом</t>
  </si>
  <si>
    <t>Денежные потоки по инвестиционному Проектам 1-2, руб.</t>
  </si>
  <si>
    <t>Первоначальная закупка материалов и оборудования</t>
  </si>
  <si>
    <t>Гарантия, лет</t>
  </si>
  <si>
    <t xml:space="preserve">Сумма, руб </t>
  </si>
  <si>
    <t>Наименование</t>
  </si>
  <si>
    <r>
      <t xml:space="preserve">n – </t>
    </r>
    <r>
      <rPr>
        <sz val="12"/>
        <color theme="1"/>
        <rFont val="Times New Roman"/>
        <family val="1"/>
        <charset val="204"/>
      </rPr>
      <t>число периодов реализации проекта = 3 лет</t>
    </r>
  </si>
  <si>
    <t xml:space="preserve">Процент займа </t>
  </si>
  <si>
    <t xml:space="preserve">Нет заемного капитала </t>
  </si>
  <si>
    <t xml:space="preserve">Налоговая ставка </t>
  </si>
  <si>
    <t xml:space="preserve">Денежные потоки по инвестиционному Проектам </t>
  </si>
  <si>
    <t>Бизнес план по открытию  "Aqua &amp; Arctic Adventures" - аренда катамаранов и снегоходов</t>
  </si>
  <si>
    <t>24.12.2023г</t>
  </si>
  <si>
    <t>Аренда катамарана</t>
  </si>
  <si>
    <t>Аренда снегохода</t>
  </si>
  <si>
    <t>Катамаран</t>
  </si>
  <si>
    <t>Снегоход</t>
  </si>
  <si>
    <t>Инвентарь</t>
  </si>
  <si>
    <t>Аренда места расположения</t>
  </si>
  <si>
    <t>Катамараны и снегоходы</t>
  </si>
  <si>
    <t>Количество предоставленных услуг аренды снегохода</t>
  </si>
  <si>
    <t>Количество предоставленных услуг аренды катамарана</t>
  </si>
  <si>
    <t>Снегоходы</t>
  </si>
  <si>
    <t>Катамараны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</si>
</sst>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-* #,##0.00_ _р_ _-;\-* #,##0.00_ _р_ _-;_-* &quot;-&quot;??_ _р_ _-;_-@_-"/>
  </numFmts>
  <fonts count="16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name val="ЏрЯмой Џроп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</cellStyleXfs>
  <cellXfs count="194">
    <xf numFmtId="0" fontId="0" fillId="0" borderId="0" xfId="0"/>
    <xf numFmtId="0" fontId="4" fillId="0" borderId="0" xfId="0" applyFont="1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1" fillId="0" borderId="0" xfId="0" applyFont="1" applyAlignment="1">
      <alignment horizontal="center"/>
    </xf>
    <xf numFmtId="0" fontId="3" fillId="0" borderId="0" xfId="2" applyAlignment="1">
      <alignment vertical="top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2" fontId="1" fillId="0" borderId="0" xfId="0" applyNumberFormat="1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164" fontId="1" fillId="0" borderId="0" xfId="1" applyNumberFormat="1" applyFont="1"/>
    <xf numFmtId="0" fontId="4" fillId="0" borderId="0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0" xfId="0" applyBorder="1"/>
    <xf numFmtId="0" fontId="1" fillId="0" borderId="1" xfId="0" applyNumberFormat="1" applyFont="1" applyBorder="1"/>
    <xf numFmtId="0" fontId="1" fillId="0" borderId="4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5" xfId="0" applyFont="1" applyBorder="1"/>
    <xf numFmtId="0" fontId="1" fillId="0" borderId="8" xfId="0" applyFont="1" applyFill="1" applyBorder="1"/>
    <xf numFmtId="0" fontId="1" fillId="0" borderId="0" xfId="0" applyFont="1" applyFill="1" applyBorder="1" applyAlignment="1"/>
    <xf numFmtId="0" fontId="4" fillId="0" borderId="1" xfId="0" applyFont="1" applyBorder="1" applyAlignment="1">
      <alignment wrapText="1"/>
    </xf>
    <xf numFmtId="1" fontId="4" fillId="0" borderId="0" xfId="0" applyNumberFormat="1" applyFont="1"/>
    <xf numFmtId="1" fontId="4" fillId="0" borderId="0" xfId="0" applyNumberFormat="1" applyFont="1" applyAlignment="1">
      <alignment wrapText="1"/>
    </xf>
    <xf numFmtId="1" fontId="4" fillId="0" borderId="1" xfId="0" applyNumberFormat="1" applyFont="1" applyBorder="1"/>
    <xf numFmtId="1" fontId="4" fillId="0" borderId="1" xfId="1" applyNumberFormat="1" applyFont="1" applyBorder="1"/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1" fillId="0" borderId="1" xfId="0" applyNumberFormat="1" applyFont="1" applyFill="1" applyBorder="1"/>
    <xf numFmtId="2" fontId="1" fillId="0" borderId="0" xfId="0" applyNumberFormat="1" applyFont="1" applyBorder="1"/>
    <xf numFmtId="0" fontId="1" fillId="0" borderId="0" xfId="0" applyFont="1" applyBorder="1" applyAlignment="1">
      <alignment horizontal="center" vertical="center" wrapText="1"/>
    </xf>
    <xf numFmtId="1" fontId="1" fillId="0" borderId="1" xfId="0" applyNumberFormat="1" applyFont="1" applyBorder="1"/>
    <xf numFmtId="1" fontId="1" fillId="0" borderId="4" xfId="0" applyNumberFormat="1" applyFont="1" applyBorder="1"/>
    <xf numFmtId="2" fontId="1" fillId="0" borderId="4" xfId="0" applyNumberFormat="1" applyFont="1" applyBorder="1"/>
    <xf numFmtId="1" fontId="1" fillId="0" borderId="0" xfId="0" applyNumberFormat="1" applyFont="1" applyBorder="1"/>
    <xf numFmtId="16" fontId="1" fillId="0" borderId="0" xfId="0" applyNumberFormat="1" applyFont="1" applyBorder="1"/>
    <xf numFmtId="1" fontId="1" fillId="0" borderId="9" xfId="0" applyNumberFormat="1" applyFont="1" applyBorder="1"/>
    <xf numFmtId="2" fontId="1" fillId="0" borderId="9" xfId="0" applyNumberFormat="1" applyFont="1" applyBorder="1"/>
    <xf numFmtId="0" fontId="7" fillId="0" borderId="1" xfId="0" applyFont="1" applyFill="1" applyBorder="1"/>
    <xf numFmtId="2" fontId="1" fillId="0" borderId="4" xfId="0" applyNumberFormat="1" applyFont="1" applyFill="1" applyBorder="1"/>
    <xf numFmtId="2" fontId="1" fillId="0" borderId="1" xfId="0" applyNumberFormat="1" applyFont="1" applyBorder="1" applyAlignment="1"/>
    <xf numFmtId="2" fontId="1" fillId="0" borderId="1" xfId="1" applyNumberFormat="1" applyFont="1" applyBorder="1"/>
    <xf numFmtId="2" fontId="1" fillId="0" borderId="1" xfId="0" applyNumberFormat="1" applyFont="1" applyFill="1" applyBorder="1" applyAlignment="1"/>
    <xf numFmtId="2" fontId="1" fillId="0" borderId="0" xfId="0" applyNumberFormat="1" applyFont="1" applyFill="1" applyBorder="1" applyAlignment="1"/>
    <xf numFmtId="2" fontId="1" fillId="0" borderId="0" xfId="0" applyNumberFormat="1" applyFont="1" applyBorder="1" applyAlignment="1"/>
    <xf numFmtId="2" fontId="4" fillId="0" borderId="1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1" fillId="0" borderId="4" xfId="1" applyNumberFormat="1" applyFont="1" applyBorder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1" xfId="0" applyNumberFormat="1" applyFont="1" applyBorder="1" applyAlignment="1">
      <alignment wrapText="1"/>
    </xf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2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/>
    <xf numFmtId="0" fontId="1" fillId="2" borderId="1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2" fontId="1" fillId="0" borderId="12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11" fillId="0" borderId="0" xfId="0" applyFont="1"/>
    <xf numFmtId="0" fontId="12" fillId="0" borderId="0" xfId="2" applyFont="1"/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7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Border="1"/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0" fillId="0" borderId="1" xfId="0" applyFont="1" applyBorder="1"/>
    <xf numFmtId="2" fontId="1" fillId="0" borderId="10" xfId="0" applyNumberFormat="1" applyFont="1" applyBorder="1" applyAlignment="1">
      <alignment vertical="center"/>
    </xf>
    <xf numFmtId="0" fontId="9" fillId="0" borderId="0" xfId="0" applyFont="1" applyAlignment="1">
      <alignment vertical="center" wrapText="1"/>
    </xf>
    <xf numFmtId="9" fontId="1" fillId="0" borderId="0" xfId="0" applyNumberFormat="1" applyFont="1"/>
    <xf numFmtId="0" fontId="1" fillId="3" borderId="1" xfId="0" applyFont="1" applyFill="1" applyBorder="1"/>
    <xf numFmtId="0" fontId="1" fillId="0" borderId="7" xfId="0" applyFont="1" applyBorder="1"/>
    <xf numFmtId="0" fontId="4" fillId="0" borderId="1" xfId="0" applyFont="1" applyBorder="1" applyAlignment="1">
      <alignment horizontal="center" vertical="center"/>
    </xf>
    <xf numFmtId="0" fontId="9" fillId="0" borderId="0" xfId="0" applyFont="1"/>
    <xf numFmtId="0" fontId="1" fillId="0" borderId="0" xfId="0" applyFont="1" applyAlignment="1"/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2" fontId="15" fillId="0" borderId="1" xfId="0" applyNumberFormat="1" applyFont="1" applyBorder="1"/>
    <xf numFmtId="2" fontId="15" fillId="0" borderId="1" xfId="1" applyNumberFormat="1" applyFont="1" applyBorder="1"/>
    <xf numFmtId="2" fontId="15" fillId="0" borderId="4" xfId="1" applyNumberFormat="1" applyFont="1" applyBorder="1"/>
    <xf numFmtId="2" fontId="15" fillId="0" borderId="4" xfId="0" applyNumberFormat="1" applyFont="1" applyFill="1" applyBorder="1"/>
    <xf numFmtId="2" fontId="15" fillId="0" borderId="1" xfId="0" applyNumberFormat="1" applyFont="1" applyBorder="1" applyAlignment="1">
      <alignment wrapText="1"/>
    </xf>
    <xf numFmtId="0" fontId="6" fillId="0" borderId="4" xfId="0" applyFont="1" applyBorder="1" applyAlignment="1">
      <alignment horizontal="center" vertical="center"/>
    </xf>
    <xf numFmtId="17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0" xfId="0" applyNumberFormat="1" applyFont="1" applyBorder="1" applyAlignment="1">
      <alignment horizontal="right"/>
    </xf>
    <xf numFmtId="2" fontId="4" fillId="0" borderId="0" xfId="0" applyNumberFormat="1" applyFont="1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7" fillId="0" borderId="21" xfId="0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Alignment="1">
      <alignment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</cellXfs>
  <cellStyles count="5">
    <cellStyle name="Comma_BS" xfId="4"/>
    <cellStyle name="Normal_Assump." xfId="3"/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7950040727668"/>
          <c:y val="4.9842961548998317E-2"/>
          <c:w val="0.84304348809847063"/>
          <c:h val="0.7828995112984616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'Данные для расчетов'!$A$31:$A$31</c:f>
              <c:strCache>
                <c:ptCount val="1"/>
                <c:pt idx="0">
                  <c:v>Катамараны и снегоходы</c:v>
                </c:pt>
              </c:strCache>
            </c:strRef>
          </c:cat>
          <c:val>
            <c:numRef>
              <c:f>'Данные для расчетов'!$B$31:$B$31</c:f>
              <c:numCache>
                <c:formatCode>0.00</c:formatCode>
                <c:ptCount val="1"/>
                <c:pt idx="0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43-48AF-A1D6-DD3226A2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100288"/>
        <c:axId val="265274112"/>
      </c:barChart>
      <c:catAx>
        <c:axId val="26510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274112"/>
        <c:crosses val="autoZero"/>
        <c:auto val="1"/>
        <c:lblAlgn val="ctr"/>
        <c:lblOffset val="100"/>
        <c:noMultiLvlLbl val="0"/>
      </c:catAx>
      <c:valAx>
        <c:axId val="265274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510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Анализ показателей за 202</a:t>
            </a:r>
            <a:r>
              <a:rPr lang="en-US"/>
              <a:t>3</a:t>
            </a:r>
            <a:r>
              <a:rPr lang="ru-RU"/>
              <a:t>-202</a:t>
            </a:r>
            <a:r>
              <a:rPr lang="en-US"/>
              <a:t>6</a:t>
            </a:r>
            <a:r>
              <a:rPr lang="ru-RU"/>
              <a:t> года</a:t>
            </a:r>
          </a:p>
          <a:p>
            <a:pPr>
              <a:defRPr/>
            </a:pPr>
            <a:r>
              <a:rPr lang="ru-RU"/>
              <a:t>(январь - декабрь)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'Факт прошлых перидов'!$K$14</c:f>
              <c:strCache>
                <c:ptCount val="1"/>
                <c:pt idx="0">
                  <c:v>2023</c:v>
                </c:pt>
              </c:strCache>
            </c:strRef>
          </c:tx>
          <c:invertIfNegative val="0"/>
          <c:cat>
            <c:strRef>
              <c:f>'Факт прошлых перидов'!$J$15:$J$26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'Факт прошлых перидов'!$K$15:$K$26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13-4FD6-8E90-B0F5BEA83431}"/>
            </c:ext>
          </c:extLst>
        </c:ser>
        <c:ser>
          <c:idx val="1"/>
          <c:order val="1"/>
          <c:tx>
            <c:strRef>
              <c:f>'Факт прошлых перидов'!$L$14</c:f>
              <c:strCache>
                <c:ptCount val="1"/>
                <c:pt idx="0">
                  <c:v>2024</c:v>
                </c:pt>
              </c:strCache>
            </c:strRef>
          </c:tx>
          <c:invertIfNegative val="0"/>
          <c:cat>
            <c:strRef>
              <c:f>'Факт прошлых перидов'!$J$15:$J$26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'Факт прошлых перидов'!$L$15:$L$26</c:f>
              <c:numCache>
                <c:formatCode>General</c:formatCode>
                <c:ptCount val="12"/>
                <c:pt idx="0">
                  <c:v>29</c:v>
                </c:pt>
                <c:pt idx="1">
                  <c:v>43</c:v>
                </c:pt>
                <c:pt idx="2">
                  <c:v>41</c:v>
                </c:pt>
                <c:pt idx="3">
                  <c:v>23</c:v>
                </c:pt>
                <c:pt idx="4">
                  <c:v>16</c:v>
                </c:pt>
                <c:pt idx="5">
                  <c:v>17</c:v>
                </c:pt>
                <c:pt idx="6">
                  <c:v>20</c:v>
                </c:pt>
                <c:pt idx="7">
                  <c:v>41</c:v>
                </c:pt>
                <c:pt idx="8">
                  <c:v>40</c:v>
                </c:pt>
                <c:pt idx="9">
                  <c:v>20</c:v>
                </c:pt>
                <c:pt idx="10">
                  <c:v>21</c:v>
                </c:pt>
                <c:pt idx="11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13-4FD6-8E90-B0F5BEA83431}"/>
            </c:ext>
          </c:extLst>
        </c:ser>
        <c:ser>
          <c:idx val="2"/>
          <c:order val="2"/>
          <c:tx>
            <c:strRef>
              <c:f>'Факт прошлых перидов'!$M$14</c:f>
              <c:strCache>
                <c:ptCount val="1"/>
                <c:pt idx="0">
                  <c:v>2025</c:v>
                </c:pt>
              </c:strCache>
            </c:strRef>
          </c:tx>
          <c:invertIfNegative val="0"/>
          <c:cat>
            <c:strRef>
              <c:f>'Факт прошлых перидов'!$J$15:$J$26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'Факт прошлых перидов'!$M$15:$M$26</c:f>
              <c:numCache>
                <c:formatCode>0</c:formatCode>
                <c:ptCount val="12"/>
                <c:pt idx="0">
                  <c:v>38</c:v>
                </c:pt>
                <c:pt idx="1">
                  <c:v>65</c:v>
                </c:pt>
                <c:pt idx="2">
                  <c:v>54</c:v>
                </c:pt>
                <c:pt idx="3">
                  <c:v>30</c:v>
                </c:pt>
                <c:pt idx="4">
                  <c:v>25</c:v>
                </c:pt>
                <c:pt idx="5">
                  <c:v>24</c:v>
                </c:pt>
                <c:pt idx="6">
                  <c:v>25</c:v>
                </c:pt>
                <c:pt idx="7">
                  <c:v>61</c:v>
                </c:pt>
                <c:pt idx="8">
                  <c:v>70</c:v>
                </c:pt>
                <c:pt idx="9">
                  <c:v>28</c:v>
                </c:pt>
                <c:pt idx="10">
                  <c:v>29</c:v>
                </c:pt>
                <c:pt idx="11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A4-4641-80DF-0AAC7C663513}"/>
            </c:ext>
          </c:extLst>
        </c:ser>
        <c:ser>
          <c:idx val="3"/>
          <c:order val="3"/>
          <c:tx>
            <c:strRef>
              <c:f>'Факт прошлых перидов'!$N$14</c:f>
              <c:strCache>
                <c:ptCount val="1"/>
                <c:pt idx="0">
                  <c:v>2026</c:v>
                </c:pt>
              </c:strCache>
            </c:strRef>
          </c:tx>
          <c:invertIfNegative val="0"/>
          <c:cat>
            <c:strRef>
              <c:f>'Факт прошлых перидов'!$J$15:$J$26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'Факт прошлых перидов'!$N$15:$N$26</c:f>
              <c:numCache>
                <c:formatCode>0</c:formatCode>
                <c:ptCount val="12"/>
                <c:pt idx="0">
                  <c:v>45</c:v>
                </c:pt>
                <c:pt idx="1">
                  <c:v>71</c:v>
                </c:pt>
                <c:pt idx="2">
                  <c:v>51</c:v>
                </c:pt>
                <c:pt idx="3">
                  <c:v>25</c:v>
                </c:pt>
                <c:pt idx="4">
                  <c:v>31</c:v>
                </c:pt>
                <c:pt idx="5">
                  <c:v>21</c:v>
                </c:pt>
                <c:pt idx="6">
                  <c:v>21</c:v>
                </c:pt>
                <c:pt idx="7">
                  <c:v>73</c:v>
                </c:pt>
                <c:pt idx="8">
                  <c:v>61</c:v>
                </c:pt>
                <c:pt idx="9">
                  <c:v>21</c:v>
                </c:pt>
                <c:pt idx="10">
                  <c:v>28</c:v>
                </c:pt>
                <c:pt idx="11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A4-4641-80DF-0AAC7C66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871552"/>
        <c:axId val="266873088"/>
      </c:barChart>
      <c:catAx>
        <c:axId val="2668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266873088"/>
        <c:crosses val="autoZero"/>
        <c:auto val="1"/>
        <c:lblAlgn val="ctr"/>
        <c:lblOffset val="100"/>
        <c:noMultiLvlLbl val="0"/>
      </c:catAx>
      <c:valAx>
        <c:axId val="266873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266871552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Точка</a:t>
            </a:r>
            <a:r>
              <a:rPr lang="ru-RU" baseline="0"/>
              <a:t> безубыточности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102335744673807E-2"/>
          <c:y val="0.18706685683404076"/>
          <c:w val="0.94218576702147028"/>
          <c:h val="0.77039113339655707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'[3]Показатели деятельности '!$S$3:$S$6</c:f>
              <c:strCache>
                <c:ptCount val="4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</c:strCache>
            </c:strRef>
          </c:cat>
          <c:val>
            <c:numRef>
              <c:f>'[3]Показатели деятельности '!$U$3:$U$6</c:f>
              <c:numCache>
                <c:formatCode>General</c:formatCode>
                <c:ptCount val="4"/>
                <c:pt idx="0">
                  <c:v>-46032.125</c:v>
                </c:pt>
                <c:pt idx="1">
                  <c:v>-30672.75</c:v>
                </c:pt>
                <c:pt idx="2">
                  <c:v>-8311.5</c:v>
                </c:pt>
                <c:pt idx="3">
                  <c:v>12550.6875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19-43E5-87E1-ABA22A2B0A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7131520"/>
        <c:axId val="267163136"/>
      </c:lineChart>
      <c:catAx>
        <c:axId val="2671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163136"/>
        <c:crosses val="autoZero"/>
        <c:auto val="1"/>
        <c:lblAlgn val="ctr"/>
        <c:lblOffset val="100"/>
        <c:noMultiLvlLbl val="0"/>
      </c:catAx>
      <c:valAx>
        <c:axId val="267163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713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14</xdr:col>
      <xdr:colOff>447675</xdr:colOff>
      <xdr:row>27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5200650"/>
          <a:ext cx="106680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Метод ориентации на цены конкурентов, которые предлагают схожие по содержанию и уровню качества услуги. Суть метода заключается в мониторинге предложений прямых конкурентов и установке конкурентоспособных цен.</a:t>
          </a:r>
        </a:p>
        <a:p>
          <a:r>
            <a:rPr lang="ru-RU" sz="1200">
              <a:latin typeface="Times New Roman" pitchFamily="18" charset="0"/>
              <a:cs typeface="Times New Roman" pitchFamily="18" charset="0"/>
            </a:rPr>
            <a:t/>
          </a:r>
          <a:br>
            <a:rPr lang="ru-RU" sz="1200">
              <a:latin typeface="Times New Roman" pitchFamily="18" charset="0"/>
              <a:cs typeface="Times New Roman" pitchFamily="18" charset="0"/>
            </a:rPr>
          </a:br>
          <a:endParaRPr lang="ru-RU" sz="12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514350</xdr:colOff>
      <xdr:row>28</xdr:row>
      <xdr:rowOff>52387</xdr:rowOff>
    </xdr:from>
    <xdr:to>
      <xdr:col>10</xdr:col>
      <xdr:colOff>107156</xdr:colOff>
      <xdr:row>40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405129</xdr:colOff>
      <xdr:row>28</xdr:row>
      <xdr:rowOff>174624</xdr:rowOff>
    </xdr:from>
    <xdr:to>
      <xdr:col>21</xdr:col>
      <xdr:colOff>415925</xdr:colOff>
      <xdr:row>52</xdr:row>
      <xdr:rowOff>6349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161925</xdr:colOff>
      <xdr:row>18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0" y="1905000"/>
          <a:ext cx="260032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Определим величину после налогового операционного потока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CFt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которая будет равна:</a:t>
          </a:r>
        </a:p>
        <a:p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CFt = (R –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(1-T) + At * T,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где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– выручка от реализации проекта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operating costs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– операционные расходы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– сумма амортизационных отчислений за период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– ставка налога на прибыль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24</xdr:row>
          <xdr:rowOff>0</xdr:rowOff>
        </xdr:from>
        <xdr:to>
          <xdr:col>0</xdr:col>
          <xdr:colOff>937260</xdr:colOff>
          <xdr:row>26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16</xdr:col>
      <xdr:colOff>106680</xdr:colOff>
      <xdr:row>17</xdr:row>
      <xdr:rowOff>60960</xdr:rowOff>
    </xdr:from>
    <xdr:to>
      <xdr:col>21</xdr:col>
      <xdr:colOff>568813</xdr:colOff>
      <xdr:row>30</xdr:row>
      <xdr:rowOff>80904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73;&#1080;&#1079;&#1085;&#1077;&#1089;-&#1087;&#1083;&#1072;&#1085;/1111111111111111/1111111111111111/raschet_biznes_plan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2;&#1089;&#1095;&#1077;&#1090;&#109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0;&#1052;&#1040;&#1061;&#1040;&#1070;&#1052;&#1040;&#1057;&#1054;/&#1056;&#1072;&#1089;&#1095;&#1077;&#1090;&#1099;_&#1055;&#1072;&#1085;&#1090;&#1077;&#1083;&#1077;&#1077;&#1074;%20&#1042;&#1089;&#1077;&#1074;&#1086;&#1083;&#1086;&#1076;_&#1055;-46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ибыль"/>
      <sheetName val="Баланс"/>
      <sheetName val="Кэш-фло"/>
      <sheetName val="Анализ"/>
      <sheetName val="Графики"/>
      <sheetName val="SENS"/>
      <sheetName val="Расчеты"/>
      <sheetName val="Лист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>
        <row r="63">
          <cell r="B63">
            <v>-6428.6866666666465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для расчетов"/>
      <sheetName val="Первоначальные затраты"/>
      <sheetName val="План на будущие периоды "/>
      <sheetName val="Расчеты себестоимости продукции"/>
      <sheetName val="Факт прошлых перидов"/>
      <sheetName val="Фактический баланс"/>
      <sheetName val="Прогнозный баланс"/>
      <sheetName val="План ДДС"/>
      <sheetName val="Факт ДДС"/>
      <sheetName val="Показатели деятельности "/>
    </sheetNames>
    <sheetDataSet>
      <sheetData sheetId="0"/>
      <sheetData sheetId="1"/>
      <sheetData sheetId="2">
        <row r="65">
          <cell r="K65">
            <v>3850000</v>
          </cell>
        </row>
        <row r="71">
          <cell r="B71">
            <v>4406000</v>
          </cell>
          <cell r="C71">
            <v>4075000</v>
          </cell>
          <cell r="D71">
            <v>3313000</v>
          </cell>
          <cell r="E71">
            <v>3314500</v>
          </cell>
          <cell r="F71">
            <v>3326000</v>
          </cell>
          <cell r="G71">
            <v>2903000</v>
          </cell>
          <cell r="H71">
            <v>3486000</v>
          </cell>
          <cell r="I71">
            <v>4241000</v>
          </cell>
          <cell r="J71">
            <v>4721000</v>
          </cell>
          <cell r="K71">
            <v>4090000</v>
          </cell>
          <cell r="L71">
            <v>3290000</v>
          </cell>
          <cell r="M71">
            <v>3533000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S3" t="str">
            <v>Декабрь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для расчетов"/>
      <sheetName val="Первоначальные затраты"/>
      <sheetName val="План на будущие периоды "/>
      <sheetName val="Расчеты себестоимости продукции"/>
      <sheetName val="Факт прошлых перидов"/>
      <sheetName val="Фактический баланс"/>
      <sheetName val="Прогнозный баланс"/>
      <sheetName val="План ДДС"/>
      <sheetName val="Факт ДДС"/>
      <sheetName val="Показатели деятельности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S3" t="str">
            <v>Март</v>
          </cell>
          <cell r="U3">
            <v>-46032.125</v>
          </cell>
        </row>
        <row r="4">
          <cell r="S4" t="str">
            <v>Апрель</v>
          </cell>
          <cell r="U4">
            <v>-30672.75</v>
          </cell>
        </row>
        <row r="5">
          <cell r="S5" t="str">
            <v>Май</v>
          </cell>
          <cell r="U5">
            <v>-8311.5</v>
          </cell>
        </row>
        <row r="6">
          <cell r="S6" t="str">
            <v>Июнь</v>
          </cell>
          <cell r="U6">
            <v>12550.6875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T63"/>
  <sheetViews>
    <sheetView tabSelected="1" zoomScale="70" zoomScaleNormal="70" workbookViewId="0">
      <selection sqref="A1:C1"/>
    </sheetView>
  </sheetViews>
  <sheetFormatPr defaultColWidth="8.88671875" defaultRowHeight="15.6"/>
  <cols>
    <col min="1" max="1" width="68.33203125" style="2" customWidth="1"/>
    <col min="2" max="2" width="16" style="2" bestFit="1" customWidth="1"/>
    <col min="3" max="3" width="14.5546875" style="2" customWidth="1"/>
    <col min="4" max="4" width="16" style="2" customWidth="1"/>
    <col min="5" max="5" width="9.5546875" style="2" bestFit="1" customWidth="1"/>
    <col min="6" max="6" width="8.88671875" style="2"/>
    <col min="7" max="7" width="12.5546875" style="2" customWidth="1"/>
    <col min="8" max="8" width="12.109375" style="2" customWidth="1"/>
    <col min="9" max="9" width="11.33203125" style="2" customWidth="1"/>
    <col min="10" max="10" width="10.5546875" style="2" customWidth="1"/>
    <col min="11" max="11" width="11.44140625" style="2" customWidth="1"/>
    <col min="12" max="12" width="11.109375" style="2" customWidth="1"/>
    <col min="13" max="13" width="15.44140625" style="2" customWidth="1"/>
    <col min="14" max="14" width="13.33203125" style="2" customWidth="1"/>
    <col min="15" max="15" width="11" style="2" customWidth="1"/>
    <col min="16" max="16384" width="8.88671875" style="2"/>
  </cols>
  <sheetData>
    <row r="1" spans="1:15">
      <c r="A1" s="151" t="s">
        <v>153</v>
      </c>
      <c r="B1" s="151"/>
      <c r="C1" s="151"/>
    </row>
    <row r="2" spans="1:15">
      <c r="E2" s="2" t="s">
        <v>149</v>
      </c>
      <c r="G2" s="2" t="s">
        <v>150</v>
      </c>
    </row>
    <row r="3" spans="1:15">
      <c r="A3" s="2" t="s">
        <v>1</v>
      </c>
      <c r="B3" s="2" t="s">
        <v>154</v>
      </c>
      <c r="E3" s="2" t="s">
        <v>151</v>
      </c>
      <c r="G3" s="123">
        <v>0.06</v>
      </c>
    </row>
    <row r="4" spans="1:15">
      <c r="A4" s="2" t="s">
        <v>3</v>
      </c>
      <c r="B4" s="2">
        <v>3</v>
      </c>
      <c r="C4" s="2" t="s">
        <v>71</v>
      </c>
    </row>
    <row r="5" spans="1:15">
      <c r="A5" s="2" t="s">
        <v>2</v>
      </c>
      <c r="B5" s="2">
        <v>2</v>
      </c>
    </row>
    <row r="7" spans="1:15">
      <c r="A7" s="2" t="s">
        <v>4</v>
      </c>
      <c r="B7" s="19" t="s">
        <v>66</v>
      </c>
      <c r="C7" s="6"/>
    </row>
    <row r="9" spans="1:15">
      <c r="A9" s="2" t="s">
        <v>5</v>
      </c>
    </row>
    <row r="11" spans="1:15">
      <c r="A11" s="3"/>
      <c r="B11" s="18">
        <v>2023</v>
      </c>
      <c r="C11" s="18">
        <v>2024</v>
      </c>
      <c r="D11" s="18">
        <v>2025</v>
      </c>
      <c r="E11" s="5"/>
      <c r="F11" s="3" t="s">
        <v>29</v>
      </c>
      <c r="G11" s="153" t="s">
        <v>30</v>
      </c>
      <c r="H11" s="153"/>
      <c r="I11" s="153"/>
      <c r="J11" s="153"/>
      <c r="K11" s="153"/>
      <c r="L11" s="153"/>
      <c r="M11" s="153"/>
      <c r="N11" s="153"/>
      <c r="O11" s="3" t="s">
        <v>31</v>
      </c>
    </row>
    <row r="12" spans="1:15">
      <c r="A12" s="14" t="s">
        <v>65</v>
      </c>
      <c r="B12" s="18">
        <f>SUM('План на будущие периоды '!K4:K5)</f>
        <v>10</v>
      </c>
      <c r="C12" s="18">
        <f>SUM('План на будущие периоды '!N7:N8)</f>
        <v>237</v>
      </c>
      <c r="D12" s="18">
        <f>SUM('План на будущие периоды '!N10:N11)</f>
        <v>321</v>
      </c>
      <c r="F12" s="3"/>
      <c r="G12" s="152"/>
      <c r="H12" s="152"/>
      <c r="I12" s="152"/>
      <c r="J12" s="152"/>
      <c r="K12" s="152"/>
      <c r="L12" s="152"/>
      <c r="M12" s="152"/>
      <c r="N12" s="152"/>
      <c r="O12" s="4"/>
    </row>
    <row r="13" spans="1:15">
      <c r="F13" s="52">
        <v>1</v>
      </c>
      <c r="G13" s="152" t="s">
        <v>155</v>
      </c>
      <c r="H13" s="152"/>
      <c r="I13" s="152"/>
      <c r="J13" s="152"/>
      <c r="K13" s="152"/>
      <c r="L13" s="152"/>
      <c r="M13" s="152"/>
      <c r="N13" s="152"/>
      <c r="O13" s="78">
        <v>500</v>
      </c>
    </row>
    <row r="14" spans="1:15">
      <c r="F14" s="53">
        <v>2</v>
      </c>
      <c r="G14" s="152" t="s">
        <v>156</v>
      </c>
      <c r="H14" s="152"/>
      <c r="I14" s="152"/>
      <c r="J14" s="152"/>
      <c r="K14" s="152"/>
      <c r="L14" s="152"/>
      <c r="M14" s="152"/>
      <c r="N14" s="152"/>
      <c r="O14" s="78">
        <v>3000</v>
      </c>
    </row>
    <row r="15" spans="1:15">
      <c r="A15" s="2" t="s">
        <v>39</v>
      </c>
      <c r="F15" s="57"/>
      <c r="G15" s="154"/>
      <c r="H15" s="154"/>
      <c r="I15" s="154"/>
      <c r="J15" s="154"/>
      <c r="K15" s="154"/>
      <c r="L15" s="154"/>
      <c r="M15" s="154"/>
      <c r="N15" s="154"/>
      <c r="O15" s="58"/>
    </row>
    <row r="16" spans="1:15" s="11" customFormat="1">
      <c r="A16" s="15" t="s">
        <v>36</v>
      </c>
      <c r="B16" s="15" t="s">
        <v>37</v>
      </c>
      <c r="C16" s="15" t="s">
        <v>31</v>
      </c>
      <c r="D16" s="15" t="s">
        <v>38</v>
      </c>
      <c r="F16" s="55"/>
      <c r="G16" s="155"/>
      <c r="H16" s="155"/>
      <c r="I16" s="155"/>
      <c r="J16" s="155"/>
      <c r="K16" s="155"/>
      <c r="L16" s="155"/>
      <c r="M16" s="155"/>
      <c r="N16" s="155"/>
      <c r="O16" s="50"/>
    </row>
    <row r="17" spans="1:15" ht="15" customHeight="1">
      <c r="A17" s="127" t="s">
        <v>157</v>
      </c>
      <c r="B17" s="77">
        <v>10</v>
      </c>
      <c r="C17" s="78">
        <v>10000</v>
      </c>
      <c r="D17" s="78">
        <f>B17*C17</f>
        <v>100000</v>
      </c>
      <c r="F17" s="56"/>
      <c r="G17" s="155"/>
      <c r="H17" s="155"/>
      <c r="I17" s="155"/>
      <c r="J17" s="155"/>
      <c r="K17" s="155"/>
      <c r="L17" s="155"/>
      <c r="M17" s="155"/>
      <c r="N17" s="155"/>
      <c r="O17" s="50"/>
    </row>
    <row r="18" spans="1:15">
      <c r="A18" s="77" t="s">
        <v>158</v>
      </c>
      <c r="B18" s="77">
        <v>5</v>
      </c>
      <c r="C18" s="78">
        <v>40000</v>
      </c>
      <c r="D18" s="78">
        <f t="shared" ref="D18:D20" si="0">B18*C18</f>
        <v>200000</v>
      </c>
      <c r="F18" s="21"/>
      <c r="G18" s="155"/>
      <c r="H18" s="155"/>
      <c r="I18" s="155"/>
      <c r="J18" s="155"/>
      <c r="K18" s="155"/>
      <c r="L18" s="155"/>
      <c r="M18" s="155"/>
      <c r="N18" s="155"/>
      <c r="O18" s="50"/>
    </row>
    <row r="19" spans="1:15">
      <c r="A19" s="77" t="s">
        <v>159</v>
      </c>
      <c r="B19" s="77">
        <v>50</v>
      </c>
      <c r="C19" s="78">
        <v>5000</v>
      </c>
      <c r="D19" s="78">
        <f t="shared" si="0"/>
        <v>250000</v>
      </c>
      <c r="F19" s="21"/>
      <c r="G19" s="155"/>
      <c r="H19" s="155"/>
      <c r="I19" s="155"/>
      <c r="J19" s="155"/>
      <c r="K19" s="155"/>
      <c r="L19" s="155"/>
      <c r="M19" s="155"/>
      <c r="N19" s="155"/>
      <c r="O19" s="50"/>
    </row>
    <row r="20" spans="1:15">
      <c r="A20" s="77" t="s">
        <v>160</v>
      </c>
      <c r="B20" s="77">
        <v>1</v>
      </c>
      <c r="C20" s="78">
        <v>5000</v>
      </c>
      <c r="D20" s="78">
        <f t="shared" si="0"/>
        <v>5000</v>
      </c>
      <c r="F20" s="21"/>
      <c r="G20" s="38"/>
      <c r="H20" s="38"/>
      <c r="I20" s="38"/>
      <c r="J20" s="38"/>
      <c r="K20" s="38"/>
      <c r="L20" s="38"/>
      <c r="M20" s="38"/>
      <c r="N20" s="38"/>
      <c r="O20" s="50"/>
    </row>
    <row r="21" spans="1:15">
      <c r="A21" s="3" t="s">
        <v>72</v>
      </c>
      <c r="B21" s="3">
        <v>71</v>
      </c>
      <c r="C21" s="4">
        <v>49</v>
      </c>
      <c r="D21" s="4">
        <f t="shared" ref="D21:D22" si="1">B21*C21</f>
        <v>3479</v>
      </c>
    </row>
    <row r="22" spans="1:15">
      <c r="A22" s="3" t="s">
        <v>79</v>
      </c>
      <c r="B22" s="3">
        <v>1</v>
      </c>
      <c r="C22" s="4">
        <v>15000</v>
      </c>
      <c r="D22" s="4">
        <f t="shared" si="1"/>
        <v>15000</v>
      </c>
    </row>
    <row r="23" spans="1:15">
      <c r="A23" s="153" t="s">
        <v>0</v>
      </c>
      <c r="B23" s="153"/>
      <c r="C23" s="153"/>
      <c r="D23" s="4">
        <f>SUM(D17:D22)</f>
        <v>573479</v>
      </c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5">
      <c r="A30" s="12" t="s">
        <v>32</v>
      </c>
      <c r="B30" s="12" t="s">
        <v>33</v>
      </c>
      <c r="E30" s="1"/>
      <c r="F30" s="1"/>
      <c r="G30" s="1"/>
      <c r="H30" s="1"/>
      <c r="I30" s="1"/>
      <c r="J30" s="1"/>
      <c r="K30" s="1"/>
      <c r="L30" s="1"/>
    </row>
    <row r="31" spans="1:15">
      <c r="A31" s="77" t="s">
        <v>161</v>
      </c>
      <c r="B31" s="4">
        <v>1000</v>
      </c>
      <c r="E31" s="1"/>
      <c r="F31" s="1"/>
      <c r="G31" s="1"/>
      <c r="H31" s="1"/>
      <c r="I31" s="1"/>
      <c r="J31" s="1"/>
      <c r="K31" s="1"/>
      <c r="L31" s="1"/>
    </row>
    <row r="32" spans="1:15">
      <c r="A32" s="2" t="s">
        <v>60</v>
      </c>
      <c r="B32" s="13">
        <f>MIN(B31:B31)</f>
        <v>1000</v>
      </c>
      <c r="E32" s="1"/>
      <c r="F32" s="1"/>
      <c r="G32" s="1"/>
      <c r="H32" s="1"/>
      <c r="I32" s="1"/>
      <c r="J32" s="1"/>
      <c r="K32" s="1"/>
      <c r="L32" s="1"/>
    </row>
    <row r="33" spans="1:13">
      <c r="A33" s="2" t="s">
        <v>34</v>
      </c>
      <c r="B33" s="13">
        <f>AVERAGE(B31:B31)</f>
        <v>1000</v>
      </c>
      <c r="E33" s="1"/>
      <c r="F33" s="1"/>
      <c r="G33" s="1"/>
      <c r="H33" s="1"/>
      <c r="I33" s="1"/>
      <c r="J33" s="1"/>
      <c r="K33" s="1"/>
      <c r="L33" s="1"/>
    </row>
    <row r="34" spans="1:13">
      <c r="A34" s="2" t="s">
        <v>35</v>
      </c>
      <c r="B34" s="13">
        <f>MAX(B31:B31)</f>
        <v>1000</v>
      </c>
      <c r="E34" s="1"/>
      <c r="F34" s="1"/>
      <c r="G34" s="1"/>
      <c r="H34" s="1"/>
      <c r="I34" s="1"/>
      <c r="J34" s="1"/>
      <c r="K34" s="1"/>
      <c r="L34" s="1"/>
    </row>
    <row r="35" spans="1:1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3">
      <c r="A43" s="67"/>
      <c r="B43" s="21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1"/>
    </row>
    <row r="44" spans="1:13" ht="57" customHeight="1">
      <c r="A44" s="20"/>
      <c r="B44" s="68"/>
      <c r="C44" s="68"/>
      <c r="D44" s="68"/>
      <c r="E44" s="68"/>
      <c r="F44" s="68"/>
      <c r="G44" s="68"/>
      <c r="H44" s="68"/>
      <c r="I44" s="68"/>
      <c r="J44" s="68"/>
      <c r="K44" s="21"/>
      <c r="L44" s="21"/>
      <c r="M44" s="21"/>
    </row>
    <row r="45" spans="1:13" ht="72.75" customHeight="1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</row>
    <row r="46" spans="1:13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</row>
    <row r="47" spans="1:13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</row>
    <row r="48" spans="1:1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20">
      <c r="A49" s="20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21"/>
      <c r="O49" s="21"/>
      <c r="P49" s="21"/>
      <c r="Q49" s="21"/>
      <c r="R49" s="21"/>
      <c r="S49" s="21"/>
      <c r="T49" s="21"/>
    </row>
    <row r="50" spans="1:20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spans="1:20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spans="1:20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spans="1:20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spans="1:20" s="21" customFormat="1">
      <c r="A54" s="20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</row>
    <row r="55" spans="1:20" s="21" customFormat="1">
      <c r="A55" s="20"/>
    </row>
    <row r="56" spans="1:20" s="21" customFormat="1">
      <c r="A56" s="20"/>
    </row>
    <row r="57" spans="1:20" s="21" customFormat="1">
      <c r="A57" s="20"/>
    </row>
    <row r="58" spans="1:20" s="21" customFormat="1"/>
    <row r="59" spans="1:20" s="21" customFormat="1">
      <c r="N59" s="2"/>
      <c r="O59" s="2"/>
      <c r="P59" s="2"/>
      <c r="Q59" s="2"/>
      <c r="R59" s="2"/>
      <c r="S59" s="2"/>
      <c r="T59" s="2"/>
    </row>
    <row r="60" spans="1:20" s="21" customFormat="1">
      <c r="N60" s="2"/>
      <c r="O60" s="2"/>
      <c r="P60" s="2"/>
      <c r="Q60" s="2"/>
      <c r="R60" s="2"/>
      <c r="S60" s="2"/>
      <c r="T60" s="2"/>
    </row>
    <row r="61" spans="1:20" s="21" customFormat="1">
      <c r="A61" s="20"/>
      <c r="N61" s="2"/>
      <c r="O61" s="2"/>
      <c r="P61" s="2"/>
      <c r="Q61" s="2"/>
      <c r="R61" s="2"/>
      <c r="S61" s="2"/>
      <c r="T61" s="2"/>
    </row>
    <row r="62" spans="1:20" s="21" customFormat="1">
      <c r="A62" s="20"/>
      <c r="N62" s="2"/>
      <c r="O62" s="2"/>
      <c r="P62" s="2"/>
      <c r="Q62" s="2"/>
      <c r="R62" s="2"/>
      <c r="S62" s="2"/>
      <c r="T62" s="2"/>
    </row>
    <row r="63" spans="1:20" s="21" customFormat="1">
      <c r="N63" s="2"/>
      <c r="O63" s="2"/>
      <c r="P63" s="2"/>
      <c r="Q63" s="2"/>
      <c r="R63" s="2"/>
      <c r="S63" s="2"/>
      <c r="T63" s="2"/>
    </row>
  </sheetData>
  <mergeCells count="11">
    <mergeCell ref="A1:C1"/>
    <mergeCell ref="G12:N12"/>
    <mergeCell ref="G13:N13"/>
    <mergeCell ref="G11:N11"/>
    <mergeCell ref="A23:C23"/>
    <mergeCell ref="G14:N14"/>
    <mergeCell ref="G15:N15"/>
    <mergeCell ref="G16:N16"/>
    <mergeCell ref="G17:N17"/>
    <mergeCell ref="G18:N18"/>
    <mergeCell ref="G19:N19"/>
  </mergeCells>
  <pageMargins left="0.25" right="0.25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2"/>
  <sheetViews>
    <sheetView zoomScale="50" zoomScaleNormal="50" workbookViewId="0"/>
  </sheetViews>
  <sheetFormatPr defaultColWidth="9.109375" defaultRowHeight="15.6"/>
  <cols>
    <col min="1" max="1" width="61" style="76" bestFit="1" customWidth="1"/>
    <col min="2" max="2" width="13.44140625" style="76" bestFit="1" customWidth="1"/>
    <col min="3" max="3" width="14.44140625" style="76" bestFit="1" customWidth="1"/>
    <col min="4" max="5" width="13.6640625" style="76" bestFit="1" customWidth="1"/>
    <col min="6" max="6" width="5.44140625" style="76" bestFit="1" customWidth="1"/>
    <col min="7" max="7" width="57" style="76" customWidth="1"/>
    <col min="8" max="8" width="8.5546875" style="76" bestFit="1" customWidth="1"/>
    <col min="9" max="9" width="11.33203125" style="76" bestFit="1" customWidth="1"/>
    <col min="10" max="12" width="13.6640625" style="76" bestFit="1" customWidth="1"/>
    <col min="13" max="13" width="11.88671875" style="76" bestFit="1" customWidth="1"/>
    <col min="14" max="17" width="9.109375" style="76"/>
    <col min="18" max="18" width="6.88671875" style="76" customWidth="1"/>
    <col min="19" max="19" width="13" style="76" customWidth="1"/>
    <col min="20" max="20" width="16" style="76" customWidth="1"/>
    <col min="21" max="21" width="18.6640625" style="76" customWidth="1"/>
    <col min="22" max="16384" width="9.109375" style="76"/>
  </cols>
  <sheetData>
    <row r="1" spans="1:22">
      <c r="A1" s="88" t="s">
        <v>147</v>
      </c>
      <c r="B1" s="118" t="s">
        <v>146</v>
      </c>
      <c r="C1" s="77" t="s">
        <v>145</v>
      </c>
      <c r="F1" s="89"/>
      <c r="G1" s="81"/>
      <c r="H1" s="83"/>
      <c r="I1" s="81"/>
      <c r="J1" s="81"/>
      <c r="K1" s="81"/>
      <c r="L1" s="81"/>
      <c r="M1" s="81"/>
      <c r="N1" s="81"/>
      <c r="O1" s="81"/>
      <c r="P1" s="81"/>
      <c r="Q1" s="81"/>
      <c r="R1" s="81"/>
      <c r="S1" s="157" t="s">
        <v>93</v>
      </c>
      <c r="T1" s="158"/>
      <c r="U1" s="158"/>
      <c r="V1" s="159"/>
    </row>
    <row r="2" spans="1:22" ht="46.8">
      <c r="A2" s="118" t="s">
        <v>144</v>
      </c>
      <c r="B2" s="119">
        <f>'Первоначальные затраты'!D10</f>
        <v>573479</v>
      </c>
      <c r="C2" s="88">
        <v>5</v>
      </c>
      <c r="F2" s="179" t="s">
        <v>143</v>
      </c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72" t="s">
        <v>94</v>
      </c>
      <c r="T2" s="78">
        <f>-B2</f>
        <v>-573479</v>
      </c>
      <c r="U2" s="72" t="s">
        <v>95</v>
      </c>
      <c r="V2" s="72" t="s">
        <v>96</v>
      </c>
    </row>
    <row r="3" spans="1:22" ht="16.2" thickBot="1">
      <c r="A3" s="79" t="s">
        <v>142</v>
      </c>
      <c r="B3" s="77"/>
      <c r="C3" s="117"/>
      <c r="F3" s="89"/>
      <c r="G3" s="81"/>
      <c r="H3" s="83"/>
      <c r="I3" s="81"/>
      <c r="J3" s="81"/>
      <c r="K3" s="81"/>
      <c r="L3" s="81"/>
      <c r="M3" s="81"/>
      <c r="N3" s="81"/>
      <c r="O3" s="81"/>
      <c r="P3" s="81"/>
      <c r="Q3" s="81"/>
      <c r="R3" s="81"/>
      <c r="S3" s="77" t="s">
        <v>43</v>
      </c>
      <c r="T3" s="78">
        <f>'[2]План на будущие периоды '!$K$65</f>
        <v>3850000</v>
      </c>
      <c r="U3" s="78">
        <f>T3+T2</f>
        <v>3276521</v>
      </c>
      <c r="V3" s="77">
        <v>1</v>
      </c>
    </row>
    <row r="4" spans="1:22" ht="16.2" thickBot="1">
      <c r="A4" s="77" t="s">
        <v>141</v>
      </c>
      <c r="B4" s="78">
        <f>B2/C2</f>
        <v>114695.8</v>
      </c>
      <c r="C4" s="117"/>
      <c r="F4" s="191" t="s">
        <v>140</v>
      </c>
      <c r="G4" s="191" t="s">
        <v>139</v>
      </c>
      <c r="H4" s="191" t="s">
        <v>138</v>
      </c>
      <c r="I4" s="180" t="s">
        <v>116</v>
      </c>
      <c r="J4" s="181"/>
      <c r="K4" s="181"/>
      <c r="L4" s="181"/>
      <c r="M4" s="182" t="s">
        <v>89</v>
      </c>
      <c r="S4" s="77" t="s">
        <v>40</v>
      </c>
      <c r="T4" s="78">
        <f>'[2]План на будущие периоды '!$B$71</f>
        <v>4406000</v>
      </c>
      <c r="U4" s="78">
        <f t="shared" ref="U4:U15" si="0">T4+T3</f>
        <v>8256000</v>
      </c>
      <c r="V4" s="77">
        <v>1</v>
      </c>
    </row>
    <row r="5" spans="1:22" ht="16.2" thickBot="1">
      <c r="A5" s="120" t="s">
        <v>137</v>
      </c>
      <c r="B5" s="78">
        <f>'Прогнозный баланс'!C2</f>
        <v>20000</v>
      </c>
      <c r="C5" s="117"/>
      <c r="F5" s="192"/>
      <c r="G5" s="192"/>
      <c r="H5" s="193"/>
      <c r="I5" s="91">
        <v>1</v>
      </c>
      <c r="J5" s="91">
        <v>2</v>
      </c>
      <c r="K5" s="91">
        <v>3</v>
      </c>
      <c r="L5" s="91">
        <v>4</v>
      </c>
      <c r="M5" s="183"/>
      <c r="S5" s="77" t="s">
        <v>21</v>
      </c>
      <c r="T5" s="78">
        <f>'[2]План на будущие периоды '!$C$71</f>
        <v>4075000</v>
      </c>
      <c r="U5" s="78">
        <f t="shared" si="0"/>
        <v>8481000</v>
      </c>
      <c r="V5" s="77">
        <v>1</v>
      </c>
    </row>
    <row r="6" spans="1:22" ht="16.2" thickBot="1">
      <c r="A6" s="80" t="s">
        <v>136</v>
      </c>
      <c r="B6" s="78">
        <f>'План ДДС'!B8</f>
        <v>15650</v>
      </c>
      <c r="C6" s="117"/>
      <c r="F6" s="92">
        <v>1</v>
      </c>
      <c r="G6" s="93" t="s">
        <v>135</v>
      </c>
      <c r="H6" s="94">
        <v>1</v>
      </c>
      <c r="I6" s="95">
        <f>B2</f>
        <v>573479</v>
      </c>
      <c r="J6" s="93"/>
      <c r="K6" s="93"/>
      <c r="L6" s="93"/>
      <c r="M6" s="93"/>
      <c r="S6" s="77" t="s">
        <v>22</v>
      </c>
      <c r="T6" s="78">
        <f>'[2]План на будущие периоды '!$D$71</f>
        <v>3313000</v>
      </c>
      <c r="U6" s="78">
        <f t="shared" si="0"/>
        <v>7388000</v>
      </c>
      <c r="V6" s="77">
        <v>1</v>
      </c>
    </row>
    <row r="7" spans="1:22" ht="16.2" thickBot="1">
      <c r="A7" s="77" t="s">
        <v>134</v>
      </c>
      <c r="B7" s="78">
        <f>'План ДДС'!B9</f>
        <v>1200</v>
      </c>
      <c r="C7" s="117"/>
      <c r="F7" s="92">
        <v>3</v>
      </c>
      <c r="G7" s="93" t="s">
        <v>133</v>
      </c>
      <c r="H7" s="94">
        <v>1</v>
      </c>
      <c r="I7" s="96">
        <v>0</v>
      </c>
      <c r="J7" s="81"/>
      <c r="K7" s="97"/>
      <c r="L7" s="93"/>
      <c r="M7" s="93"/>
      <c r="S7" s="77" t="s">
        <v>23</v>
      </c>
      <c r="T7" s="78">
        <f>'[2]План на будущие периоды '!$E$71</f>
        <v>3314500</v>
      </c>
      <c r="U7" s="78">
        <f t="shared" si="0"/>
        <v>6627500</v>
      </c>
      <c r="V7" s="77">
        <f>SUM(V3:V6)</f>
        <v>4</v>
      </c>
    </row>
    <row r="8" spans="1:22" ht="16.2" thickBot="1">
      <c r="F8" s="92">
        <v>4</v>
      </c>
      <c r="G8" s="93" t="s">
        <v>132</v>
      </c>
      <c r="H8" s="94">
        <v>1</v>
      </c>
      <c r="I8" s="121">
        <f>'Прогнозный баланс'!C2</f>
        <v>20000</v>
      </c>
      <c r="J8" s="98">
        <f>'План ДДС'!C6</f>
        <v>237400</v>
      </c>
      <c r="K8" s="98">
        <f>'Прогнозный баланс'!E2</f>
        <v>339100</v>
      </c>
      <c r="L8" s="98">
        <f>'Прогнозный баланс'!F2</f>
        <v>452900</v>
      </c>
      <c r="M8" s="95">
        <f>SUM(J8:L8)</f>
        <v>1029400</v>
      </c>
      <c r="S8" s="77" t="s">
        <v>24</v>
      </c>
      <c r="T8" s="78">
        <f>'[2]План на будущие периоды '!$F$71</f>
        <v>3326000</v>
      </c>
      <c r="U8" s="78">
        <f t="shared" si="0"/>
        <v>6640500</v>
      </c>
      <c r="V8" s="77">
        <v>2</v>
      </c>
    </row>
    <row r="9" spans="1:22" ht="16.2" thickBot="1">
      <c r="F9" s="92">
        <v>5</v>
      </c>
      <c r="G9" s="93" t="s">
        <v>59</v>
      </c>
      <c r="H9" s="94">
        <v>1</v>
      </c>
      <c r="I9" s="121">
        <f>'План ДДС'!B8</f>
        <v>15650</v>
      </c>
      <c r="J9" s="95">
        <f>'План ДДС'!C8</f>
        <v>206435.375</v>
      </c>
      <c r="K9" s="95">
        <f>'План ДДС'!D8</f>
        <v>224181.5625</v>
      </c>
      <c r="L9" s="95">
        <f>'План ДДС'!E8</f>
        <v>234930.9375</v>
      </c>
      <c r="M9" s="95">
        <f>SUM(J9:L9)</f>
        <v>665547.875</v>
      </c>
      <c r="S9" s="77" t="s">
        <v>25</v>
      </c>
      <c r="T9" s="78">
        <f>'[2]План на будущие периоды '!$G$71</f>
        <v>2903000</v>
      </c>
      <c r="U9" s="78">
        <f t="shared" si="0"/>
        <v>6229000</v>
      </c>
      <c r="V9" s="77">
        <v>3</v>
      </c>
    </row>
    <row r="10" spans="1:22" ht="16.2" thickBot="1">
      <c r="F10" s="92">
        <v>6</v>
      </c>
      <c r="G10" s="99" t="s">
        <v>131</v>
      </c>
      <c r="H10" s="94">
        <v>1</v>
      </c>
      <c r="I10" s="93"/>
      <c r="J10" s="95">
        <f>B4</f>
        <v>114695.8</v>
      </c>
      <c r="K10" s="95">
        <f>J10</f>
        <v>114695.8</v>
      </c>
      <c r="L10" s="95">
        <f>K10</f>
        <v>114695.8</v>
      </c>
      <c r="M10" s="95">
        <f>SUM(J10:L10)</f>
        <v>344087.4</v>
      </c>
      <c r="S10" s="77" t="s">
        <v>26</v>
      </c>
      <c r="T10" s="78">
        <f>'[2]План на будущие периоды '!$H$71</f>
        <v>3486000</v>
      </c>
      <c r="U10" s="78">
        <f t="shared" si="0"/>
        <v>6389000</v>
      </c>
      <c r="V10" s="77">
        <v>1</v>
      </c>
    </row>
    <row r="11" spans="1:22" ht="16.2" thickBot="1">
      <c r="F11" s="92">
        <v>7</v>
      </c>
      <c r="G11" s="93" t="s">
        <v>130</v>
      </c>
      <c r="H11" s="94">
        <v>1</v>
      </c>
      <c r="I11" s="95">
        <f>I8-I9-I10</f>
        <v>4350</v>
      </c>
      <c r="J11" s="95">
        <f>J8-J9-J10</f>
        <v>-83731.175000000003</v>
      </c>
      <c r="K11" s="95">
        <f>K8-K9-K10</f>
        <v>222.63749999999709</v>
      </c>
      <c r="L11" s="95">
        <f>L8-L9-L10</f>
        <v>103273.2625</v>
      </c>
      <c r="M11" s="95">
        <f>M8-M9-M10</f>
        <v>19764.724999999977</v>
      </c>
      <c r="S11" s="77" t="s">
        <v>27</v>
      </c>
      <c r="T11" s="78">
        <f>'[2]План на будущие периоды '!$I$71</f>
        <v>4241000</v>
      </c>
      <c r="U11" s="78">
        <f t="shared" si="0"/>
        <v>7727000</v>
      </c>
      <c r="V11" s="77">
        <v>3</v>
      </c>
    </row>
    <row r="12" spans="1:22" ht="16.2" thickBot="1">
      <c r="F12" s="92">
        <v>8</v>
      </c>
      <c r="G12" s="93" t="s">
        <v>129</v>
      </c>
      <c r="H12" s="94">
        <v>1</v>
      </c>
      <c r="I12" s="93">
        <f>I11*0.06</f>
        <v>261</v>
      </c>
      <c r="J12" s="93">
        <f t="shared" ref="J12:L12" si="1">J11*0.06</f>
        <v>-5023.8705</v>
      </c>
      <c r="K12" s="93">
        <f t="shared" si="1"/>
        <v>13.358249999999824</v>
      </c>
      <c r="L12" s="93">
        <f t="shared" si="1"/>
        <v>6196.3957499999997</v>
      </c>
      <c r="M12" s="95">
        <f>SUM(J12:L12)</f>
        <v>1185.8834999999999</v>
      </c>
      <c r="S12" s="77" t="s">
        <v>28</v>
      </c>
      <c r="T12" s="78">
        <f>'[2]План на будущие периоды '!$J$71</f>
        <v>4721000</v>
      </c>
      <c r="U12" s="78">
        <f t="shared" si="0"/>
        <v>8962000</v>
      </c>
      <c r="V12" s="77">
        <v>2</v>
      </c>
    </row>
    <row r="13" spans="1:22" ht="16.2" thickBot="1">
      <c r="F13" s="143">
        <v>9</v>
      </c>
      <c r="G13" s="144" t="s">
        <v>128</v>
      </c>
      <c r="H13" s="145">
        <v>1</v>
      </c>
      <c r="I13" s="146">
        <f>I11-I12</f>
        <v>4089</v>
      </c>
      <c r="J13" s="146">
        <f>J11-J12</f>
        <v>-78707.304499999998</v>
      </c>
      <c r="K13" s="146">
        <f>K11-K12</f>
        <v>209.27924999999726</v>
      </c>
      <c r="L13" s="146">
        <f>L11-L12</f>
        <v>97076.866750000001</v>
      </c>
      <c r="M13" s="146">
        <f>M11-M12</f>
        <v>18578.841499999977</v>
      </c>
      <c r="S13" s="77" t="s">
        <v>41</v>
      </c>
      <c r="T13" s="78">
        <f>'[2]План на будущие периоды '!$K$71</f>
        <v>4090000</v>
      </c>
      <c r="U13" s="78">
        <f t="shared" si="0"/>
        <v>8811000</v>
      </c>
      <c r="V13" s="77">
        <v>1</v>
      </c>
    </row>
    <row r="14" spans="1:22" ht="16.2" thickBot="1">
      <c r="F14" s="100">
        <v>10</v>
      </c>
      <c r="G14" s="147" t="s">
        <v>127</v>
      </c>
      <c r="H14" s="148">
        <v>1</v>
      </c>
      <c r="I14" s="147">
        <v>0</v>
      </c>
      <c r="J14" s="149">
        <v>0</v>
      </c>
      <c r="K14" s="149">
        <v>0</v>
      </c>
      <c r="L14" s="149">
        <v>0</v>
      </c>
      <c r="M14" s="149">
        <v>0</v>
      </c>
      <c r="S14" s="77" t="s">
        <v>42</v>
      </c>
      <c r="T14" s="78">
        <f>'[2]План на будущие периоды '!$L$71</f>
        <v>3290000</v>
      </c>
      <c r="U14" s="78">
        <f t="shared" si="0"/>
        <v>7380000</v>
      </c>
      <c r="V14" s="77">
        <v>2</v>
      </c>
    </row>
    <row r="15" spans="1:22" ht="16.2" thickBot="1">
      <c r="F15" s="100">
        <v>11</v>
      </c>
      <c r="G15" s="147" t="s">
        <v>126</v>
      </c>
      <c r="H15" s="148">
        <v>1</v>
      </c>
      <c r="I15" s="147">
        <v>0</v>
      </c>
      <c r="J15" s="149">
        <v>0</v>
      </c>
      <c r="K15" s="149">
        <v>0</v>
      </c>
      <c r="L15" s="149">
        <v>0</v>
      </c>
      <c r="M15" s="149">
        <v>0</v>
      </c>
      <c r="S15" s="77" t="s">
        <v>43</v>
      </c>
      <c r="T15" s="78">
        <f>'[2]План на будущие периоды '!$M$71</f>
        <v>3533000</v>
      </c>
      <c r="U15" s="78">
        <f t="shared" si="0"/>
        <v>6823000</v>
      </c>
      <c r="V15" s="77">
        <v>2</v>
      </c>
    </row>
    <row r="16" spans="1:22">
      <c r="F16" s="89"/>
      <c r="G16" s="81"/>
      <c r="H16" s="83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 ht="16.2" thickBot="1">
      <c r="F17" s="179" t="s">
        <v>125</v>
      </c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</row>
    <row r="18" spans="1:18" ht="16.2" thickBot="1">
      <c r="F18" s="89"/>
      <c r="G18" s="81"/>
      <c r="H18" s="83"/>
      <c r="I18" s="150">
        <v>1</v>
      </c>
      <c r="J18" s="150">
        <v>2</v>
      </c>
      <c r="K18" s="150">
        <v>3</v>
      </c>
      <c r="L18" s="150">
        <v>4</v>
      </c>
    </row>
    <row r="19" spans="1:18" ht="16.2" thickBot="1">
      <c r="F19" s="100">
        <v>12</v>
      </c>
      <c r="G19" s="101" t="s">
        <v>124</v>
      </c>
      <c r="H19" s="102">
        <v>1</v>
      </c>
      <c r="I19" s="101">
        <f>I6+I7</f>
        <v>573479</v>
      </c>
      <c r="J19" s="101"/>
      <c r="K19" s="101"/>
      <c r="L19" s="101"/>
    </row>
    <row r="20" spans="1:18" ht="16.2" thickBot="1">
      <c r="F20" s="92">
        <v>13</v>
      </c>
      <c r="G20" s="93" t="s">
        <v>123</v>
      </c>
      <c r="H20" s="94">
        <v>1</v>
      </c>
      <c r="I20" s="95">
        <f>I10+I13</f>
        <v>4089</v>
      </c>
      <c r="J20" s="95">
        <f>J10+J13</f>
        <v>35988.495500000005</v>
      </c>
      <c r="K20" s="95">
        <f>K10+K13</f>
        <v>114905.07925</v>
      </c>
      <c r="L20" s="95">
        <f>L10+L13</f>
        <v>211772.66675</v>
      </c>
    </row>
    <row r="21" spans="1:18" ht="16.2" thickBot="1">
      <c r="A21" s="90" t="s">
        <v>122</v>
      </c>
      <c r="B21" s="76">
        <f>(B5-B6)*(1-B7)+B4*B7</f>
        <v>132419310</v>
      </c>
      <c r="F21" s="92">
        <v>14</v>
      </c>
      <c r="G21" s="93" t="s">
        <v>121</v>
      </c>
      <c r="H21" s="94">
        <v>1</v>
      </c>
      <c r="I21" s="93"/>
      <c r="J21" s="96">
        <f>J14+J15</f>
        <v>0</v>
      </c>
      <c r="K21" s="96">
        <f>K14+K15</f>
        <v>0</v>
      </c>
      <c r="L21" s="96">
        <f>L14+L15</f>
        <v>0</v>
      </c>
    </row>
    <row r="22" spans="1:18" ht="16.2" thickBot="1">
      <c r="F22" s="92">
        <v>15</v>
      </c>
      <c r="G22" s="103" t="s">
        <v>108</v>
      </c>
      <c r="H22" s="92">
        <v>1</v>
      </c>
      <c r="I22" s="92">
        <f>I20+I21-I19</f>
        <v>-569390</v>
      </c>
      <c r="J22" s="92">
        <f>J20+J21-J19</f>
        <v>35988.495500000005</v>
      </c>
      <c r="K22" s="92">
        <f>K20+K21-K19</f>
        <v>114905.07925</v>
      </c>
      <c r="L22" s="92">
        <f>L20+L21-L19</f>
        <v>211772.66675</v>
      </c>
    </row>
    <row r="24" spans="1:18">
      <c r="A24" s="185" t="s">
        <v>120</v>
      </c>
      <c r="B24" s="185"/>
      <c r="C24" s="185"/>
      <c r="D24" s="185"/>
      <c r="E24" s="81"/>
      <c r="F24" s="81"/>
      <c r="G24" s="81"/>
      <c r="H24" s="81"/>
      <c r="I24" s="81"/>
      <c r="J24" s="81"/>
      <c r="K24" s="81"/>
      <c r="L24" s="81"/>
    </row>
    <row r="25" spans="1:18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1:18">
      <c r="A26" s="82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1:18">
      <c r="A27" s="104" t="s">
        <v>119</v>
      </c>
      <c r="B27" s="82">
        <v>2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1:18">
      <c r="A28" s="186" t="s">
        <v>148</v>
      </c>
      <c r="B28" s="186"/>
      <c r="C28" s="186"/>
      <c r="D28" s="186"/>
      <c r="E28" s="81"/>
      <c r="F28" s="81"/>
      <c r="G28" s="105"/>
      <c r="H28" s="81"/>
      <c r="I28" s="81"/>
      <c r="J28" s="81"/>
      <c r="K28" s="81"/>
      <c r="L28" s="81"/>
    </row>
    <row r="29" spans="1:18">
      <c r="A29" s="187" t="s">
        <v>118</v>
      </c>
      <c r="B29" s="187"/>
      <c r="C29" s="187"/>
      <c r="D29" s="187"/>
      <c r="E29" s="81"/>
      <c r="F29" s="81"/>
      <c r="H29" s="81"/>
      <c r="I29" s="81"/>
      <c r="J29" s="81"/>
      <c r="K29" s="81"/>
      <c r="L29" s="81"/>
    </row>
    <row r="30" spans="1:18">
      <c r="A30" s="81"/>
      <c r="B30" s="81"/>
      <c r="C30" s="81"/>
      <c r="D30" s="81"/>
      <c r="E30" s="85"/>
      <c r="F30" s="81"/>
      <c r="G30" s="106"/>
      <c r="H30" s="81"/>
      <c r="I30" s="81"/>
      <c r="J30" s="81"/>
      <c r="K30" s="81"/>
      <c r="L30" s="81"/>
    </row>
    <row r="31" spans="1:18">
      <c r="A31" s="179" t="s">
        <v>117</v>
      </c>
      <c r="B31" s="179"/>
      <c r="C31" s="179"/>
      <c r="D31" s="179"/>
      <c r="E31" s="179"/>
      <c r="F31" s="81"/>
      <c r="G31" s="105"/>
      <c r="H31" s="81"/>
      <c r="I31" s="81"/>
      <c r="J31" s="81"/>
      <c r="K31" s="81"/>
      <c r="L31" s="81"/>
    </row>
    <row r="32" spans="1:18" ht="16.2" thickBot="1">
      <c r="A32" s="81"/>
      <c r="B32" s="81"/>
      <c r="C32" s="81"/>
      <c r="D32" s="81"/>
      <c r="E32" s="81"/>
      <c r="F32" s="81"/>
      <c r="G32" s="81"/>
      <c r="H32" s="81" t="s">
        <v>116</v>
      </c>
      <c r="I32" s="81"/>
      <c r="J32" s="81"/>
      <c r="K32" s="81"/>
      <c r="L32" s="81"/>
    </row>
    <row r="33" spans="1:12" ht="18.600000000000001" thickBot="1">
      <c r="A33" s="107" t="s">
        <v>115</v>
      </c>
      <c r="B33" s="108" t="s">
        <v>114</v>
      </c>
      <c r="C33" s="108" t="s">
        <v>102</v>
      </c>
      <c r="D33" s="108" t="s">
        <v>113</v>
      </c>
      <c r="E33" s="108" t="s">
        <v>112</v>
      </c>
      <c r="F33" s="81"/>
      <c r="H33" s="81">
        <v>1</v>
      </c>
      <c r="I33" s="81">
        <v>2</v>
      </c>
      <c r="J33" s="81">
        <v>3</v>
      </c>
      <c r="K33" s="81">
        <v>4</v>
      </c>
      <c r="L33" s="81"/>
    </row>
    <row r="34" spans="1:12" ht="16.2" thickBot="1">
      <c r="A34" s="96">
        <f>I22</f>
        <v>-569390</v>
      </c>
      <c r="B34" s="96">
        <f>1+$B$27</f>
        <v>3</v>
      </c>
      <c r="C34" s="96">
        <v>1</v>
      </c>
      <c r="D34" s="96">
        <f>B34^C34</f>
        <v>3</v>
      </c>
      <c r="E34" s="96">
        <f>A34/D34</f>
        <v>-189796.66666666666</v>
      </c>
      <c r="F34" s="81"/>
      <c r="G34" s="81" t="s">
        <v>111</v>
      </c>
      <c r="H34" s="87">
        <f>1/(1+$B$27)^H33</f>
        <v>0.33333333333333331</v>
      </c>
      <c r="I34" s="87">
        <f>1/(1+$B$27)^I33</f>
        <v>0.1111111111111111</v>
      </c>
      <c r="J34" s="87">
        <f>1/(1+$B$27)^J33</f>
        <v>3.7037037037037035E-2</v>
      </c>
      <c r="K34" s="87">
        <f>1/(1+$B$27)^K33</f>
        <v>1.2345679012345678E-2</v>
      </c>
      <c r="L34" s="81"/>
    </row>
    <row r="35" spans="1:12" ht="16.2" thickBot="1">
      <c r="A35" s="96">
        <f>J22</f>
        <v>35988.495500000005</v>
      </c>
      <c r="B35" s="96">
        <f>1+$B$27</f>
        <v>3</v>
      </c>
      <c r="C35" s="96">
        <v>2</v>
      </c>
      <c r="D35" s="96">
        <f>B35^C35</f>
        <v>9</v>
      </c>
      <c r="E35" s="96">
        <f>A35/D35</f>
        <v>3998.7217222222225</v>
      </c>
      <c r="F35" s="81"/>
      <c r="G35" s="81"/>
      <c r="H35" s="81"/>
      <c r="I35" s="81"/>
      <c r="J35" s="81"/>
      <c r="K35" s="81"/>
      <c r="L35" s="81"/>
    </row>
    <row r="36" spans="1:12" ht="16.2" thickBot="1">
      <c r="A36" s="96">
        <f>K22</f>
        <v>114905.07925</v>
      </c>
      <c r="B36" s="96">
        <f>1+$B$27</f>
        <v>3</v>
      </c>
      <c r="C36" s="96">
        <v>3</v>
      </c>
      <c r="D36" s="96">
        <f>B36^C36</f>
        <v>27</v>
      </c>
      <c r="E36" s="96">
        <f>A36/D36</f>
        <v>4255.7436759259253</v>
      </c>
      <c r="F36" s="81"/>
      <c r="H36" s="81"/>
      <c r="I36" s="81"/>
      <c r="J36" s="81"/>
      <c r="K36" s="81"/>
      <c r="L36" s="81"/>
    </row>
    <row r="37" spans="1:12" ht="16.2" thickBot="1">
      <c r="A37" s="96">
        <f>L22</f>
        <v>211772.66675</v>
      </c>
      <c r="B37" s="96">
        <f>1+$B$27</f>
        <v>3</v>
      </c>
      <c r="C37" s="96">
        <v>4</v>
      </c>
      <c r="D37" s="96">
        <f>B37^C37</f>
        <v>81</v>
      </c>
      <c r="E37" s="96">
        <f>A37/D37</f>
        <v>2614.4773672839506</v>
      </c>
      <c r="F37" s="81"/>
      <c r="G37" s="81"/>
      <c r="H37" s="81"/>
      <c r="I37" s="81"/>
      <c r="J37" s="81"/>
      <c r="K37" s="81"/>
      <c r="L37" s="81"/>
    </row>
    <row r="38" spans="1:12" ht="16.2" thickBot="1">
      <c r="A38" s="109" t="s">
        <v>110</v>
      </c>
      <c r="B38" s="97"/>
      <c r="C38" s="110"/>
      <c r="D38" s="110"/>
      <c r="E38" s="111">
        <f>SUM(E34:E37)</f>
        <v>-178927.72390123457</v>
      </c>
      <c r="F38" s="81"/>
      <c r="G38" s="83"/>
      <c r="H38" s="81"/>
      <c r="I38" s="81"/>
      <c r="J38" s="81"/>
      <c r="K38" s="84"/>
      <c r="L38" s="81"/>
    </row>
    <row r="39" spans="1:12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1:12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1:12">
      <c r="A41" s="188" t="s">
        <v>109</v>
      </c>
      <c r="B41" s="188"/>
      <c r="C41" s="188"/>
      <c r="D41" s="188"/>
      <c r="E41" s="188"/>
      <c r="F41" s="188"/>
      <c r="G41" s="188"/>
      <c r="H41" s="81"/>
      <c r="I41" s="81"/>
      <c r="J41" s="81"/>
      <c r="K41" s="81"/>
      <c r="L41" s="81"/>
    </row>
    <row r="42" spans="1:12" ht="16.2" thickBot="1">
      <c r="A42" s="81"/>
      <c r="B42" s="81"/>
      <c r="C42" s="81"/>
      <c r="D42" s="81"/>
      <c r="E42" s="81"/>
      <c r="F42" s="81"/>
      <c r="G42" s="86"/>
      <c r="H42" s="81"/>
      <c r="I42" s="81"/>
      <c r="J42" s="81"/>
      <c r="K42" s="81"/>
      <c r="L42" s="81"/>
    </row>
    <row r="43" spans="1:12" ht="16.2" thickBot="1">
      <c r="A43" s="112" t="s">
        <v>108</v>
      </c>
      <c r="B43" s="113">
        <f>I22</f>
        <v>-569390</v>
      </c>
      <c r="C43" s="113">
        <f>J22</f>
        <v>35988.495500000005</v>
      </c>
      <c r="D43" s="113">
        <f>K22</f>
        <v>114905.07925</v>
      </c>
      <c r="E43" s="113">
        <f>L22</f>
        <v>211772.66675</v>
      </c>
    </row>
    <row r="44" spans="1:12">
      <c r="A44" s="81"/>
      <c r="B44" s="85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1:12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1:12">
      <c r="A46" s="85" t="s">
        <v>107</v>
      </c>
      <c r="B46" s="114">
        <f>H34+E35/(E35-E37)*(J34-H34)</f>
        <v>-0.52258956206241947</v>
      </c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1:12">
      <c r="A47" s="85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1:12">
      <c r="A48" s="188" t="s">
        <v>106</v>
      </c>
      <c r="B48" s="188"/>
      <c r="C48" s="188"/>
      <c r="D48" s="188"/>
      <c r="E48" s="188"/>
      <c r="F48" s="188"/>
      <c r="G48" s="188"/>
      <c r="H48" s="81"/>
      <c r="I48" s="81"/>
      <c r="J48" s="81"/>
      <c r="K48" s="81"/>
      <c r="L48" s="81"/>
    </row>
    <row r="49" spans="1:12" ht="18">
      <c r="A49" s="189" t="s">
        <v>105</v>
      </c>
      <c r="B49" s="189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1:12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1:12">
      <c r="A51" s="85" t="s">
        <v>104</v>
      </c>
      <c r="B51" s="114">
        <f>E38</f>
        <v>-178927.72390123457</v>
      </c>
      <c r="C51" s="81"/>
      <c r="D51" s="81" t="s">
        <v>103</v>
      </c>
      <c r="E51" s="87">
        <f>C56+D56+E56</f>
        <v>0.58207656583252576</v>
      </c>
      <c r="F51" s="81"/>
      <c r="G51" s="81"/>
      <c r="H51" s="81"/>
      <c r="I51" s="81"/>
      <c r="J51" s="81"/>
      <c r="K51" s="81"/>
      <c r="L51" s="81"/>
    </row>
    <row r="52" spans="1:12">
      <c r="A52" s="85"/>
      <c r="B52" s="114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1:12">
      <c r="A53" s="85" t="s">
        <v>102</v>
      </c>
      <c r="B53" s="115">
        <v>1</v>
      </c>
      <c r="C53" s="81">
        <v>2</v>
      </c>
      <c r="D53" s="81">
        <v>3</v>
      </c>
      <c r="E53" s="81">
        <v>4</v>
      </c>
      <c r="F53" s="81"/>
      <c r="G53" s="81"/>
      <c r="H53" s="81"/>
      <c r="I53" s="81"/>
      <c r="J53" s="81"/>
      <c r="K53" s="81"/>
      <c r="L53" s="81"/>
    </row>
    <row r="54" spans="1:12">
      <c r="A54" s="85" t="s">
        <v>101</v>
      </c>
      <c r="B54" s="114">
        <f>B2</f>
        <v>573479</v>
      </c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1:12">
      <c r="A55" s="85" t="s">
        <v>100</v>
      </c>
      <c r="B55" s="81">
        <f>A34</f>
        <v>-569390</v>
      </c>
      <c r="C55" s="81">
        <f>A35</f>
        <v>35988.495500000005</v>
      </c>
      <c r="D55" s="81">
        <f>A36</f>
        <v>114905.07925</v>
      </c>
      <c r="E55" s="81">
        <f>A37</f>
        <v>211772.66675</v>
      </c>
      <c r="F55" s="81"/>
      <c r="G55" s="81"/>
      <c r="H55" s="81"/>
      <c r="I55" s="81"/>
      <c r="J55" s="81"/>
      <c r="K55" s="81"/>
      <c r="L55" s="81"/>
    </row>
    <row r="56" spans="1:12">
      <c r="B56" s="87">
        <f>B55*(1+H$34)^(-B53)/$B$54</f>
        <v>-0.74465237611141821</v>
      </c>
      <c r="C56" s="87">
        <f>C55*(1+I$34)^(-C53)/$B$54</f>
        <v>5.0831296969897764E-2</v>
      </c>
      <c r="D56" s="87">
        <f>D55*(1+J$34)^(-D53)/$B$54</f>
        <v>0.17965483336542573</v>
      </c>
      <c r="E56" s="87">
        <f>E55*(1+K$34)^(-E53)/$B$54</f>
        <v>0.35159043549720231</v>
      </c>
      <c r="F56" s="81"/>
      <c r="G56" s="81"/>
      <c r="H56" s="81"/>
      <c r="I56" s="81"/>
      <c r="J56" s="81"/>
      <c r="K56" s="81"/>
      <c r="L56" s="81"/>
    </row>
    <row r="57" spans="1:12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1:12" ht="31.5" customHeight="1">
      <c r="A58" s="190" t="s">
        <v>99</v>
      </c>
      <c r="B58" s="190"/>
      <c r="C58" s="190"/>
      <c r="D58" s="190"/>
      <c r="E58" s="190"/>
      <c r="F58" s="190"/>
      <c r="G58" s="190"/>
      <c r="H58" s="81"/>
      <c r="I58" s="81"/>
      <c r="J58" s="81"/>
      <c r="K58" s="81"/>
      <c r="L58" s="81"/>
    </row>
    <row r="59" spans="1:12">
      <c r="A59" s="122"/>
      <c r="B59" s="122"/>
      <c r="C59" s="122"/>
      <c r="D59" s="122"/>
      <c r="E59" s="122"/>
      <c r="F59" s="122"/>
      <c r="G59" s="122"/>
      <c r="H59" s="81"/>
      <c r="I59" s="81"/>
      <c r="J59" s="81"/>
      <c r="K59" s="81"/>
      <c r="L59" s="81"/>
    </row>
    <row r="60" spans="1:12">
      <c r="A60" s="86"/>
      <c r="B60" s="86"/>
      <c r="C60" s="184"/>
      <c r="D60" s="184"/>
      <c r="E60" s="86"/>
      <c r="F60" s="86"/>
      <c r="G60" s="86"/>
      <c r="H60" s="81"/>
      <c r="I60" s="81"/>
      <c r="J60" s="81"/>
      <c r="K60" s="81"/>
      <c r="L60" s="81"/>
    </row>
    <row r="61" spans="1:12">
      <c r="A61" s="116"/>
    </row>
    <row r="62" spans="1:12">
      <c r="A62" s="116"/>
    </row>
  </sheetData>
  <mergeCells count="17">
    <mergeCell ref="S1:V1"/>
    <mergeCell ref="F2:R2"/>
    <mergeCell ref="F4:F5"/>
    <mergeCell ref="G4:G5"/>
    <mergeCell ref="H4:H5"/>
    <mergeCell ref="F17:R17"/>
    <mergeCell ref="I4:L4"/>
    <mergeCell ref="M4:M5"/>
    <mergeCell ref="C60:D60"/>
    <mergeCell ref="A24:D24"/>
    <mergeCell ref="A28:D28"/>
    <mergeCell ref="A29:D29"/>
    <mergeCell ref="A31:E31"/>
    <mergeCell ref="A41:G41"/>
    <mergeCell ref="A48:G48"/>
    <mergeCell ref="A49:B49"/>
    <mergeCell ref="A58:G58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937260</xdr:colOff>
                <xdr:row>26</xdr:row>
                <xdr:rowOff>38100</xdr:rowOff>
              </to>
            </anchor>
          </objectPr>
        </oleObject>
      </mc:Choice>
      <mc:Fallback>
        <oleObject progId="Equation.3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150" zoomScaleNormal="150" workbookViewId="0">
      <selection sqref="A1:D1"/>
    </sheetView>
  </sheetViews>
  <sheetFormatPr defaultRowHeight="14.4"/>
  <cols>
    <col min="1" max="1" width="28.6640625" bestFit="1" customWidth="1"/>
    <col min="2" max="2" width="16" bestFit="1" customWidth="1"/>
    <col min="3" max="3" width="10.109375" bestFit="1" customWidth="1"/>
    <col min="4" max="4" width="15.77734375" bestFit="1" customWidth="1"/>
    <col min="5" max="5" width="16.88671875" bestFit="1" customWidth="1"/>
  </cols>
  <sheetData>
    <row r="1" spans="1:19" ht="15.6">
      <c r="A1" s="151" t="s">
        <v>80</v>
      </c>
      <c r="B1" s="151"/>
      <c r="C1" s="151"/>
      <c r="D1" s="151"/>
      <c r="E1" s="128"/>
    </row>
    <row r="2" spans="1:19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.6">
      <c r="A3" s="15" t="s">
        <v>36</v>
      </c>
      <c r="B3" s="15" t="s">
        <v>37</v>
      </c>
      <c r="C3" s="15" t="s">
        <v>31</v>
      </c>
      <c r="D3" s="15" t="s">
        <v>38</v>
      </c>
      <c r="E3" s="51"/>
      <c r="F3" s="2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.6">
      <c r="A4" s="127" t="s">
        <v>157</v>
      </c>
      <c r="B4" s="77">
        <v>10</v>
      </c>
      <c r="C4" s="78">
        <v>10000</v>
      </c>
      <c r="D4" s="78">
        <f>B4*C4</f>
        <v>100000</v>
      </c>
      <c r="E4" s="50"/>
      <c r="F4" s="2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6">
      <c r="A5" s="77" t="s">
        <v>158</v>
      </c>
      <c r="B5" s="77">
        <v>5</v>
      </c>
      <c r="C5" s="78">
        <v>40000</v>
      </c>
      <c r="D5" s="78">
        <f t="shared" ref="D5:D7" si="0">B5*C5</f>
        <v>200000</v>
      </c>
      <c r="E5" s="50"/>
      <c r="F5" s="2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6">
      <c r="A6" s="77" t="s">
        <v>159</v>
      </c>
      <c r="B6" s="77">
        <v>50</v>
      </c>
      <c r="C6" s="78">
        <v>5000</v>
      </c>
      <c r="D6" s="78">
        <f t="shared" si="0"/>
        <v>250000</v>
      </c>
      <c r="E6" s="50"/>
      <c r="F6" s="2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5.6">
      <c r="A7" s="77" t="s">
        <v>160</v>
      </c>
      <c r="B7" s="77">
        <v>1</v>
      </c>
      <c r="C7" s="78">
        <v>5000</v>
      </c>
      <c r="D7" s="78">
        <f t="shared" si="0"/>
        <v>5000</v>
      </c>
      <c r="E7" s="50"/>
      <c r="F7" s="2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.6">
      <c r="A8" s="3" t="s">
        <v>72</v>
      </c>
      <c r="B8" s="3">
        <v>71</v>
      </c>
      <c r="C8" s="4">
        <v>49</v>
      </c>
      <c r="D8" s="4">
        <f t="shared" ref="D8:D9" si="1">B8*C8</f>
        <v>3479</v>
      </c>
      <c r="E8" s="50"/>
      <c r="F8" s="2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6">
      <c r="A9" s="3" t="s">
        <v>79</v>
      </c>
      <c r="B9" s="3">
        <v>1</v>
      </c>
      <c r="C9" s="4">
        <v>15000</v>
      </c>
      <c r="D9" s="4">
        <f t="shared" si="1"/>
        <v>15000</v>
      </c>
      <c r="E9" s="50"/>
      <c r="F9" s="2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6">
      <c r="A10" s="157" t="s">
        <v>0</v>
      </c>
      <c r="B10" s="158"/>
      <c r="C10" s="159"/>
      <c r="D10" s="4">
        <f>SUM(D4:D9)</f>
        <v>573479</v>
      </c>
      <c r="E10" s="50"/>
      <c r="F10" s="2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.6">
      <c r="A11" s="21"/>
      <c r="B11" s="34"/>
      <c r="C11" s="21"/>
      <c r="D11" s="50"/>
      <c r="E11" s="50"/>
      <c r="F11" s="2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5.6">
      <c r="A12" s="21"/>
      <c r="B12" s="34"/>
      <c r="C12" s="21"/>
      <c r="D12" s="50"/>
      <c r="E12" s="50"/>
      <c r="F12" s="2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.6">
      <c r="A13" s="21"/>
      <c r="B13" s="34"/>
      <c r="C13" s="21"/>
      <c r="D13" s="50"/>
      <c r="E13" s="50"/>
      <c r="F13" s="2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5.6">
      <c r="A14" s="21"/>
      <c r="B14" s="21"/>
      <c r="C14" s="21"/>
      <c r="D14" s="50"/>
      <c r="E14" s="50"/>
      <c r="F14" s="2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5.6">
      <c r="A15" s="21"/>
      <c r="B15" s="21"/>
      <c r="C15" s="21"/>
      <c r="D15" s="50"/>
      <c r="E15" s="50"/>
      <c r="F15" s="2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6">
      <c r="A16" s="21"/>
      <c r="B16" s="21"/>
      <c r="C16" s="21"/>
      <c r="D16" s="50"/>
      <c r="E16" s="50"/>
      <c r="F16" s="2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6">
      <c r="A17" s="21"/>
      <c r="B17" s="21"/>
      <c r="C17" s="21"/>
      <c r="D17" s="50"/>
      <c r="E17" s="50"/>
      <c r="F17" s="2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6">
      <c r="A18" s="21"/>
      <c r="B18" s="21"/>
      <c r="C18" s="21"/>
      <c r="D18" s="50"/>
      <c r="E18" s="50"/>
      <c r="F18" s="2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6">
      <c r="A19" s="21"/>
      <c r="B19" s="34"/>
      <c r="C19" s="21"/>
      <c r="D19" s="50"/>
      <c r="E19" s="50"/>
      <c r="F19" s="2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6">
      <c r="A20" s="21"/>
      <c r="B20" s="34"/>
      <c r="C20" s="21"/>
      <c r="D20" s="50"/>
      <c r="E20" s="50"/>
      <c r="F20" s="2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6">
      <c r="A21" s="21"/>
      <c r="B21" s="34"/>
      <c r="C21" s="21"/>
      <c r="D21" s="50"/>
      <c r="E21" s="50"/>
      <c r="F21" s="2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6">
      <c r="A22" s="21"/>
      <c r="B22" s="34"/>
      <c r="C22" s="21"/>
      <c r="D22" s="50"/>
      <c r="E22" s="50"/>
      <c r="F22" s="2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6">
      <c r="A23" s="21"/>
      <c r="B23" s="21"/>
      <c r="C23" s="21"/>
      <c r="D23" s="50"/>
      <c r="E23" s="50"/>
      <c r="F23" s="26"/>
      <c r="Q23" s="2"/>
      <c r="R23" s="2"/>
      <c r="S23" s="2"/>
    </row>
    <row r="24" spans="1:19" ht="15.6">
      <c r="A24" s="21"/>
      <c r="B24" s="34"/>
      <c r="C24" s="21"/>
      <c r="D24" s="50"/>
      <c r="E24" s="50"/>
      <c r="F24" s="26"/>
      <c r="Q24" s="2"/>
      <c r="R24" s="2"/>
      <c r="S24" s="2"/>
    </row>
    <row r="25" spans="1:19" ht="15.6">
      <c r="A25" s="21"/>
      <c r="B25" s="21"/>
      <c r="C25" s="21"/>
      <c r="D25" s="50"/>
      <c r="E25" s="50"/>
      <c r="F25" s="26"/>
      <c r="Q25" s="2"/>
      <c r="R25" s="2"/>
      <c r="S25" s="2"/>
    </row>
    <row r="26" spans="1:19" ht="15.6">
      <c r="A26" s="156"/>
      <c r="B26" s="156"/>
      <c r="C26" s="156"/>
      <c r="D26" s="156"/>
      <c r="E26" s="50"/>
      <c r="F26" s="26"/>
      <c r="Q26" s="2"/>
      <c r="R26" s="2"/>
      <c r="S26" s="2"/>
    </row>
    <row r="27" spans="1:19" ht="15.6">
      <c r="Q27" s="2"/>
      <c r="R27" s="2"/>
      <c r="S27" s="2"/>
    </row>
  </sheetData>
  <mergeCells count="3">
    <mergeCell ref="A26:D26"/>
    <mergeCell ref="A10:C10"/>
    <mergeCell ref="A1:D1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zoomScale="70" zoomScaleNormal="70" workbookViewId="0"/>
  </sheetViews>
  <sheetFormatPr defaultColWidth="9.109375" defaultRowHeight="15.6"/>
  <cols>
    <col min="1" max="1" width="55" style="2" bestFit="1" customWidth="1"/>
    <col min="2" max="2" width="14.44140625" style="2" bestFit="1" customWidth="1"/>
    <col min="3" max="3" width="11.109375" style="2" bestFit="1" customWidth="1"/>
    <col min="4" max="7" width="10.109375" style="2" bestFit="1" customWidth="1"/>
    <col min="8" max="9" width="11.109375" style="2" bestFit="1" customWidth="1"/>
    <col min="10" max="10" width="10.109375" style="2" bestFit="1" customWidth="1"/>
    <col min="11" max="11" width="10.88671875" style="2" bestFit="1" customWidth="1"/>
    <col min="12" max="12" width="11.21875" style="2" bestFit="1" customWidth="1"/>
    <col min="13" max="13" width="10.88671875" style="2" bestFit="1" customWidth="1"/>
    <col min="14" max="14" width="12" style="2" bestFit="1" customWidth="1"/>
    <col min="15" max="15" width="11.88671875" style="2" bestFit="1" customWidth="1"/>
    <col min="16" max="18" width="9.109375" style="2"/>
    <col min="19" max="19" width="9.33203125" style="2" bestFit="1" customWidth="1"/>
    <col min="20" max="20" width="9.109375" style="2"/>
    <col min="21" max="21" width="9.5546875" style="2" bestFit="1" customWidth="1"/>
    <col min="22" max="28" width="9.33203125" style="2" bestFit="1" customWidth="1"/>
    <col min="29" max="29" width="9.5546875" style="2" bestFit="1" customWidth="1"/>
    <col min="30" max="30" width="13.33203125" style="2" bestFit="1" customWidth="1"/>
    <col min="31" max="16384" width="9.109375" style="2"/>
  </cols>
  <sheetData>
    <row r="1" spans="1:30">
      <c r="A1" s="2" t="s">
        <v>5</v>
      </c>
      <c r="S1" s="166" t="s">
        <v>7</v>
      </c>
      <c r="T1" s="166" t="s">
        <v>6</v>
      </c>
      <c r="U1" s="168" t="s">
        <v>82</v>
      </c>
      <c r="V1" s="160" t="s">
        <v>87</v>
      </c>
      <c r="W1" s="160" t="s">
        <v>86</v>
      </c>
      <c r="X1" s="160" t="s">
        <v>85</v>
      </c>
      <c r="Y1" s="160" t="s">
        <v>84</v>
      </c>
      <c r="Z1" s="160" t="s">
        <v>83</v>
      </c>
      <c r="AA1" s="166" t="s">
        <v>88</v>
      </c>
      <c r="AB1" s="166" t="s">
        <v>79</v>
      </c>
      <c r="AC1" s="166" t="s">
        <v>89</v>
      </c>
      <c r="AD1" s="167" t="s">
        <v>90</v>
      </c>
    </row>
    <row r="2" spans="1:30">
      <c r="L2" s="2" t="s">
        <v>0</v>
      </c>
      <c r="S2" s="166"/>
      <c r="T2" s="166"/>
      <c r="U2" s="168"/>
      <c r="V2" s="161"/>
      <c r="W2" s="161"/>
      <c r="X2" s="161"/>
      <c r="Y2" s="161"/>
      <c r="Z2" s="161"/>
      <c r="AA2" s="166"/>
      <c r="AB2" s="166"/>
      <c r="AC2" s="166"/>
      <c r="AD2" s="167"/>
    </row>
    <row r="3" spans="1:30">
      <c r="A3" s="3">
        <v>2023</v>
      </c>
      <c r="B3" s="129" t="s">
        <v>13</v>
      </c>
      <c r="C3" s="129" t="s">
        <v>14</v>
      </c>
      <c r="D3" s="129" t="s">
        <v>15</v>
      </c>
      <c r="E3" s="129" t="s">
        <v>16</v>
      </c>
      <c r="F3" s="129" t="s">
        <v>17</v>
      </c>
      <c r="G3" s="129" t="s">
        <v>18</v>
      </c>
      <c r="H3" s="129" t="s">
        <v>19</v>
      </c>
      <c r="I3" s="129" t="s">
        <v>8</v>
      </c>
      <c r="J3" s="129" t="s">
        <v>9</v>
      </c>
      <c r="K3" s="74" t="s">
        <v>10</v>
      </c>
      <c r="L3" s="37"/>
      <c r="M3" s="38"/>
      <c r="N3" s="38"/>
      <c r="S3" s="160">
        <v>2023</v>
      </c>
      <c r="T3" s="130" t="s">
        <v>13</v>
      </c>
      <c r="U3" s="131">
        <f>'План на будущие периоды '!B32</f>
        <v>0</v>
      </c>
      <c r="V3" s="130"/>
      <c r="W3" s="130"/>
      <c r="X3" s="130">
        <f>(U3/0.13)/49</f>
        <v>0</v>
      </c>
      <c r="Y3" s="130">
        <f>X3</f>
        <v>0</v>
      </c>
      <c r="Z3" s="130"/>
      <c r="AA3" s="130">
        <f>31*150</f>
        <v>4650</v>
      </c>
      <c r="AB3" s="130">
        <v>15000</v>
      </c>
      <c r="AC3" s="135">
        <f>SUM(U3:V3,AA3:AB3,Z3,W3)</f>
        <v>19650</v>
      </c>
      <c r="AD3" s="162">
        <f>SUM(U4:V4,AA4:AB4,Z4,W4)</f>
        <v>15650</v>
      </c>
    </row>
    <row r="4" spans="1:30">
      <c r="A4" s="14" t="s">
        <v>162</v>
      </c>
      <c r="B4" s="130">
        <v>0</v>
      </c>
      <c r="C4" s="130">
        <v>0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  <c r="I4" s="130">
        <v>0</v>
      </c>
      <c r="J4" s="130">
        <v>0</v>
      </c>
      <c r="K4" s="39">
        <v>10</v>
      </c>
      <c r="L4" s="37">
        <f>SUM(B4:K4)</f>
        <v>10</v>
      </c>
      <c r="M4" s="38"/>
      <c r="S4" s="161"/>
      <c r="T4" s="3" t="s">
        <v>10</v>
      </c>
      <c r="U4" s="4">
        <f>K32</f>
        <v>0</v>
      </c>
      <c r="V4" s="3"/>
      <c r="W4" s="3"/>
      <c r="X4" s="3">
        <f t="shared" ref="X4:X40" si="0">(U4/0.13)/49</f>
        <v>0</v>
      </c>
      <c r="Y4" s="3">
        <f>X3</f>
        <v>0</v>
      </c>
      <c r="Z4" s="3">
        <v>4000</v>
      </c>
      <c r="AA4" s="3">
        <f t="shared" ref="AA4:AA40" si="1">31*150</f>
        <v>4650</v>
      </c>
      <c r="AB4" s="3">
        <v>7000</v>
      </c>
      <c r="AC4" s="75">
        <f>SUM(U4:V4,AA4:AB4,Z4,W4)</f>
        <v>15650</v>
      </c>
      <c r="AD4" s="163"/>
    </row>
    <row r="5" spans="1:30" s="21" customFormat="1">
      <c r="A5" s="21" t="s">
        <v>163</v>
      </c>
      <c r="B5" s="130">
        <v>0</v>
      </c>
      <c r="C5" s="130">
        <v>0</v>
      </c>
      <c r="D5" s="130">
        <v>0</v>
      </c>
      <c r="E5" s="130">
        <v>0</v>
      </c>
      <c r="F5" s="130">
        <v>0</v>
      </c>
      <c r="G5" s="130">
        <v>0</v>
      </c>
      <c r="H5" s="130">
        <v>0</v>
      </c>
      <c r="I5" s="130">
        <v>0</v>
      </c>
      <c r="J5" s="130">
        <v>0</v>
      </c>
      <c r="K5" s="3">
        <v>0</v>
      </c>
      <c r="L5" s="3">
        <f>SUM(B5:K5)</f>
        <v>0</v>
      </c>
      <c r="N5" s="2" t="s">
        <v>0</v>
      </c>
      <c r="P5" s="2"/>
      <c r="S5" s="160">
        <v>2024</v>
      </c>
      <c r="T5" s="3" t="s">
        <v>11</v>
      </c>
      <c r="U5" s="4">
        <f>B38</f>
        <v>0</v>
      </c>
      <c r="V5" s="3"/>
      <c r="W5" s="3"/>
      <c r="X5" s="3">
        <f t="shared" si="0"/>
        <v>0</v>
      </c>
      <c r="Y5" s="3">
        <f t="shared" ref="Y5:Y40" si="2">X5+Y4</f>
        <v>0</v>
      </c>
      <c r="Z5" s="3"/>
      <c r="AA5" s="3">
        <f t="shared" si="1"/>
        <v>4650</v>
      </c>
      <c r="AB5" s="3">
        <v>7000</v>
      </c>
      <c r="AC5" s="75">
        <f t="shared" ref="AC5:AC40" si="3">SUM(U5:V5,AA5:AB5,Z5,W5)</f>
        <v>11650</v>
      </c>
      <c r="AD5" s="165">
        <f>SUM(AC5:AC16)</f>
        <v>206435.375</v>
      </c>
    </row>
    <row r="6" spans="1:30">
      <c r="A6" s="3">
        <v>2024</v>
      </c>
      <c r="B6" s="73" t="s">
        <v>11</v>
      </c>
      <c r="C6" s="73" t="s">
        <v>12</v>
      </c>
      <c r="D6" s="73" t="s">
        <v>13</v>
      </c>
      <c r="E6" s="73" t="s">
        <v>14</v>
      </c>
      <c r="F6" s="73" t="s">
        <v>15</v>
      </c>
      <c r="G6" s="73" t="s">
        <v>16</v>
      </c>
      <c r="H6" s="73" t="s">
        <v>17</v>
      </c>
      <c r="I6" s="73" t="s">
        <v>18</v>
      </c>
      <c r="J6" s="73" t="s">
        <v>19</v>
      </c>
      <c r="K6" s="73" t="s">
        <v>8</v>
      </c>
      <c r="L6" s="73" t="s">
        <v>9</v>
      </c>
      <c r="M6" s="73" t="s">
        <v>10</v>
      </c>
      <c r="N6" s="3"/>
      <c r="S6" s="164"/>
      <c r="T6" s="3" t="s">
        <v>12</v>
      </c>
      <c r="U6" s="4">
        <f>C38</f>
        <v>0</v>
      </c>
      <c r="V6" s="3"/>
      <c r="W6" s="3"/>
      <c r="X6" s="3">
        <f t="shared" si="0"/>
        <v>0</v>
      </c>
      <c r="Y6" s="3">
        <f t="shared" si="2"/>
        <v>0</v>
      </c>
      <c r="Z6" s="3"/>
      <c r="AA6" s="3">
        <f t="shared" si="1"/>
        <v>4650</v>
      </c>
      <c r="AB6" s="3">
        <v>7000</v>
      </c>
      <c r="AC6" s="75">
        <f t="shared" si="3"/>
        <v>11650</v>
      </c>
      <c r="AD6" s="166"/>
    </row>
    <row r="7" spans="1:30">
      <c r="A7" s="80" t="s">
        <v>162</v>
      </c>
      <c r="B7" s="3">
        <v>20</v>
      </c>
      <c r="C7" s="3">
        <v>10</v>
      </c>
      <c r="D7" s="3">
        <v>5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5</v>
      </c>
      <c r="M7" s="3">
        <v>15</v>
      </c>
      <c r="N7" s="3">
        <f>SUM(B7:M7)</f>
        <v>55</v>
      </c>
      <c r="S7" s="164"/>
      <c r="T7" s="3" t="s">
        <v>13</v>
      </c>
      <c r="U7" s="4">
        <f>D38</f>
        <v>0</v>
      </c>
      <c r="V7" s="3">
        <v>22000</v>
      </c>
      <c r="W7" s="3"/>
      <c r="X7" s="3">
        <f t="shared" si="0"/>
        <v>0</v>
      </c>
      <c r="Y7" s="3">
        <f t="shared" si="2"/>
        <v>0</v>
      </c>
      <c r="Z7" s="3"/>
      <c r="AA7" s="3">
        <f t="shared" si="1"/>
        <v>4650</v>
      </c>
      <c r="AB7" s="3">
        <v>7000</v>
      </c>
      <c r="AC7" s="75">
        <f t="shared" si="3"/>
        <v>33650</v>
      </c>
      <c r="AD7" s="166"/>
    </row>
    <row r="8" spans="1:30" s="21" customFormat="1">
      <c r="A8" s="117" t="s">
        <v>163</v>
      </c>
      <c r="B8" s="3">
        <v>0</v>
      </c>
      <c r="C8" s="3">
        <v>0</v>
      </c>
      <c r="D8" s="3">
        <v>0</v>
      </c>
      <c r="E8" s="3">
        <v>10</v>
      </c>
      <c r="F8" s="3">
        <v>20</v>
      </c>
      <c r="G8" s="3">
        <v>32</v>
      </c>
      <c r="H8" s="3">
        <v>41</v>
      </c>
      <c r="I8" s="3">
        <v>37</v>
      </c>
      <c r="J8" s="3">
        <v>25</v>
      </c>
      <c r="K8" s="3">
        <v>14</v>
      </c>
      <c r="L8" s="3">
        <v>3</v>
      </c>
      <c r="M8" s="3">
        <v>0</v>
      </c>
      <c r="N8" s="3">
        <f>SUM(B8:M8)</f>
        <v>182</v>
      </c>
      <c r="S8" s="164"/>
      <c r="T8" s="3" t="s">
        <v>14</v>
      </c>
      <c r="U8" s="4">
        <f>E38</f>
        <v>1990.625</v>
      </c>
      <c r="V8" s="3"/>
      <c r="W8" s="3"/>
      <c r="X8" s="3">
        <f t="shared" si="0"/>
        <v>312.5</v>
      </c>
      <c r="Y8" s="3">
        <f t="shared" si="2"/>
        <v>312.5</v>
      </c>
      <c r="Z8" s="3">
        <v>4000</v>
      </c>
      <c r="AA8" s="3">
        <f t="shared" si="1"/>
        <v>4650</v>
      </c>
      <c r="AB8" s="3">
        <v>7000</v>
      </c>
      <c r="AC8" s="75">
        <f t="shared" si="3"/>
        <v>17640.625</v>
      </c>
      <c r="AD8" s="166"/>
    </row>
    <row r="9" spans="1:30">
      <c r="A9" s="3">
        <v>2025</v>
      </c>
      <c r="B9" s="73" t="s">
        <v>11</v>
      </c>
      <c r="C9" s="73" t="s">
        <v>12</v>
      </c>
      <c r="D9" s="73" t="s">
        <v>13</v>
      </c>
      <c r="E9" s="73" t="s">
        <v>14</v>
      </c>
      <c r="F9" s="73" t="s">
        <v>15</v>
      </c>
      <c r="G9" s="73" t="s">
        <v>16</v>
      </c>
      <c r="H9" s="73" t="s">
        <v>17</v>
      </c>
      <c r="I9" s="73" t="s">
        <v>18</v>
      </c>
      <c r="J9" s="73" t="s">
        <v>19</v>
      </c>
      <c r="K9" s="73" t="s">
        <v>8</v>
      </c>
      <c r="L9" s="73" t="s">
        <v>9</v>
      </c>
      <c r="M9" s="73" t="s">
        <v>10</v>
      </c>
      <c r="N9" s="3"/>
      <c r="S9" s="164"/>
      <c r="T9" s="3" t="s">
        <v>15</v>
      </c>
      <c r="U9" s="4">
        <f>F38</f>
        <v>3981.25</v>
      </c>
      <c r="V9" s="3"/>
      <c r="W9" s="3"/>
      <c r="X9" s="3">
        <f t="shared" si="0"/>
        <v>625</v>
      </c>
      <c r="Y9" s="3">
        <f t="shared" si="2"/>
        <v>937.5</v>
      </c>
      <c r="Z9" s="3"/>
      <c r="AA9" s="3">
        <f t="shared" si="1"/>
        <v>4650</v>
      </c>
      <c r="AB9" s="3">
        <v>7000</v>
      </c>
      <c r="AC9" s="75">
        <f t="shared" si="3"/>
        <v>15631.25</v>
      </c>
      <c r="AD9" s="166"/>
    </row>
    <row r="10" spans="1:30">
      <c r="A10" s="80" t="s">
        <v>162</v>
      </c>
      <c r="B10" s="77">
        <v>30</v>
      </c>
      <c r="C10" s="77">
        <v>20</v>
      </c>
      <c r="D10" s="77">
        <v>10</v>
      </c>
      <c r="E10" s="77">
        <v>0</v>
      </c>
      <c r="F10" s="77">
        <v>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8</v>
      </c>
      <c r="M10" s="77">
        <v>20</v>
      </c>
      <c r="N10" s="3">
        <f>SUM(B10:M10)</f>
        <v>88</v>
      </c>
      <c r="S10" s="164"/>
      <c r="T10" s="3" t="s">
        <v>16</v>
      </c>
      <c r="U10" s="4">
        <f>G38</f>
        <v>6370</v>
      </c>
      <c r="V10" s="3"/>
      <c r="W10" s="3"/>
      <c r="X10" s="3">
        <f t="shared" si="0"/>
        <v>1000</v>
      </c>
      <c r="Y10" s="3">
        <f t="shared" si="2"/>
        <v>1937.5</v>
      </c>
      <c r="Z10" s="3"/>
      <c r="AA10" s="3">
        <f t="shared" si="1"/>
        <v>4650</v>
      </c>
      <c r="AB10" s="3">
        <v>7000</v>
      </c>
      <c r="AC10" s="75">
        <f t="shared" si="3"/>
        <v>18020</v>
      </c>
      <c r="AD10" s="166"/>
    </row>
    <row r="11" spans="1:30">
      <c r="A11" s="117" t="s">
        <v>163</v>
      </c>
      <c r="B11" s="77">
        <v>0</v>
      </c>
      <c r="C11" s="77">
        <v>0</v>
      </c>
      <c r="D11" s="77">
        <v>0</v>
      </c>
      <c r="E11" s="77">
        <v>20</v>
      </c>
      <c r="F11" s="77">
        <v>30</v>
      </c>
      <c r="G11" s="77">
        <v>44</v>
      </c>
      <c r="H11" s="77">
        <v>47</v>
      </c>
      <c r="I11" s="77">
        <v>42</v>
      </c>
      <c r="J11" s="77">
        <v>28</v>
      </c>
      <c r="K11" s="77">
        <v>17</v>
      </c>
      <c r="L11" s="77">
        <v>5</v>
      </c>
      <c r="M11" s="77">
        <v>0</v>
      </c>
      <c r="N11" s="3">
        <f>SUM(B11:M11)</f>
        <v>233</v>
      </c>
      <c r="S11" s="164"/>
      <c r="T11" s="3" t="s">
        <v>17</v>
      </c>
      <c r="U11" s="4">
        <f>H38</f>
        <v>8161.5625</v>
      </c>
      <c r="V11" s="3"/>
      <c r="W11" s="3"/>
      <c r="X11" s="3">
        <f t="shared" si="0"/>
        <v>1281.25</v>
      </c>
      <c r="Y11" s="3">
        <f t="shared" si="2"/>
        <v>3218.75</v>
      </c>
      <c r="Z11" s="3"/>
      <c r="AA11" s="3">
        <f t="shared" si="1"/>
        <v>4650</v>
      </c>
      <c r="AB11" s="3">
        <v>7000</v>
      </c>
      <c r="AC11" s="75">
        <f t="shared" si="3"/>
        <v>19811.5625</v>
      </c>
      <c r="AD11" s="166"/>
    </row>
    <row r="12" spans="1:30">
      <c r="A12" s="3">
        <v>2026</v>
      </c>
      <c r="B12" s="73" t="s">
        <v>11</v>
      </c>
      <c r="C12" s="73" t="s">
        <v>12</v>
      </c>
      <c r="D12" s="73" t="s">
        <v>13</v>
      </c>
      <c r="E12" s="73" t="s">
        <v>14</v>
      </c>
      <c r="F12" s="73" t="s">
        <v>15</v>
      </c>
      <c r="G12" s="73" t="s">
        <v>16</v>
      </c>
      <c r="H12" s="73" t="s">
        <v>17</v>
      </c>
      <c r="I12" s="73" t="s">
        <v>18</v>
      </c>
      <c r="J12" s="73" t="s">
        <v>19</v>
      </c>
      <c r="K12" s="73" t="s">
        <v>8</v>
      </c>
      <c r="L12" s="73" t="s">
        <v>9</v>
      </c>
      <c r="M12" s="73" t="s">
        <v>10</v>
      </c>
      <c r="N12" s="3"/>
      <c r="S12" s="164"/>
      <c r="T12" s="3" t="s">
        <v>18</v>
      </c>
      <c r="U12" s="4">
        <f>I38</f>
        <v>7365.3125</v>
      </c>
      <c r="V12" s="3"/>
      <c r="W12" s="3"/>
      <c r="X12" s="3">
        <f t="shared" si="0"/>
        <v>1156.25</v>
      </c>
      <c r="Y12" s="3">
        <f t="shared" si="2"/>
        <v>4375</v>
      </c>
      <c r="Z12" s="3"/>
      <c r="AA12" s="3">
        <f t="shared" si="1"/>
        <v>4650</v>
      </c>
      <c r="AB12" s="3">
        <v>7000</v>
      </c>
      <c r="AC12" s="75">
        <f t="shared" si="3"/>
        <v>19015.3125</v>
      </c>
      <c r="AD12" s="166"/>
    </row>
    <row r="13" spans="1:30">
      <c r="A13" s="80" t="s">
        <v>162</v>
      </c>
      <c r="B13" s="77">
        <v>40</v>
      </c>
      <c r="C13" s="77">
        <v>30</v>
      </c>
      <c r="D13" s="77">
        <v>20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12</v>
      </c>
      <c r="M13" s="77">
        <v>24</v>
      </c>
      <c r="N13" s="3">
        <f>SUM(B13:M13)</f>
        <v>126</v>
      </c>
      <c r="S13" s="164"/>
      <c r="T13" s="3" t="s">
        <v>19</v>
      </c>
      <c r="U13" s="4">
        <f>J38</f>
        <v>4976.5625</v>
      </c>
      <c r="V13" s="3"/>
      <c r="W13" s="3"/>
      <c r="X13" s="3">
        <f t="shared" si="0"/>
        <v>781.25</v>
      </c>
      <c r="Y13" s="3">
        <f t="shared" si="2"/>
        <v>5156.25</v>
      </c>
      <c r="Z13" s="3">
        <v>4000</v>
      </c>
      <c r="AA13" s="3">
        <f t="shared" si="1"/>
        <v>4650</v>
      </c>
      <c r="AB13" s="3">
        <v>7000</v>
      </c>
      <c r="AC13" s="75">
        <f t="shared" si="3"/>
        <v>20626.5625</v>
      </c>
      <c r="AD13" s="166"/>
    </row>
    <row r="14" spans="1:30">
      <c r="A14" s="77" t="s">
        <v>163</v>
      </c>
      <c r="B14" s="77">
        <v>0</v>
      </c>
      <c r="C14" s="77">
        <v>0</v>
      </c>
      <c r="D14" s="77">
        <v>0</v>
      </c>
      <c r="E14" s="77">
        <v>30</v>
      </c>
      <c r="F14" s="77">
        <v>39</v>
      </c>
      <c r="G14" s="77">
        <v>55</v>
      </c>
      <c r="H14" s="77">
        <v>54</v>
      </c>
      <c r="I14" s="77">
        <v>49</v>
      </c>
      <c r="J14" s="77">
        <v>32</v>
      </c>
      <c r="K14" s="77">
        <v>21</v>
      </c>
      <c r="L14" s="77">
        <v>7</v>
      </c>
      <c r="M14" s="77">
        <v>0</v>
      </c>
      <c r="N14" s="3">
        <f>SUM(B14:M14)</f>
        <v>287</v>
      </c>
      <c r="S14" s="164"/>
      <c r="T14" s="3" t="s">
        <v>8</v>
      </c>
      <c r="U14" s="4">
        <f>K38</f>
        <v>2786.875</v>
      </c>
      <c r="V14" s="3"/>
      <c r="W14" s="3"/>
      <c r="X14" s="3">
        <f t="shared" si="0"/>
        <v>437.5</v>
      </c>
      <c r="Y14" s="3">
        <f t="shared" si="2"/>
        <v>5593.75</v>
      </c>
      <c r="Z14" s="3"/>
      <c r="AA14" s="3">
        <f t="shared" si="1"/>
        <v>4650</v>
      </c>
      <c r="AB14" s="3">
        <v>7000</v>
      </c>
      <c r="AC14" s="75">
        <f t="shared" si="3"/>
        <v>14436.875</v>
      </c>
      <c r="AD14" s="166"/>
    </row>
    <row r="15" spans="1:30">
      <c r="S15" s="164"/>
      <c r="T15" s="3" t="s">
        <v>9</v>
      </c>
      <c r="U15" s="4">
        <f>L38</f>
        <v>597.1875</v>
      </c>
      <c r="V15" s="3"/>
      <c r="W15" s="3">
        <v>406</v>
      </c>
      <c r="X15" s="3">
        <f t="shared" si="0"/>
        <v>93.75</v>
      </c>
      <c r="Y15" s="3">
        <f t="shared" si="2"/>
        <v>5687.5</v>
      </c>
      <c r="Z15" s="3"/>
      <c r="AA15" s="3">
        <f t="shared" si="1"/>
        <v>4650</v>
      </c>
      <c r="AB15" s="3">
        <v>7000</v>
      </c>
      <c r="AC15" s="75">
        <f t="shared" si="3"/>
        <v>12653.1875</v>
      </c>
      <c r="AD15" s="166"/>
    </row>
    <row r="16" spans="1:30">
      <c r="A16" s="2" t="s">
        <v>45</v>
      </c>
      <c r="L16" s="2" t="s">
        <v>0</v>
      </c>
      <c r="S16" s="161"/>
      <c r="T16" s="3" t="s">
        <v>10</v>
      </c>
      <c r="U16" s="4">
        <f>M38</f>
        <v>0</v>
      </c>
      <c r="V16" s="3"/>
      <c r="W16" s="3"/>
      <c r="X16" s="3">
        <f t="shared" si="0"/>
        <v>0</v>
      </c>
      <c r="Y16" s="3">
        <f t="shared" si="2"/>
        <v>5687.5</v>
      </c>
      <c r="Z16" s="3"/>
      <c r="AA16" s="3">
        <f t="shared" si="1"/>
        <v>4650</v>
      </c>
      <c r="AB16" s="3">
        <v>7000</v>
      </c>
      <c r="AC16" s="75">
        <f t="shared" si="3"/>
        <v>11650</v>
      </c>
      <c r="AD16" s="166"/>
    </row>
    <row r="17" spans="1:30">
      <c r="A17" s="3">
        <v>2023</v>
      </c>
      <c r="B17" s="129" t="s">
        <v>13</v>
      </c>
      <c r="C17" s="129" t="s">
        <v>14</v>
      </c>
      <c r="D17" s="129" t="s">
        <v>15</v>
      </c>
      <c r="E17" s="129" t="s">
        <v>16</v>
      </c>
      <c r="F17" s="129" t="s">
        <v>17</v>
      </c>
      <c r="G17" s="129" t="s">
        <v>18</v>
      </c>
      <c r="H17" s="129" t="s">
        <v>19</v>
      </c>
      <c r="I17" s="129" t="s">
        <v>8</v>
      </c>
      <c r="J17" s="129" t="s">
        <v>9</v>
      </c>
      <c r="K17" s="73" t="s">
        <v>10</v>
      </c>
      <c r="L17" s="37"/>
      <c r="M17" s="38"/>
      <c r="N17" s="38"/>
      <c r="S17" s="160">
        <v>2025</v>
      </c>
      <c r="T17" s="3" t="s">
        <v>11</v>
      </c>
      <c r="U17" s="4">
        <f>B44</f>
        <v>0</v>
      </c>
      <c r="V17" s="3"/>
      <c r="W17" s="3"/>
      <c r="X17" s="3">
        <f t="shared" si="0"/>
        <v>0</v>
      </c>
      <c r="Y17" s="3">
        <f t="shared" si="2"/>
        <v>5687.5</v>
      </c>
      <c r="Z17" s="3">
        <v>4000</v>
      </c>
      <c r="AA17" s="3">
        <f t="shared" si="1"/>
        <v>4650</v>
      </c>
      <c r="AB17" s="3">
        <v>7000</v>
      </c>
      <c r="AC17" s="75">
        <f t="shared" si="3"/>
        <v>15650</v>
      </c>
      <c r="AD17" s="165">
        <f>SUM(AC17:AC28)</f>
        <v>224181.5625</v>
      </c>
    </row>
    <row r="18" spans="1:30">
      <c r="A18" s="14" t="s">
        <v>75</v>
      </c>
      <c r="B18" s="130">
        <f>(B4*2000)+(B5*700)</f>
        <v>0</v>
      </c>
      <c r="C18" s="130">
        <f>(C4*2000)+(C5*700)</f>
        <v>0</v>
      </c>
      <c r="D18" s="130">
        <f t="shared" ref="D18:J18" si="4">(D4*2000)+(D5*700)</f>
        <v>0</v>
      </c>
      <c r="E18" s="130">
        <f t="shared" si="4"/>
        <v>0</v>
      </c>
      <c r="F18" s="130">
        <f t="shared" si="4"/>
        <v>0</v>
      </c>
      <c r="G18" s="130">
        <f t="shared" si="4"/>
        <v>0</v>
      </c>
      <c r="H18" s="130">
        <f t="shared" si="4"/>
        <v>0</v>
      </c>
      <c r="I18" s="130">
        <f t="shared" si="4"/>
        <v>0</v>
      </c>
      <c r="J18" s="130">
        <f t="shared" si="4"/>
        <v>0</v>
      </c>
      <c r="K18" s="77">
        <f>(K4*2000)+(K5*700)</f>
        <v>20000</v>
      </c>
      <c r="L18" s="37">
        <f>SUM(B18:K18)</f>
        <v>20000</v>
      </c>
      <c r="M18" s="38"/>
      <c r="N18" s="38"/>
      <c r="S18" s="164"/>
      <c r="T18" s="3" t="s">
        <v>12</v>
      </c>
      <c r="U18" s="4">
        <f>C44</f>
        <v>0</v>
      </c>
      <c r="V18" s="3"/>
      <c r="W18" s="3"/>
      <c r="X18" s="3">
        <f t="shared" si="0"/>
        <v>0</v>
      </c>
      <c r="Y18" s="3">
        <f t="shared" si="2"/>
        <v>5687.5</v>
      </c>
      <c r="Z18" s="3"/>
      <c r="AA18" s="3">
        <f t="shared" si="1"/>
        <v>4650</v>
      </c>
      <c r="AB18" s="3">
        <v>7000</v>
      </c>
      <c r="AC18" s="75">
        <f t="shared" si="3"/>
        <v>11650</v>
      </c>
      <c r="AD18" s="166"/>
    </row>
    <row r="19" spans="1:30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" t="s">
        <v>0</v>
      </c>
      <c r="S19" s="164"/>
      <c r="T19" s="3" t="s">
        <v>13</v>
      </c>
      <c r="U19" s="4">
        <f>D44</f>
        <v>0</v>
      </c>
      <c r="V19" s="3">
        <v>22000</v>
      </c>
      <c r="W19" s="3"/>
      <c r="X19" s="3">
        <f t="shared" si="0"/>
        <v>0</v>
      </c>
      <c r="Y19" s="3">
        <f t="shared" si="2"/>
        <v>5687.5</v>
      </c>
      <c r="Z19" s="3"/>
      <c r="AA19" s="3">
        <f t="shared" si="1"/>
        <v>4650</v>
      </c>
      <c r="AB19" s="3">
        <v>7000</v>
      </c>
      <c r="AC19" s="75">
        <f t="shared" si="3"/>
        <v>33650</v>
      </c>
      <c r="AD19" s="166"/>
    </row>
    <row r="20" spans="1:30">
      <c r="A20" s="3">
        <v>2024</v>
      </c>
      <c r="B20" s="73" t="s">
        <v>11</v>
      </c>
      <c r="C20" s="73" t="s">
        <v>12</v>
      </c>
      <c r="D20" s="73" t="s">
        <v>13</v>
      </c>
      <c r="E20" s="73" t="s">
        <v>14</v>
      </c>
      <c r="F20" s="73" t="s">
        <v>15</v>
      </c>
      <c r="G20" s="73" t="s">
        <v>16</v>
      </c>
      <c r="H20" s="73" t="s">
        <v>17</v>
      </c>
      <c r="I20" s="73" t="s">
        <v>18</v>
      </c>
      <c r="J20" s="73" t="s">
        <v>19</v>
      </c>
      <c r="K20" s="73" t="s">
        <v>8</v>
      </c>
      <c r="L20" s="73" t="s">
        <v>9</v>
      </c>
      <c r="M20" s="73" t="s">
        <v>10</v>
      </c>
      <c r="N20" s="3"/>
      <c r="S20" s="164"/>
      <c r="T20" s="3" t="s">
        <v>14</v>
      </c>
      <c r="U20" s="4">
        <f>E44</f>
        <v>3981.25</v>
      </c>
      <c r="V20" s="3"/>
      <c r="W20" s="3"/>
      <c r="X20" s="3">
        <f t="shared" si="0"/>
        <v>625</v>
      </c>
      <c r="Y20" s="3">
        <f t="shared" si="2"/>
        <v>6312.5</v>
      </c>
      <c r="Z20" s="3">
        <v>4000</v>
      </c>
      <c r="AA20" s="3">
        <f t="shared" si="1"/>
        <v>4650</v>
      </c>
      <c r="AB20" s="3">
        <v>7000</v>
      </c>
      <c r="AC20" s="75">
        <f t="shared" si="3"/>
        <v>19631.25</v>
      </c>
      <c r="AD20" s="166"/>
    </row>
    <row r="21" spans="1:30">
      <c r="A21" s="14" t="s">
        <v>75</v>
      </c>
      <c r="B21" s="22">
        <f>B7*2000+B8*700</f>
        <v>40000</v>
      </c>
      <c r="C21" s="22">
        <f t="shared" ref="C21:M21" si="5">C7*2000+C8*700</f>
        <v>20000</v>
      </c>
      <c r="D21" s="22">
        <f t="shared" si="5"/>
        <v>10000</v>
      </c>
      <c r="E21" s="22">
        <f t="shared" si="5"/>
        <v>7000</v>
      </c>
      <c r="F21" s="22">
        <f t="shared" si="5"/>
        <v>14000</v>
      </c>
      <c r="G21" s="22">
        <f t="shared" si="5"/>
        <v>22400</v>
      </c>
      <c r="H21" s="22">
        <f t="shared" si="5"/>
        <v>28700</v>
      </c>
      <c r="I21" s="22">
        <f t="shared" si="5"/>
        <v>25900</v>
      </c>
      <c r="J21" s="22">
        <f t="shared" si="5"/>
        <v>17500</v>
      </c>
      <c r="K21" s="22">
        <f t="shared" si="5"/>
        <v>9800</v>
      </c>
      <c r="L21" s="22">
        <f t="shared" si="5"/>
        <v>12100</v>
      </c>
      <c r="M21" s="22">
        <f t="shared" si="5"/>
        <v>30000</v>
      </c>
      <c r="N21" s="22">
        <f>SUM(B21:M21)</f>
        <v>237400</v>
      </c>
      <c r="S21" s="164"/>
      <c r="T21" s="3" t="s">
        <v>15</v>
      </c>
      <c r="U21" s="4">
        <f>F44</f>
        <v>5971.875</v>
      </c>
      <c r="V21" s="3"/>
      <c r="W21" s="3"/>
      <c r="X21" s="3">
        <f t="shared" si="0"/>
        <v>937.5</v>
      </c>
      <c r="Y21" s="3">
        <f t="shared" si="2"/>
        <v>7250</v>
      </c>
      <c r="Z21" s="3"/>
      <c r="AA21" s="3">
        <f t="shared" si="1"/>
        <v>4650</v>
      </c>
      <c r="AB21" s="3">
        <v>7000</v>
      </c>
      <c r="AC21" s="75">
        <f t="shared" si="3"/>
        <v>17621.875</v>
      </c>
      <c r="AD21" s="166"/>
    </row>
    <row r="22" spans="1:30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S22" s="164"/>
      <c r="T22" s="3" t="s">
        <v>16</v>
      </c>
      <c r="U22" s="4">
        <f>G44</f>
        <v>8758.75</v>
      </c>
      <c r="V22" s="3"/>
      <c r="W22" s="3"/>
      <c r="X22" s="3">
        <f t="shared" si="0"/>
        <v>1375</v>
      </c>
      <c r="Y22" s="3">
        <f t="shared" si="2"/>
        <v>8625</v>
      </c>
      <c r="Z22" s="3"/>
      <c r="AA22" s="3">
        <f t="shared" si="1"/>
        <v>4650</v>
      </c>
      <c r="AB22" s="3">
        <v>7000</v>
      </c>
      <c r="AC22" s="75">
        <f t="shared" si="3"/>
        <v>20408.75</v>
      </c>
      <c r="AD22" s="166"/>
    </row>
    <row r="23" spans="1:30">
      <c r="A23" s="24">
        <v>2025</v>
      </c>
      <c r="B23" s="25" t="s">
        <v>11</v>
      </c>
      <c r="C23" s="25" t="s">
        <v>12</v>
      </c>
      <c r="D23" s="25" t="s">
        <v>13</v>
      </c>
      <c r="E23" s="25" t="s">
        <v>14</v>
      </c>
      <c r="F23" s="25" t="s">
        <v>15</v>
      </c>
      <c r="G23" s="25" t="s">
        <v>16</v>
      </c>
      <c r="H23" s="25" t="s">
        <v>17</v>
      </c>
      <c r="I23" s="25" t="s">
        <v>18</v>
      </c>
      <c r="J23" s="25" t="s">
        <v>19</v>
      </c>
      <c r="K23" s="25" t="s">
        <v>8</v>
      </c>
      <c r="L23" s="25" t="s">
        <v>9</v>
      </c>
      <c r="M23" s="25" t="s">
        <v>10</v>
      </c>
      <c r="N23" s="24"/>
      <c r="S23" s="164"/>
      <c r="T23" s="3" t="s">
        <v>17</v>
      </c>
      <c r="U23" s="4">
        <f>H44</f>
        <v>9355.9375</v>
      </c>
      <c r="V23" s="3"/>
      <c r="W23" s="3"/>
      <c r="X23" s="3">
        <f t="shared" si="0"/>
        <v>1468.75</v>
      </c>
      <c r="Y23" s="3">
        <f t="shared" si="2"/>
        <v>10093.75</v>
      </c>
      <c r="Z23" s="3"/>
      <c r="AA23" s="3">
        <f t="shared" si="1"/>
        <v>4650</v>
      </c>
      <c r="AB23" s="3">
        <v>7000</v>
      </c>
      <c r="AC23" s="75">
        <f t="shared" si="3"/>
        <v>21005.9375</v>
      </c>
      <c r="AD23" s="166"/>
    </row>
    <row r="24" spans="1:30">
      <c r="A24" s="14" t="s">
        <v>75</v>
      </c>
      <c r="B24" s="3">
        <f>B10*2000+B11*700</f>
        <v>60000</v>
      </c>
      <c r="C24" s="3">
        <f t="shared" ref="C24:M24" si="6">C10*2000+C11*700</f>
        <v>40000</v>
      </c>
      <c r="D24" s="3">
        <f t="shared" si="6"/>
        <v>20000</v>
      </c>
      <c r="E24" s="3">
        <f t="shared" si="6"/>
        <v>14000</v>
      </c>
      <c r="F24" s="3">
        <f t="shared" si="6"/>
        <v>21000</v>
      </c>
      <c r="G24" s="3">
        <f t="shared" si="6"/>
        <v>30800</v>
      </c>
      <c r="H24" s="3">
        <f t="shared" si="6"/>
        <v>32900</v>
      </c>
      <c r="I24" s="3">
        <f t="shared" si="6"/>
        <v>29400</v>
      </c>
      <c r="J24" s="3">
        <f t="shared" si="6"/>
        <v>19600</v>
      </c>
      <c r="K24" s="3">
        <f t="shared" si="6"/>
        <v>11900</v>
      </c>
      <c r="L24" s="3">
        <f t="shared" si="6"/>
        <v>19500</v>
      </c>
      <c r="M24" s="3">
        <f t="shared" si="6"/>
        <v>40000</v>
      </c>
      <c r="N24" s="3">
        <f>SUM(B24:M24)</f>
        <v>339100</v>
      </c>
      <c r="S24" s="164"/>
      <c r="T24" s="3" t="s">
        <v>18</v>
      </c>
      <c r="U24" s="4">
        <f>I44</f>
        <v>8360.625</v>
      </c>
      <c r="V24" s="3"/>
      <c r="W24" s="3"/>
      <c r="X24" s="3">
        <f t="shared" si="0"/>
        <v>1312.5</v>
      </c>
      <c r="Y24" s="3">
        <f t="shared" si="2"/>
        <v>11406.25</v>
      </c>
      <c r="Z24" s="3">
        <v>4000</v>
      </c>
      <c r="AA24" s="3">
        <f t="shared" si="1"/>
        <v>4650</v>
      </c>
      <c r="AB24" s="3">
        <v>7000</v>
      </c>
      <c r="AC24" s="75">
        <f t="shared" si="3"/>
        <v>24010.625</v>
      </c>
      <c r="AD24" s="166"/>
    </row>
    <row r="25" spans="1:30">
      <c r="S25" s="164"/>
      <c r="T25" s="3" t="s">
        <v>19</v>
      </c>
      <c r="U25" s="4">
        <f>J44</f>
        <v>5573.75</v>
      </c>
      <c r="V25" s="3"/>
      <c r="W25" s="3"/>
      <c r="X25" s="3">
        <f t="shared" si="0"/>
        <v>875</v>
      </c>
      <c r="Y25" s="3">
        <f t="shared" si="2"/>
        <v>12281.25</v>
      </c>
      <c r="Z25" s="3"/>
      <c r="AA25" s="3">
        <f t="shared" si="1"/>
        <v>4650</v>
      </c>
      <c r="AB25" s="3">
        <v>7000</v>
      </c>
      <c r="AC25" s="75">
        <f t="shared" si="3"/>
        <v>17223.75</v>
      </c>
      <c r="AD25" s="166"/>
    </row>
    <row r="26" spans="1:30">
      <c r="A26" s="3">
        <v>2026</v>
      </c>
      <c r="B26" s="73" t="s">
        <v>11</v>
      </c>
      <c r="C26" s="73" t="s">
        <v>12</v>
      </c>
      <c r="D26" s="73" t="s">
        <v>13</v>
      </c>
      <c r="E26" s="73" t="s">
        <v>14</v>
      </c>
      <c r="F26" s="73" t="s">
        <v>15</v>
      </c>
      <c r="G26" s="73" t="s">
        <v>16</v>
      </c>
      <c r="H26" s="73" t="s">
        <v>17</v>
      </c>
      <c r="I26" s="73" t="s">
        <v>18</v>
      </c>
      <c r="J26" s="73" t="s">
        <v>19</v>
      </c>
      <c r="K26" s="73" t="s">
        <v>8</v>
      </c>
      <c r="L26" s="73" t="s">
        <v>9</v>
      </c>
      <c r="M26" s="73" t="s">
        <v>10</v>
      </c>
      <c r="N26" s="3"/>
      <c r="S26" s="164"/>
      <c r="T26" s="3" t="s">
        <v>8</v>
      </c>
      <c r="U26" s="4">
        <f>K44</f>
        <v>3384.0625</v>
      </c>
      <c r="V26" s="3"/>
      <c r="W26" s="3"/>
      <c r="X26" s="3">
        <f t="shared" si="0"/>
        <v>531.25</v>
      </c>
      <c r="Y26" s="3">
        <f t="shared" si="2"/>
        <v>12812.5</v>
      </c>
      <c r="Z26" s="3"/>
      <c r="AA26" s="3">
        <f t="shared" si="1"/>
        <v>4650</v>
      </c>
      <c r="AB26" s="3">
        <v>7000</v>
      </c>
      <c r="AC26" s="75">
        <f t="shared" si="3"/>
        <v>15034.0625</v>
      </c>
      <c r="AD26" s="166"/>
    </row>
    <row r="27" spans="1:30">
      <c r="A27" s="14" t="s">
        <v>75</v>
      </c>
      <c r="B27" s="3">
        <f>B13*2000+B14*700</f>
        <v>80000</v>
      </c>
      <c r="C27" s="3">
        <f t="shared" ref="C27:M27" si="7">C13*2000+C14*700</f>
        <v>60000</v>
      </c>
      <c r="D27" s="3">
        <f t="shared" si="7"/>
        <v>40000</v>
      </c>
      <c r="E27" s="3">
        <f t="shared" si="7"/>
        <v>21000</v>
      </c>
      <c r="F27" s="3">
        <f t="shared" si="7"/>
        <v>27300</v>
      </c>
      <c r="G27" s="3">
        <f t="shared" si="7"/>
        <v>38500</v>
      </c>
      <c r="H27" s="3">
        <f t="shared" si="7"/>
        <v>37800</v>
      </c>
      <c r="I27" s="3">
        <f t="shared" si="7"/>
        <v>34300</v>
      </c>
      <c r="J27" s="3">
        <f t="shared" si="7"/>
        <v>22400</v>
      </c>
      <c r="K27" s="3">
        <f t="shared" si="7"/>
        <v>14700</v>
      </c>
      <c r="L27" s="3">
        <f t="shared" si="7"/>
        <v>28900</v>
      </c>
      <c r="M27" s="3">
        <f t="shared" si="7"/>
        <v>48000</v>
      </c>
      <c r="N27" s="3">
        <f>SUM(B27:M27)</f>
        <v>452900</v>
      </c>
      <c r="S27" s="164"/>
      <c r="T27" s="3" t="s">
        <v>9</v>
      </c>
      <c r="U27" s="4">
        <f>L44</f>
        <v>995.3125</v>
      </c>
      <c r="V27" s="3"/>
      <c r="W27" s="3"/>
      <c r="X27" s="3">
        <f t="shared" si="0"/>
        <v>156.25</v>
      </c>
      <c r="Y27" s="3">
        <f t="shared" si="2"/>
        <v>12968.75</v>
      </c>
      <c r="Z27" s="3">
        <v>4000</v>
      </c>
      <c r="AA27" s="3">
        <f t="shared" si="1"/>
        <v>4650</v>
      </c>
      <c r="AB27" s="3">
        <v>7000</v>
      </c>
      <c r="AC27" s="75">
        <f t="shared" si="3"/>
        <v>16645.3125</v>
      </c>
      <c r="AD27" s="166"/>
    </row>
    <row r="28" spans="1:30">
      <c r="S28" s="161"/>
      <c r="T28" s="3" t="s">
        <v>10</v>
      </c>
      <c r="U28" s="4">
        <f>M44</f>
        <v>0</v>
      </c>
      <c r="V28" s="3"/>
      <c r="W28" s="3"/>
      <c r="X28" s="3">
        <f t="shared" si="0"/>
        <v>0</v>
      </c>
      <c r="Y28" s="3">
        <f t="shared" si="2"/>
        <v>12968.75</v>
      </c>
      <c r="Z28" s="3"/>
      <c r="AA28" s="3">
        <f t="shared" si="1"/>
        <v>4650</v>
      </c>
      <c r="AB28" s="3">
        <v>7000</v>
      </c>
      <c r="AC28" s="75">
        <f t="shared" si="3"/>
        <v>11650</v>
      </c>
      <c r="AD28" s="166"/>
    </row>
    <row r="29" spans="1:30">
      <c r="S29" s="160">
        <v>2026</v>
      </c>
      <c r="T29" s="3" t="s">
        <v>11</v>
      </c>
      <c r="U29" s="4">
        <f>B50</f>
        <v>0</v>
      </c>
      <c r="V29" s="3"/>
      <c r="W29" s="3"/>
      <c r="X29" s="3">
        <f t="shared" si="0"/>
        <v>0</v>
      </c>
      <c r="Y29" s="3">
        <f t="shared" si="2"/>
        <v>12968.75</v>
      </c>
      <c r="Z29" s="3">
        <v>4000</v>
      </c>
      <c r="AA29" s="3">
        <f t="shared" si="1"/>
        <v>4650</v>
      </c>
      <c r="AB29" s="3">
        <v>7000</v>
      </c>
      <c r="AC29" s="75">
        <f t="shared" si="3"/>
        <v>15650</v>
      </c>
      <c r="AD29" s="165">
        <f>SUM(AC29:AC40)</f>
        <v>234930.9375</v>
      </c>
    </row>
    <row r="30" spans="1:30">
      <c r="B30" s="13"/>
      <c r="C30" s="13"/>
      <c r="L30" s="2" t="s">
        <v>0</v>
      </c>
      <c r="S30" s="164"/>
      <c r="T30" s="3" t="s">
        <v>12</v>
      </c>
      <c r="U30" s="4">
        <f>C50</f>
        <v>0</v>
      </c>
      <c r="V30" s="3"/>
      <c r="W30" s="3"/>
      <c r="X30" s="3">
        <f t="shared" si="0"/>
        <v>0</v>
      </c>
      <c r="Y30" s="3">
        <f t="shared" si="2"/>
        <v>12968.75</v>
      </c>
      <c r="Z30" s="3"/>
      <c r="AA30" s="3">
        <f t="shared" si="1"/>
        <v>4650</v>
      </c>
      <c r="AB30" s="3">
        <v>7000</v>
      </c>
      <c r="AC30" s="75">
        <f t="shared" si="3"/>
        <v>11650</v>
      </c>
      <c r="AD30" s="166"/>
    </row>
    <row r="31" spans="1:30">
      <c r="A31" s="3">
        <v>2023</v>
      </c>
      <c r="B31" s="129" t="s">
        <v>13</v>
      </c>
      <c r="C31" s="129" t="s">
        <v>14</v>
      </c>
      <c r="D31" s="129" t="s">
        <v>15</v>
      </c>
      <c r="E31" s="129" t="s">
        <v>16</v>
      </c>
      <c r="F31" s="129" t="s">
        <v>17</v>
      </c>
      <c r="G31" s="129" t="s">
        <v>18</v>
      </c>
      <c r="H31" s="129" t="s">
        <v>19</v>
      </c>
      <c r="I31" s="129" t="s">
        <v>8</v>
      </c>
      <c r="J31" s="129" t="s">
        <v>9</v>
      </c>
      <c r="K31" s="73" t="s">
        <v>10</v>
      </c>
      <c r="L31" s="37"/>
      <c r="M31" s="38"/>
      <c r="N31" s="38"/>
      <c r="S31" s="164"/>
      <c r="T31" s="3" t="s">
        <v>13</v>
      </c>
      <c r="U31" s="4">
        <f>D50</f>
        <v>0</v>
      </c>
      <c r="V31" s="3">
        <v>22000</v>
      </c>
      <c r="W31" s="3"/>
      <c r="X31" s="3">
        <f t="shared" si="0"/>
        <v>0</v>
      </c>
      <c r="Y31" s="3">
        <f t="shared" si="2"/>
        <v>12968.75</v>
      </c>
      <c r="Z31" s="3"/>
      <c r="AA31" s="3">
        <f t="shared" si="1"/>
        <v>4650</v>
      </c>
      <c r="AB31" s="3">
        <v>7000</v>
      </c>
      <c r="AC31" s="75">
        <f t="shared" si="3"/>
        <v>33650</v>
      </c>
      <c r="AD31" s="166"/>
    </row>
    <row r="32" spans="1:30">
      <c r="A32" s="3" t="s">
        <v>72</v>
      </c>
      <c r="B32" s="131">
        <f>(B5*31.25*0.13)*49</f>
        <v>0</v>
      </c>
      <c r="C32" s="131">
        <f>(C5*31.25*0.13)*49</f>
        <v>0</v>
      </c>
      <c r="D32" s="131">
        <f t="shared" ref="D32:J32" si="8">(D5*31.25*0.13)*49</f>
        <v>0</v>
      </c>
      <c r="E32" s="131">
        <f t="shared" si="8"/>
        <v>0</v>
      </c>
      <c r="F32" s="131">
        <f t="shared" si="8"/>
        <v>0</v>
      </c>
      <c r="G32" s="131">
        <f t="shared" si="8"/>
        <v>0</v>
      </c>
      <c r="H32" s="131">
        <f t="shared" si="8"/>
        <v>0</v>
      </c>
      <c r="I32" s="131">
        <f t="shared" si="8"/>
        <v>0</v>
      </c>
      <c r="J32" s="131">
        <f t="shared" si="8"/>
        <v>0</v>
      </c>
      <c r="K32" s="4">
        <f>(K5*31.25*0.13)*49</f>
        <v>0</v>
      </c>
      <c r="L32" s="61">
        <f>SUM(K32)</f>
        <v>0</v>
      </c>
      <c r="M32" s="65"/>
      <c r="N32" s="65"/>
      <c r="O32" s="13"/>
      <c r="S32" s="164"/>
      <c r="T32" s="3" t="s">
        <v>14</v>
      </c>
      <c r="U32" s="4">
        <f>E50</f>
        <v>5971.875</v>
      </c>
      <c r="V32" s="3"/>
      <c r="W32" s="3"/>
      <c r="X32" s="3">
        <f t="shared" si="0"/>
        <v>937.5</v>
      </c>
      <c r="Y32" s="3">
        <f t="shared" si="2"/>
        <v>13906.25</v>
      </c>
      <c r="Z32" s="3"/>
      <c r="AA32" s="3">
        <f t="shared" si="1"/>
        <v>4650</v>
      </c>
      <c r="AB32" s="3">
        <v>7000</v>
      </c>
      <c r="AC32" s="75">
        <f t="shared" si="3"/>
        <v>17621.875</v>
      </c>
      <c r="AD32" s="166"/>
    </row>
    <row r="33" spans="1:30">
      <c r="A33" s="17" t="s">
        <v>97</v>
      </c>
      <c r="B33" s="132">
        <f>B18*0.06</f>
        <v>0</v>
      </c>
      <c r="C33" s="132">
        <f t="shared" ref="C33:K33" si="9">C18*0.06</f>
        <v>0</v>
      </c>
      <c r="D33" s="132">
        <f t="shared" si="9"/>
        <v>0</v>
      </c>
      <c r="E33" s="132">
        <f t="shared" si="9"/>
        <v>0</v>
      </c>
      <c r="F33" s="132">
        <f t="shared" si="9"/>
        <v>0</v>
      </c>
      <c r="G33" s="132">
        <f t="shared" si="9"/>
        <v>0</v>
      </c>
      <c r="H33" s="132">
        <f t="shared" si="9"/>
        <v>0</v>
      </c>
      <c r="I33" s="132">
        <f t="shared" si="9"/>
        <v>0</v>
      </c>
      <c r="J33" s="132">
        <f t="shared" si="9"/>
        <v>0</v>
      </c>
      <c r="K33" s="62">
        <f t="shared" si="9"/>
        <v>1200</v>
      </c>
      <c r="L33" s="63">
        <f>SUM(K33)</f>
        <v>1200</v>
      </c>
      <c r="M33" s="64"/>
      <c r="N33" s="64"/>
      <c r="O33" s="13"/>
      <c r="S33" s="164"/>
      <c r="T33" s="3" t="s">
        <v>15</v>
      </c>
      <c r="U33" s="4">
        <f>F50</f>
        <v>7763.4375</v>
      </c>
      <c r="V33" s="3"/>
      <c r="W33" s="3"/>
      <c r="X33" s="3">
        <f t="shared" si="0"/>
        <v>1218.75</v>
      </c>
      <c r="Y33" s="3">
        <f t="shared" si="2"/>
        <v>15125</v>
      </c>
      <c r="Z33" s="3">
        <v>4000</v>
      </c>
      <c r="AA33" s="3">
        <f t="shared" si="1"/>
        <v>4650</v>
      </c>
      <c r="AB33" s="3">
        <v>7000</v>
      </c>
      <c r="AC33" s="75">
        <f t="shared" si="3"/>
        <v>23413.4375</v>
      </c>
      <c r="AD33" s="166"/>
    </row>
    <row r="34" spans="1:30">
      <c r="A34" s="28" t="s">
        <v>79</v>
      </c>
      <c r="B34" s="133">
        <v>15000</v>
      </c>
      <c r="C34" s="133">
        <v>7000</v>
      </c>
      <c r="D34" s="133">
        <v>7000</v>
      </c>
      <c r="E34" s="133">
        <v>7000</v>
      </c>
      <c r="F34" s="133">
        <v>7000</v>
      </c>
      <c r="G34" s="133">
        <v>7000</v>
      </c>
      <c r="H34" s="133">
        <v>7000</v>
      </c>
      <c r="I34" s="133">
        <v>7000</v>
      </c>
      <c r="J34" s="133">
        <v>7000</v>
      </c>
      <c r="K34" s="69">
        <v>7000</v>
      </c>
      <c r="L34" s="63">
        <f>SUM(K34)</f>
        <v>7000</v>
      </c>
      <c r="M34" s="64"/>
      <c r="N34" s="64"/>
      <c r="O34" s="13"/>
      <c r="S34" s="164"/>
      <c r="T34" s="3" t="s">
        <v>16</v>
      </c>
      <c r="U34" s="4">
        <f>G50</f>
        <v>10948.4375</v>
      </c>
      <c r="V34" s="3"/>
      <c r="W34" s="3"/>
      <c r="X34" s="3">
        <f t="shared" si="0"/>
        <v>1718.75</v>
      </c>
      <c r="Y34" s="3">
        <f t="shared" si="2"/>
        <v>16843.75</v>
      </c>
      <c r="Z34" s="3"/>
      <c r="AA34" s="3">
        <f t="shared" si="1"/>
        <v>4650</v>
      </c>
      <c r="AB34" s="3">
        <v>7000</v>
      </c>
      <c r="AC34" s="75">
        <f t="shared" si="3"/>
        <v>22598.4375</v>
      </c>
      <c r="AD34" s="166"/>
    </row>
    <row r="35" spans="1:30">
      <c r="A35" s="28" t="s">
        <v>44</v>
      </c>
      <c r="B35" s="134">
        <f>B18-AC3</f>
        <v>-19650</v>
      </c>
      <c r="C35" s="134"/>
      <c r="D35" s="134"/>
      <c r="E35" s="134"/>
      <c r="F35" s="134"/>
      <c r="G35" s="134"/>
      <c r="H35" s="134"/>
      <c r="I35" s="134"/>
      <c r="J35" s="134"/>
      <c r="K35" s="60">
        <f>K18-AC4</f>
        <v>4350</v>
      </c>
      <c r="L35" s="63">
        <f>SUM(K35)</f>
        <v>4350</v>
      </c>
      <c r="M35" s="41"/>
      <c r="S35" s="164"/>
      <c r="T35" s="3" t="s">
        <v>17</v>
      </c>
      <c r="U35" s="4">
        <f>H50</f>
        <v>10749.375</v>
      </c>
      <c r="V35" s="3"/>
      <c r="W35" s="3"/>
      <c r="X35" s="3">
        <f t="shared" si="0"/>
        <v>1687.5</v>
      </c>
      <c r="Y35" s="3">
        <f t="shared" si="2"/>
        <v>18531.25</v>
      </c>
      <c r="Z35" s="3"/>
      <c r="AA35" s="3">
        <f t="shared" si="1"/>
        <v>4650</v>
      </c>
      <c r="AB35" s="3">
        <v>7000</v>
      </c>
      <c r="AC35" s="75">
        <f t="shared" si="3"/>
        <v>22399.375</v>
      </c>
      <c r="AD35" s="166"/>
    </row>
    <row r="36" spans="1:30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40"/>
      <c r="M36" s="40"/>
      <c r="N36" s="2" t="s">
        <v>0</v>
      </c>
      <c r="S36" s="164"/>
      <c r="T36" s="3" t="s">
        <v>18</v>
      </c>
      <c r="U36" s="4">
        <f>I50</f>
        <v>9754.0625</v>
      </c>
      <c r="V36" s="3"/>
      <c r="W36" s="3"/>
      <c r="X36" s="3">
        <f t="shared" si="0"/>
        <v>1531.25</v>
      </c>
      <c r="Y36" s="3">
        <f t="shared" si="2"/>
        <v>20062.5</v>
      </c>
      <c r="Z36" s="3">
        <v>4000</v>
      </c>
      <c r="AA36" s="3">
        <f t="shared" si="1"/>
        <v>4650</v>
      </c>
      <c r="AB36" s="3">
        <v>7000</v>
      </c>
      <c r="AC36" s="75">
        <f t="shared" si="3"/>
        <v>25404.0625</v>
      </c>
      <c r="AD36" s="166"/>
    </row>
    <row r="37" spans="1:30">
      <c r="A37" s="29">
        <v>2024</v>
      </c>
      <c r="B37" s="30" t="s">
        <v>11</v>
      </c>
      <c r="C37" s="30" t="s">
        <v>12</v>
      </c>
      <c r="D37" s="30" t="s">
        <v>13</v>
      </c>
      <c r="E37" s="30" t="s">
        <v>14</v>
      </c>
      <c r="F37" s="30" t="s">
        <v>15</v>
      </c>
      <c r="G37" s="30" t="s">
        <v>16</v>
      </c>
      <c r="H37" s="30" t="s">
        <v>17</v>
      </c>
      <c r="I37" s="30" t="s">
        <v>18</v>
      </c>
      <c r="J37" s="30" t="s">
        <v>19</v>
      </c>
      <c r="K37" s="30" t="s">
        <v>8</v>
      </c>
      <c r="L37" s="30" t="s">
        <v>9</v>
      </c>
      <c r="M37" s="30" t="s">
        <v>10</v>
      </c>
      <c r="N37" s="17"/>
      <c r="S37" s="164"/>
      <c r="T37" s="3" t="s">
        <v>19</v>
      </c>
      <c r="U37" s="4">
        <f>J50</f>
        <v>6370</v>
      </c>
      <c r="V37" s="3"/>
      <c r="W37" s="3"/>
      <c r="X37" s="3">
        <f t="shared" si="0"/>
        <v>1000</v>
      </c>
      <c r="Y37" s="3">
        <f t="shared" si="2"/>
        <v>21062.5</v>
      </c>
      <c r="Z37" s="3"/>
      <c r="AA37" s="3">
        <f t="shared" si="1"/>
        <v>4650</v>
      </c>
      <c r="AB37" s="3">
        <v>7000</v>
      </c>
      <c r="AC37" s="75">
        <f t="shared" si="3"/>
        <v>18020</v>
      </c>
      <c r="AD37" s="166"/>
    </row>
    <row r="38" spans="1:30">
      <c r="A38" s="17" t="s">
        <v>72</v>
      </c>
      <c r="B38" s="49">
        <f>(B8*31.25*0.13)*49</f>
        <v>0</v>
      </c>
      <c r="C38" s="49">
        <f t="shared" ref="C38:M38" si="10">(C8*31.25*0.13)*49</f>
        <v>0</v>
      </c>
      <c r="D38" s="49">
        <f t="shared" si="10"/>
        <v>0</v>
      </c>
      <c r="E38" s="49">
        <f t="shared" si="10"/>
        <v>1990.625</v>
      </c>
      <c r="F38" s="49">
        <f t="shared" si="10"/>
        <v>3981.25</v>
      </c>
      <c r="G38" s="49">
        <f t="shared" si="10"/>
        <v>6370</v>
      </c>
      <c r="H38" s="49">
        <f t="shared" si="10"/>
        <v>8161.5625</v>
      </c>
      <c r="I38" s="49">
        <f t="shared" si="10"/>
        <v>7365.3125</v>
      </c>
      <c r="J38" s="49">
        <f t="shared" si="10"/>
        <v>4976.5625</v>
      </c>
      <c r="K38" s="49">
        <f t="shared" si="10"/>
        <v>2786.875</v>
      </c>
      <c r="L38" s="49">
        <f t="shared" si="10"/>
        <v>597.1875</v>
      </c>
      <c r="M38" s="49">
        <f t="shared" si="10"/>
        <v>0</v>
      </c>
      <c r="N38" s="49">
        <f>SUM(B38:M38)</f>
        <v>36229.375</v>
      </c>
      <c r="S38" s="164"/>
      <c r="T38" s="3" t="s">
        <v>8</v>
      </c>
      <c r="U38" s="4">
        <f>K50</f>
        <v>4180.3125</v>
      </c>
      <c r="V38" s="3"/>
      <c r="W38" s="3"/>
      <c r="X38" s="3">
        <f t="shared" si="0"/>
        <v>656.25</v>
      </c>
      <c r="Y38" s="3">
        <f t="shared" si="2"/>
        <v>21718.75</v>
      </c>
      <c r="Z38" s="3"/>
      <c r="AA38" s="3">
        <f t="shared" si="1"/>
        <v>4650</v>
      </c>
      <c r="AB38" s="3">
        <v>7000</v>
      </c>
      <c r="AC38" s="75">
        <f t="shared" si="3"/>
        <v>15830.3125</v>
      </c>
      <c r="AD38" s="166"/>
    </row>
    <row r="39" spans="1:30">
      <c r="A39" s="17" t="s">
        <v>97</v>
      </c>
      <c r="B39" s="4">
        <f>B21*0.06</f>
        <v>2400</v>
      </c>
      <c r="C39" s="4">
        <f t="shared" ref="C39:M39" si="11">C21*0.06</f>
        <v>1200</v>
      </c>
      <c r="D39" s="4">
        <f t="shared" si="11"/>
        <v>600</v>
      </c>
      <c r="E39" s="4">
        <f t="shared" si="11"/>
        <v>420</v>
      </c>
      <c r="F39" s="4">
        <f t="shared" si="11"/>
        <v>840</v>
      </c>
      <c r="G39" s="4">
        <f t="shared" si="11"/>
        <v>1344</v>
      </c>
      <c r="H39" s="4">
        <f t="shared" si="11"/>
        <v>1722</v>
      </c>
      <c r="I39" s="4">
        <f t="shared" si="11"/>
        <v>1554</v>
      </c>
      <c r="J39" s="4">
        <f t="shared" si="11"/>
        <v>1050</v>
      </c>
      <c r="K39" s="4">
        <f t="shared" si="11"/>
        <v>588</v>
      </c>
      <c r="L39" s="4">
        <f t="shared" si="11"/>
        <v>726</v>
      </c>
      <c r="M39" s="4">
        <f t="shared" si="11"/>
        <v>1800</v>
      </c>
      <c r="N39" s="49">
        <f t="shared" ref="N39" si="12">SUM(B39:M39)</f>
        <v>14244</v>
      </c>
      <c r="S39" s="164"/>
      <c r="T39" s="3" t="s">
        <v>9</v>
      </c>
      <c r="U39" s="4">
        <f>L50</f>
        <v>1393.4375</v>
      </c>
      <c r="V39" s="3"/>
      <c r="W39" s="3"/>
      <c r="X39" s="3">
        <f t="shared" si="0"/>
        <v>218.75</v>
      </c>
      <c r="Y39" s="3">
        <f t="shared" si="2"/>
        <v>21937.5</v>
      </c>
      <c r="Z39" s="3"/>
      <c r="AA39" s="3">
        <f t="shared" si="1"/>
        <v>4650</v>
      </c>
      <c r="AB39" s="3">
        <v>7000</v>
      </c>
      <c r="AC39" s="75">
        <f t="shared" si="3"/>
        <v>13043.4375</v>
      </c>
      <c r="AD39" s="166"/>
    </row>
    <row r="40" spans="1:30">
      <c r="A40" s="28" t="s">
        <v>79</v>
      </c>
      <c r="B40" s="54">
        <v>7000</v>
      </c>
      <c r="C40" s="54">
        <v>7000</v>
      </c>
      <c r="D40" s="54">
        <v>7000</v>
      </c>
      <c r="E40" s="54">
        <v>7000</v>
      </c>
      <c r="F40" s="54">
        <v>7000</v>
      </c>
      <c r="G40" s="54">
        <v>7000</v>
      </c>
      <c r="H40" s="54">
        <v>7000</v>
      </c>
      <c r="I40" s="54">
        <v>7000</v>
      </c>
      <c r="J40" s="54">
        <v>7000</v>
      </c>
      <c r="K40" s="54">
        <v>7000</v>
      </c>
      <c r="L40" s="54">
        <v>7000</v>
      </c>
      <c r="M40" s="54">
        <v>7000</v>
      </c>
      <c r="N40" s="60">
        <f>SUM(B40:M40)</f>
        <v>84000</v>
      </c>
      <c r="S40" s="161"/>
      <c r="T40" s="3" t="s">
        <v>10</v>
      </c>
      <c r="U40" s="4">
        <f>M50</f>
        <v>0</v>
      </c>
      <c r="V40" s="3"/>
      <c r="W40" s="3"/>
      <c r="X40" s="3">
        <f t="shared" si="0"/>
        <v>0</v>
      </c>
      <c r="Y40" s="3">
        <f t="shared" si="2"/>
        <v>21937.5</v>
      </c>
      <c r="Z40" s="3">
        <v>4000</v>
      </c>
      <c r="AA40" s="3">
        <f t="shared" si="1"/>
        <v>4650</v>
      </c>
      <c r="AB40" s="3">
        <v>7000</v>
      </c>
      <c r="AC40" s="75">
        <f t="shared" si="3"/>
        <v>15650</v>
      </c>
      <c r="AD40" s="166"/>
    </row>
    <row r="41" spans="1:30">
      <c r="A41" s="28" t="s">
        <v>44</v>
      </c>
      <c r="B41" s="60">
        <f>B21-AC5</f>
        <v>28350</v>
      </c>
      <c r="C41" s="60">
        <f>C21-AC6</f>
        <v>8350</v>
      </c>
      <c r="D41" s="60">
        <f>D21-AC7</f>
        <v>-23650</v>
      </c>
      <c r="E41" s="60">
        <f>E21-AC8</f>
        <v>-10640.625</v>
      </c>
      <c r="F41" s="60">
        <f>F21-AC9</f>
        <v>-1631.25</v>
      </c>
      <c r="G41" s="60">
        <f>G21-AC10</f>
        <v>4380</v>
      </c>
      <c r="H41" s="60">
        <f>H21-AC11</f>
        <v>8888.4375</v>
      </c>
      <c r="I41" s="60">
        <f>I21-AC12</f>
        <v>6884.6875</v>
      </c>
      <c r="J41" s="60">
        <f>J21-AC13</f>
        <v>-3126.5625</v>
      </c>
      <c r="K41" s="60">
        <f>K21-AC14</f>
        <v>-4636.875</v>
      </c>
      <c r="L41" s="60">
        <f>L21-AC15</f>
        <v>-553.1875</v>
      </c>
      <c r="M41" s="60">
        <f>M21-AC16</f>
        <v>18350</v>
      </c>
      <c r="N41" s="60">
        <f>SUM(B41:M41)</f>
        <v>30964.625</v>
      </c>
    </row>
    <row r="42" spans="1:30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30">
      <c r="A43" s="29">
        <v>2025</v>
      </c>
      <c r="B43" s="30" t="s">
        <v>11</v>
      </c>
      <c r="C43" s="30" t="s">
        <v>12</v>
      </c>
      <c r="D43" s="30" t="s">
        <v>13</v>
      </c>
      <c r="E43" s="30" t="s">
        <v>14</v>
      </c>
      <c r="F43" s="30" t="s">
        <v>15</v>
      </c>
      <c r="G43" s="30" t="s">
        <v>16</v>
      </c>
      <c r="H43" s="30" t="s">
        <v>17</v>
      </c>
      <c r="I43" s="30" t="s">
        <v>18</v>
      </c>
      <c r="J43" s="30" t="s">
        <v>19</v>
      </c>
      <c r="K43" s="30" t="s">
        <v>8</v>
      </c>
      <c r="L43" s="30" t="s">
        <v>9</v>
      </c>
      <c r="M43" s="30" t="s">
        <v>10</v>
      </c>
      <c r="N43" s="29"/>
    </row>
    <row r="44" spans="1:30">
      <c r="A44" s="17" t="s">
        <v>72</v>
      </c>
      <c r="B44" s="49">
        <f>(B11*31.25*0.13)*49</f>
        <v>0</v>
      </c>
      <c r="C44" s="49">
        <f t="shared" ref="C44:M44" si="13">(C11*31.25*0.13)*49</f>
        <v>0</v>
      </c>
      <c r="D44" s="49">
        <f t="shared" si="13"/>
        <v>0</v>
      </c>
      <c r="E44" s="49">
        <f t="shared" si="13"/>
        <v>3981.25</v>
      </c>
      <c r="F44" s="49">
        <f t="shared" si="13"/>
        <v>5971.875</v>
      </c>
      <c r="G44" s="49">
        <f t="shared" si="13"/>
        <v>8758.75</v>
      </c>
      <c r="H44" s="49">
        <f t="shared" si="13"/>
        <v>9355.9375</v>
      </c>
      <c r="I44" s="49">
        <f t="shared" si="13"/>
        <v>8360.625</v>
      </c>
      <c r="J44" s="49">
        <f t="shared" si="13"/>
        <v>5573.75</v>
      </c>
      <c r="K44" s="49">
        <f t="shared" si="13"/>
        <v>3384.0625</v>
      </c>
      <c r="L44" s="49">
        <f t="shared" si="13"/>
        <v>995.3125</v>
      </c>
      <c r="M44" s="49">
        <f t="shared" si="13"/>
        <v>0</v>
      </c>
      <c r="N44" s="49">
        <f>SUM(B44:M44)</f>
        <v>46381.5625</v>
      </c>
    </row>
    <row r="45" spans="1:30">
      <c r="A45" s="17" t="s">
        <v>98</v>
      </c>
      <c r="B45" s="4">
        <f t="shared" ref="B45:M45" si="14">B24*0.02</f>
        <v>1200</v>
      </c>
      <c r="C45" s="4">
        <f t="shared" si="14"/>
        <v>800</v>
      </c>
      <c r="D45" s="4">
        <f t="shared" si="14"/>
        <v>400</v>
      </c>
      <c r="E45" s="4">
        <f t="shared" si="14"/>
        <v>280</v>
      </c>
      <c r="F45" s="4">
        <f t="shared" si="14"/>
        <v>420</v>
      </c>
      <c r="G45" s="4">
        <f t="shared" si="14"/>
        <v>616</v>
      </c>
      <c r="H45" s="4">
        <f t="shared" si="14"/>
        <v>658</v>
      </c>
      <c r="I45" s="4">
        <f t="shared" si="14"/>
        <v>588</v>
      </c>
      <c r="J45" s="4">
        <f t="shared" si="14"/>
        <v>392</v>
      </c>
      <c r="K45" s="4">
        <f t="shared" si="14"/>
        <v>238</v>
      </c>
      <c r="L45" s="4">
        <f t="shared" si="14"/>
        <v>390</v>
      </c>
      <c r="M45" s="4">
        <f t="shared" si="14"/>
        <v>800</v>
      </c>
      <c r="N45" s="49">
        <f>SUM(B45:M45)</f>
        <v>6782</v>
      </c>
    </row>
    <row r="46" spans="1:30">
      <c r="A46" s="17" t="s">
        <v>79</v>
      </c>
      <c r="B46" s="4">
        <v>7000</v>
      </c>
      <c r="C46" s="4">
        <v>7000</v>
      </c>
      <c r="D46" s="4">
        <v>7000</v>
      </c>
      <c r="E46" s="4">
        <v>7000</v>
      </c>
      <c r="F46" s="4">
        <v>7000</v>
      </c>
      <c r="G46" s="4">
        <v>7000</v>
      </c>
      <c r="H46" s="4">
        <v>7000</v>
      </c>
      <c r="I46" s="4">
        <v>7000</v>
      </c>
      <c r="J46" s="4">
        <v>7000</v>
      </c>
      <c r="K46" s="4">
        <v>7000</v>
      </c>
      <c r="L46" s="4">
        <v>7000</v>
      </c>
      <c r="M46" s="4">
        <v>7000</v>
      </c>
      <c r="N46" s="49">
        <f>SUM(B46:M46)</f>
        <v>84000</v>
      </c>
    </row>
    <row r="47" spans="1:30">
      <c r="A47" s="17" t="s">
        <v>44</v>
      </c>
      <c r="B47" s="49">
        <f>B24-AC17</f>
        <v>44350</v>
      </c>
      <c r="C47" s="49">
        <f>C24-AC18</f>
        <v>28350</v>
      </c>
      <c r="D47" s="49">
        <f>D24-AC19</f>
        <v>-13650</v>
      </c>
      <c r="E47" s="49">
        <f>E24-AC20</f>
        <v>-5631.25</v>
      </c>
      <c r="F47" s="49">
        <f>F24-AC21</f>
        <v>3378.125</v>
      </c>
      <c r="G47" s="49">
        <f>G24-AC22</f>
        <v>10391.25</v>
      </c>
      <c r="H47" s="49">
        <f>H24-AC23</f>
        <v>11894.0625</v>
      </c>
      <c r="I47" s="49">
        <f>I24-AC24</f>
        <v>5389.375</v>
      </c>
      <c r="J47" s="49">
        <f>J24-AC25</f>
        <v>2376.25</v>
      </c>
      <c r="K47" s="49">
        <f>K24-AC26</f>
        <v>-3134.0625</v>
      </c>
      <c r="L47" s="49">
        <f>L24-AC27</f>
        <v>2854.6875</v>
      </c>
      <c r="M47" s="49">
        <f>M24-AC28</f>
        <v>28350</v>
      </c>
      <c r="N47" s="49">
        <f>SUM(B47:M47)</f>
        <v>114918.4375</v>
      </c>
    </row>
    <row r="49" spans="1:14">
      <c r="A49" s="17">
        <v>2026</v>
      </c>
      <c r="B49" s="35" t="s">
        <v>11</v>
      </c>
      <c r="C49" s="35" t="s">
        <v>12</v>
      </c>
      <c r="D49" s="35" t="s">
        <v>13</v>
      </c>
      <c r="E49" s="35" t="s">
        <v>14</v>
      </c>
      <c r="F49" s="35" t="s">
        <v>15</v>
      </c>
      <c r="G49" s="35" t="s">
        <v>16</v>
      </c>
      <c r="H49" s="35" t="s">
        <v>17</v>
      </c>
      <c r="I49" s="35" t="s">
        <v>18</v>
      </c>
      <c r="J49" s="35" t="s">
        <v>19</v>
      </c>
      <c r="K49" s="35" t="s">
        <v>8</v>
      </c>
      <c r="L49" s="35" t="s">
        <v>9</v>
      </c>
      <c r="M49" s="35" t="s">
        <v>10</v>
      </c>
      <c r="N49" s="17"/>
    </row>
    <row r="50" spans="1:14">
      <c r="A50" s="17" t="s">
        <v>72</v>
      </c>
      <c r="B50" s="49">
        <f>(B14*31.25*0.13)*49</f>
        <v>0</v>
      </c>
      <c r="C50" s="49">
        <f t="shared" ref="C50:M50" si="15">(C14*31.25*0.13)*49</f>
        <v>0</v>
      </c>
      <c r="D50" s="49">
        <f t="shared" si="15"/>
        <v>0</v>
      </c>
      <c r="E50" s="49">
        <f t="shared" si="15"/>
        <v>5971.875</v>
      </c>
      <c r="F50" s="49">
        <f t="shared" si="15"/>
        <v>7763.4375</v>
      </c>
      <c r="G50" s="49">
        <f t="shared" si="15"/>
        <v>10948.4375</v>
      </c>
      <c r="H50" s="49">
        <f t="shared" si="15"/>
        <v>10749.375</v>
      </c>
      <c r="I50" s="49">
        <f t="shared" si="15"/>
        <v>9754.0625</v>
      </c>
      <c r="J50" s="49">
        <f t="shared" si="15"/>
        <v>6370</v>
      </c>
      <c r="K50" s="49">
        <f t="shared" si="15"/>
        <v>4180.3125</v>
      </c>
      <c r="L50" s="49">
        <f t="shared" si="15"/>
        <v>1393.4375</v>
      </c>
      <c r="M50" s="49">
        <f t="shared" si="15"/>
        <v>0</v>
      </c>
      <c r="N50" s="49">
        <f>SUM(B50:M50)</f>
        <v>57130.9375</v>
      </c>
    </row>
    <row r="51" spans="1:14">
      <c r="A51" s="17" t="s">
        <v>98</v>
      </c>
      <c r="B51" s="4">
        <f>B27*0.06</f>
        <v>4800</v>
      </c>
      <c r="C51" s="4">
        <f t="shared" ref="C51:M51" si="16">C27*0.06</f>
        <v>3600</v>
      </c>
      <c r="D51" s="4">
        <f t="shared" si="16"/>
        <v>2400</v>
      </c>
      <c r="E51" s="4">
        <f t="shared" si="16"/>
        <v>1260</v>
      </c>
      <c r="F51" s="4">
        <f t="shared" si="16"/>
        <v>1638</v>
      </c>
      <c r="G51" s="4">
        <f t="shared" si="16"/>
        <v>2310</v>
      </c>
      <c r="H51" s="4">
        <f t="shared" si="16"/>
        <v>2268</v>
      </c>
      <c r="I51" s="4">
        <f t="shared" si="16"/>
        <v>2058</v>
      </c>
      <c r="J51" s="4">
        <f t="shared" si="16"/>
        <v>1344</v>
      </c>
      <c r="K51" s="4">
        <f t="shared" si="16"/>
        <v>882</v>
      </c>
      <c r="L51" s="4">
        <f t="shared" si="16"/>
        <v>1734</v>
      </c>
      <c r="M51" s="4">
        <f t="shared" si="16"/>
        <v>2880</v>
      </c>
      <c r="N51" s="49">
        <f>SUM(B51:M51)</f>
        <v>27174</v>
      </c>
    </row>
    <row r="52" spans="1:14">
      <c r="A52" s="17" t="s">
        <v>79</v>
      </c>
      <c r="B52" s="4">
        <v>7000</v>
      </c>
      <c r="C52" s="4">
        <v>7000</v>
      </c>
      <c r="D52" s="4">
        <v>7000</v>
      </c>
      <c r="E52" s="4">
        <v>7000</v>
      </c>
      <c r="F52" s="4">
        <v>7000</v>
      </c>
      <c r="G52" s="4">
        <v>7000</v>
      </c>
      <c r="H52" s="4">
        <v>7000</v>
      </c>
      <c r="I52" s="4">
        <v>7000</v>
      </c>
      <c r="J52" s="4">
        <v>7000</v>
      </c>
      <c r="K52" s="4">
        <v>7000</v>
      </c>
      <c r="L52" s="4">
        <v>7000</v>
      </c>
      <c r="M52" s="4">
        <v>7000</v>
      </c>
      <c r="N52" s="49">
        <f>SUM(B52:M52)</f>
        <v>84000</v>
      </c>
    </row>
    <row r="53" spans="1:14">
      <c r="A53" s="17" t="s">
        <v>44</v>
      </c>
      <c r="B53" s="49">
        <f>B27-AC29</f>
        <v>64350</v>
      </c>
      <c r="C53" s="49">
        <f>C27-AC30</f>
        <v>48350</v>
      </c>
      <c r="D53" s="49">
        <f>D27-AC31</f>
        <v>6350</v>
      </c>
      <c r="E53" s="49">
        <f>E27-AC32</f>
        <v>3378.125</v>
      </c>
      <c r="F53" s="49">
        <f>F27-AC33</f>
        <v>3886.5625</v>
      </c>
      <c r="G53" s="49">
        <f>G27-AC34</f>
        <v>15901.5625</v>
      </c>
      <c r="H53" s="49">
        <f>H27-AC35</f>
        <v>15400.625</v>
      </c>
      <c r="I53" s="49">
        <f>I27-AC36</f>
        <v>8895.9375</v>
      </c>
      <c r="J53" s="49">
        <f>J27-AC37</f>
        <v>4380</v>
      </c>
      <c r="K53" s="49">
        <f>K27-AC38</f>
        <v>-1130.3125</v>
      </c>
      <c r="L53" s="49">
        <f>L27-AC39</f>
        <v>15856.5625</v>
      </c>
      <c r="M53" s="49">
        <f>M27-AC40</f>
        <v>32350</v>
      </c>
      <c r="N53" s="49">
        <f>SUM(B53:M53)</f>
        <v>217969.0625</v>
      </c>
    </row>
  </sheetData>
  <mergeCells count="20">
    <mergeCell ref="AD1:AD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S3:S4"/>
    <mergeCell ref="AD3:AD4"/>
    <mergeCell ref="S29:S40"/>
    <mergeCell ref="AD29:AD40"/>
    <mergeCell ref="S5:S16"/>
    <mergeCell ref="AD5:AD16"/>
    <mergeCell ref="S17:S28"/>
    <mergeCell ref="AD17:AD28"/>
  </mergeCells>
  <pageMargins left="0.7" right="0.7" top="0.75" bottom="0.75" header="0.3" footer="0.3"/>
  <pageSetup paperSize="9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9.109375" defaultRowHeight="13.8"/>
  <cols>
    <col min="1" max="1" width="9.109375" style="1"/>
    <col min="2" max="2" width="11.6640625" style="1" customWidth="1"/>
    <col min="3" max="3" width="42.5546875" style="1" customWidth="1"/>
    <col min="4" max="4" width="21.6640625" style="1" customWidth="1"/>
    <col min="5" max="5" width="11.88671875" style="1" bestFit="1" customWidth="1"/>
    <col min="6" max="6" width="12.6640625" style="1" bestFit="1" customWidth="1"/>
    <col min="7" max="7" width="11.88671875" style="1" bestFit="1" customWidth="1"/>
    <col min="8" max="16384" width="9.109375" style="1"/>
  </cols>
  <sheetData>
    <row r="1" spans="1:7" ht="15.6">
      <c r="B1" s="151" t="s">
        <v>46</v>
      </c>
      <c r="C1" s="151"/>
      <c r="D1" s="151"/>
      <c r="E1" s="151"/>
      <c r="F1" s="151"/>
      <c r="G1" s="151"/>
    </row>
    <row r="2" spans="1:7" ht="15.6">
      <c r="A2" s="2"/>
      <c r="B2" s="2"/>
      <c r="C2" s="2"/>
      <c r="D2" s="2"/>
      <c r="E2" s="2"/>
      <c r="F2" s="2"/>
    </row>
    <row r="3" spans="1:7" ht="15.6">
      <c r="A3" s="2"/>
      <c r="B3" s="3" t="s">
        <v>29</v>
      </c>
      <c r="C3" s="3" t="s">
        <v>47</v>
      </c>
      <c r="D3" s="27">
        <v>2023</v>
      </c>
      <c r="E3" s="27">
        <v>2024</v>
      </c>
      <c r="F3" s="27">
        <v>2025</v>
      </c>
      <c r="G3" s="27">
        <v>2026</v>
      </c>
    </row>
    <row r="4" spans="1:7" ht="15.6">
      <c r="A4" s="2"/>
      <c r="B4" s="3">
        <v>1</v>
      </c>
      <c r="C4" s="3" t="s">
        <v>61</v>
      </c>
      <c r="D4" s="4">
        <f>'План на будущие периоды '!L4</f>
        <v>10</v>
      </c>
      <c r="E4" s="4">
        <f>'План на будущие периоды '!N7</f>
        <v>55</v>
      </c>
      <c r="F4" s="4">
        <f>'План на будущие периоды '!N10</f>
        <v>88</v>
      </c>
      <c r="G4" s="4">
        <f>'План на будущие периоды '!N13</f>
        <v>126</v>
      </c>
    </row>
    <row r="5" spans="1:7" ht="15.6">
      <c r="A5" s="2"/>
      <c r="B5" s="3">
        <v>2</v>
      </c>
      <c r="C5" s="3" t="s">
        <v>48</v>
      </c>
      <c r="D5" s="4">
        <f>SUM('План на будущие периоды '!AD3:AD4)</f>
        <v>15650</v>
      </c>
      <c r="E5" s="4">
        <f>SUM('План на будущие периоды '!AD5:AD16)</f>
        <v>206435.375</v>
      </c>
      <c r="F5" s="4">
        <f>SUM('План на будущие периоды '!AD17:AD28)</f>
        <v>224181.5625</v>
      </c>
      <c r="G5" s="4">
        <f>SUM('План на будущие периоды '!AD29:AD40)</f>
        <v>234930.9375</v>
      </c>
    </row>
    <row r="6" spans="1:7" ht="15.6">
      <c r="A6" s="2"/>
      <c r="B6" s="3">
        <v>3</v>
      </c>
      <c r="C6" s="3" t="s">
        <v>49</v>
      </c>
      <c r="D6" s="4">
        <f>D5/D4</f>
        <v>1565</v>
      </c>
      <c r="E6" s="4">
        <f t="shared" ref="E6:G6" si="0">E5/E4</f>
        <v>3753.3704545454543</v>
      </c>
      <c r="F6" s="4">
        <f t="shared" si="0"/>
        <v>2547.517755681818</v>
      </c>
      <c r="G6" s="4">
        <f t="shared" si="0"/>
        <v>1864.53125</v>
      </c>
    </row>
  </sheetData>
  <mergeCells count="1">
    <mergeCell ref="B1:G1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zoomScale="60" zoomScaleNormal="60" workbookViewId="0"/>
  </sheetViews>
  <sheetFormatPr defaultColWidth="8.88671875" defaultRowHeight="13.8"/>
  <cols>
    <col min="1" max="1" width="26.33203125" style="1" customWidth="1"/>
    <col min="2" max="2" width="13.44140625" style="1" customWidth="1"/>
    <col min="3" max="3" width="18.88671875" style="33" customWidth="1"/>
    <col min="4" max="4" width="18.5546875" style="33" customWidth="1"/>
    <col min="5" max="5" width="12.6640625" style="33" customWidth="1"/>
    <col min="6" max="6" width="16.88671875" style="1" customWidth="1"/>
    <col min="7" max="7" width="10.88671875" style="1" customWidth="1"/>
    <col min="8" max="8" width="11" style="1" customWidth="1"/>
    <col min="9" max="9" width="11.5546875" style="1" customWidth="1"/>
    <col min="10" max="10" width="13.88671875" style="1" customWidth="1"/>
    <col min="11" max="11" width="14.33203125" style="1" customWidth="1"/>
    <col min="12" max="12" width="11.5546875" style="1" bestFit="1" customWidth="1"/>
    <col min="13" max="14" width="8.88671875" style="43"/>
    <col min="15" max="16384" width="8.88671875" style="1"/>
  </cols>
  <sheetData>
    <row r="2" spans="1:14" ht="14.4" customHeight="1">
      <c r="A2" s="172" t="s">
        <v>74</v>
      </c>
      <c r="B2" s="172"/>
      <c r="C2" s="172"/>
      <c r="D2" s="172"/>
      <c r="E2" s="172"/>
      <c r="F2" s="172"/>
    </row>
    <row r="4" spans="1:14" s="8" customFormat="1" ht="27.6">
      <c r="A4" s="10" t="s">
        <v>7</v>
      </c>
      <c r="B4" s="10" t="s">
        <v>6</v>
      </c>
      <c r="C4" s="10" t="s">
        <v>164</v>
      </c>
      <c r="D4" s="10" t="s">
        <v>165</v>
      </c>
      <c r="E4" s="10" t="s">
        <v>76</v>
      </c>
      <c r="F4" s="10" t="s">
        <v>20</v>
      </c>
      <c r="G4" s="7"/>
      <c r="H4" s="7"/>
      <c r="I4" s="7"/>
      <c r="J4" s="7"/>
      <c r="M4" s="44"/>
      <c r="N4" s="44"/>
    </row>
    <row r="5" spans="1:14" ht="14.4" customHeight="1">
      <c r="A5" s="136">
        <v>2023</v>
      </c>
      <c r="B5" s="9" t="s">
        <v>10</v>
      </c>
      <c r="C5" s="70">
        <v>29</v>
      </c>
      <c r="D5" s="126">
        <v>0</v>
      </c>
      <c r="E5" s="126">
        <f t="shared" ref="E5:E41" si="0">C5+D5</f>
        <v>29</v>
      </c>
      <c r="F5" s="126">
        <v>241</v>
      </c>
    </row>
    <row r="6" spans="1:14">
      <c r="A6" s="173">
        <v>2024</v>
      </c>
      <c r="B6" s="9" t="s">
        <v>11</v>
      </c>
      <c r="C6" s="70">
        <v>43</v>
      </c>
      <c r="D6" s="126">
        <v>0</v>
      </c>
      <c r="E6" s="126">
        <f t="shared" si="0"/>
        <v>43</v>
      </c>
      <c r="F6" s="174">
        <f>SUM(E6:E17)</f>
        <v>347</v>
      </c>
    </row>
    <row r="7" spans="1:14">
      <c r="A7" s="173"/>
      <c r="B7" s="9" t="s">
        <v>12</v>
      </c>
      <c r="C7" s="70">
        <v>41</v>
      </c>
      <c r="D7" s="126">
        <v>0</v>
      </c>
      <c r="E7" s="126">
        <f t="shared" si="0"/>
        <v>41</v>
      </c>
      <c r="F7" s="175"/>
    </row>
    <row r="8" spans="1:14" ht="14.4" customHeight="1">
      <c r="A8" s="173"/>
      <c r="B8" s="9" t="s">
        <v>13</v>
      </c>
      <c r="C8" s="70">
        <v>23</v>
      </c>
      <c r="D8" s="126">
        <v>0</v>
      </c>
      <c r="E8" s="126">
        <f t="shared" si="0"/>
        <v>23</v>
      </c>
      <c r="F8" s="175"/>
    </row>
    <row r="9" spans="1:14">
      <c r="A9" s="173"/>
      <c r="B9" s="9" t="s">
        <v>14</v>
      </c>
      <c r="C9" s="70">
        <v>0</v>
      </c>
      <c r="D9" s="126">
        <v>16</v>
      </c>
      <c r="E9" s="126">
        <f t="shared" si="0"/>
        <v>16</v>
      </c>
      <c r="F9" s="175"/>
    </row>
    <row r="10" spans="1:14">
      <c r="A10" s="173"/>
      <c r="B10" s="9" t="s">
        <v>15</v>
      </c>
      <c r="C10" s="70">
        <v>0</v>
      </c>
      <c r="D10" s="126">
        <v>17</v>
      </c>
      <c r="E10" s="126">
        <f t="shared" si="0"/>
        <v>17</v>
      </c>
      <c r="F10" s="175"/>
    </row>
    <row r="11" spans="1:14">
      <c r="A11" s="173"/>
      <c r="B11" s="9" t="s">
        <v>16</v>
      </c>
      <c r="C11" s="70">
        <v>0</v>
      </c>
      <c r="D11" s="126">
        <v>20</v>
      </c>
      <c r="E11" s="126">
        <f t="shared" si="0"/>
        <v>20</v>
      </c>
      <c r="F11" s="175"/>
    </row>
    <row r="12" spans="1:14">
      <c r="A12" s="173"/>
      <c r="B12" s="9" t="s">
        <v>17</v>
      </c>
      <c r="C12" s="70">
        <v>0</v>
      </c>
      <c r="D12" s="126">
        <v>41</v>
      </c>
      <c r="E12" s="126">
        <f t="shared" si="0"/>
        <v>41</v>
      </c>
      <c r="F12" s="175"/>
      <c r="J12" s="171" t="s">
        <v>73</v>
      </c>
      <c r="K12" s="171"/>
      <c r="L12" s="171"/>
      <c r="M12" s="171"/>
      <c r="N12" s="171"/>
    </row>
    <row r="13" spans="1:14">
      <c r="A13" s="173"/>
      <c r="B13" s="9" t="s">
        <v>18</v>
      </c>
      <c r="C13" s="70">
        <v>0</v>
      </c>
      <c r="D13" s="126">
        <v>40</v>
      </c>
      <c r="E13" s="126">
        <f t="shared" si="0"/>
        <v>40</v>
      </c>
      <c r="F13" s="175"/>
    </row>
    <row r="14" spans="1:14">
      <c r="A14" s="173"/>
      <c r="B14" s="9" t="s">
        <v>19</v>
      </c>
      <c r="C14" s="70">
        <v>0</v>
      </c>
      <c r="D14" s="126">
        <v>20</v>
      </c>
      <c r="E14" s="126">
        <f t="shared" si="0"/>
        <v>20</v>
      </c>
      <c r="F14" s="175"/>
      <c r="J14" s="9"/>
      <c r="K14" s="9">
        <v>2023</v>
      </c>
      <c r="L14" s="9">
        <v>2024</v>
      </c>
      <c r="M14" s="45">
        <v>2025</v>
      </c>
      <c r="N14" s="45">
        <v>2026</v>
      </c>
    </row>
    <row r="15" spans="1:14">
      <c r="A15" s="173"/>
      <c r="B15" s="9" t="s">
        <v>8</v>
      </c>
      <c r="C15" s="70">
        <v>0</v>
      </c>
      <c r="D15" s="126">
        <v>21</v>
      </c>
      <c r="E15" s="126">
        <f t="shared" si="0"/>
        <v>21</v>
      </c>
      <c r="F15" s="175"/>
      <c r="J15" s="9" t="s">
        <v>40</v>
      </c>
      <c r="K15" s="32" t="s">
        <v>67</v>
      </c>
      <c r="L15" s="9">
        <f t="shared" ref="L15:L26" si="1">E5</f>
        <v>29</v>
      </c>
      <c r="M15" s="46">
        <f>E17</f>
        <v>38</v>
      </c>
      <c r="N15" s="45">
        <f>E29</f>
        <v>45</v>
      </c>
    </row>
    <row r="16" spans="1:14">
      <c r="A16" s="173"/>
      <c r="B16" s="9" t="s">
        <v>9</v>
      </c>
      <c r="C16" s="70">
        <v>27</v>
      </c>
      <c r="D16" s="126">
        <v>0</v>
      </c>
      <c r="E16" s="126">
        <f t="shared" si="0"/>
        <v>27</v>
      </c>
      <c r="F16" s="175"/>
      <c r="J16" s="9" t="s">
        <v>21</v>
      </c>
      <c r="K16" s="32" t="s">
        <v>67</v>
      </c>
      <c r="L16" s="9">
        <f t="shared" si="1"/>
        <v>43</v>
      </c>
      <c r="M16" s="46">
        <f>E18</f>
        <v>65</v>
      </c>
      <c r="N16" s="45">
        <f t="shared" ref="N16:N26" si="2">E30</f>
        <v>71</v>
      </c>
    </row>
    <row r="17" spans="1:14">
      <c r="A17" s="173"/>
      <c r="B17" s="9" t="s">
        <v>10</v>
      </c>
      <c r="C17" s="70">
        <v>38</v>
      </c>
      <c r="D17" s="126">
        <v>0</v>
      </c>
      <c r="E17" s="126">
        <f t="shared" si="0"/>
        <v>38</v>
      </c>
      <c r="F17" s="176"/>
      <c r="J17" s="9" t="s">
        <v>22</v>
      </c>
      <c r="K17" s="32" t="s">
        <v>67</v>
      </c>
      <c r="L17" s="9">
        <f t="shared" si="1"/>
        <v>41</v>
      </c>
      <c r="M17" s="46">
        <f>E19</f>
        <v>54</v>
      </c>
      <c r="N17" s="45">
        <f t="shared" si="2"/>
        <v>51</v>
      </c>
    </row>
    <row r="18" spans="1:14">
      <c r="A18" s="173">
        <v>2025</v>
      </c>
      <c r="B18" s="9" t="s">
        <v>11</v>
      </c>
      <c r="C18" s="70">
        <v>65</v>
      </c>
      <c r="D18" s="126">
        <v>0</v>
      </c>
      <c r="E18" s="126">
        <f t="shared" si="0"/>
        <v>65</v>
      </c>
      <c r="F18" s="174">
        <f>SUM(E18:E29)</f>
        <v>489</v>
      </c>
      <c r="J18" s="9" t="s">
        <v>23</v>
      </c>
      <c r="K18" s="32" t="s">
        <v>67</v>
      </c>
      <c r="L18" s="9">
        <f t="shared" si="1"/>
        <v>23</v>
      </c>
      <c r="M18" s="46">
        <f>E20</f>
        <v>30</v>
      </c>
      <c r="N18" s="45">
        <f t="shared" si="2"/>
        <v>25</v>
      </c>
    </row>
    <row r="19" spans="1:14">
      <c r="A19" s="173"/>
      <c r="B19" s="9" t="s">
        <v>12</v>
      </c>
      <c r="C19" s="70">
        <v>54</v>
      </c>
      <c r="D19" s="126">
        <v>0</v>
      </c>
      <c r="E19" s="126">
        <f t="shared" si="0"/>
        <v>54</v>
      </c>
      <c r="F19" s="175"/>
      <c r="J19" s="9" t="s">
        <v>24</v>
      </c>
      <c r="K19" s="32" t="s">
        <v>67</v>
      </c>
      <c r="L19" s="9">
        <f t="shared" si="1"/>
        <v>16</v>
      </c>
      <c r="M19" s="46">
        <f>E21</f>
        <v>25</v>
      </c>
      <c r="N19" s="45">
        <f t="shared" si="2"/>
        <v>31</v>
      </c>
    </row>
    <row r="20" spans="1:14" ht="14.4" customHeight="1">
      <c r="A20" s="173"/>
      <c r="B20" s="9" t="s">
        <v>13</v>
      </c>
      <c r="C20" s="70">
        <v>30</v>
      </c>
      <c r="D20" s="126">
        <v>0</v>
      </c>
      <c r="E20" s="126">
        <f t="shared" si="0"/>
        <v>30</v>
      </c>
      <c r="F20" s="175"/>
      <c r="J20" s="9" t="s">
        <v>25</v>
      </c>
      <c r="K20" s="32" t="s">
        <v>67</v>
      </c>
      <c r="L20" s="9">
        <f t="shared" si="1"/>
        <v>17</v>
      </c>
      <c r="M20" s="46">
        <f t="shared" ref="M20:M26" si="3">E22</f>
        <v>24</v>
      </c>
      <c r="N20" s="45">
        <f t="shared" si="2"/>
        <v>21</v>
      </c>
    </row>
    <row r="21" spans="1:14">
      <c r="A21" s="173"/>
      <c r="B21" s="9" t="s">
        <v>14</v>
      </c>
      <c r="C21" s="70">
        <v>0</v>
      </c>
      <c r="D21" s="126">
        <v>25</v>
      </c>
      <c r="E21" s="126">
        <f t="shared" si="0"/>
        <v>25</v>
      </c>
      <c r="F21" s="175"/>
      <c r="J21" s="9" t="s">
        <v>26</v>
      </c>
      <c r="K21" s="32" t="s">
        <v>67</v>
      </c>
      <c r="L21" s="9">
        <f t="shared" si="1"/>
        <v>20</v>
      </c>
      <c r="M21" s="46">
        <f t="shared" si="3"/>
        <v>25</v>
      </c>
      <c r="N21" s="45">
        <f t="shared" si="2"/>
        <v>21</v>
      </c>
    </row>
    <row r="22" spans="1:14">
      <c r="A22" s="173"/>
      <c r="B22" s="9" t="s">
        <v>15</v>
      </c>
      <c r="C22" s="70">
        <v>0</v>
      </c>
      <c r="D22" s="126">
        <v>24</v>
      </c>
      <c r="E22" s="126">
        <f t="shared" si="0"/>
        <v>24</v>
      </c>
      <c r="F22" s="175"/>
      <c r="J22" s="9" t="s">
        <v>27</v>
      </c>
      <c r="K22" s="32" t="s">
        <v>67</v>
      </c>
      <c r="L22" s="9">
        <f t="shared" si="1"/>
        <v>41</v>
      </c>
      <c r="M22" s="46">
        <f t="shared" si="3"/>
        <v>61</v>
      </c>
      <c r="N22" s="45">
        <f t="shared" si="2"/>
        <v>73</v>
      </c>
    </row>
    <row r="23" spans="1:14">
      <c r="A23" s="173"/>
      <c r="B23" s="9" t="s">
        <v>16</v>
      </c>
      <c r="C23" s="70">
        <v>0</v>
      </c>
      <c r="D23" s="126">
        <v>25</v>
      </c>
      <c r="E23" s="126">
        <f t="shared" si="0"/>
        <v>25</v>
      </c>
      <c r="F23" s="175"/>
      <c r="J23" s="9" t="s">
        <v>28</v>
      </c>
      <c r="K23" s="32" t="s">
        <v>67</v>
      </c>
      <c r="L23" s="9">
        <f t="shared" si="1"/>
        <v>40</v>
      </c>
      <c r="M23" s="46">
        <f t="shared" si="3"/>
        <v>70</v>
      </c>
      <c r="N23" s="45">
        <f t="shared" si="2"/>
        <v>61</v>
      </c>
    </row>
    <row r="24" spans="1:14">
      <c r="A24" s="173"/>
      <c r="B24" s="9" t="s">
        <v>17</v>
      </c>
      <c r="C24" s="70">
        <v>0</v>
      </c>
      <c r="D24" s="126">
        <v>61</v>
      </c>
      <c r="E24" s="126">
        <f t="shared" si="0"/>
        <v>61</v>
      </c>
      <c r="F24" s="175"/>
      <c r="J24" s="9" t="s">
        <v>41</v>
      </c>
      <c r="K24" s="32" t="s">
        <v>67</v>
      </c>
      <c r="L24" s="9">
        <f t="shared" si="1"/>
        <v>20</v>
      </c>
      <c r="M24" s="46">
        <f t="shared" si="3"/>
        <v>28</v>
      </c>
      <c r="N24" s="45">
        <f t="shared" si="2"/>
        <v>21</v>
      </c>
    </row>
    <row r="25" spans="1:14">
      <c r="A25" s="173"/>
      <c r="B25" s="9" t="s">
        <v>18</v>
      </c>
      <c r="C25" s="70">
        <v>0</v>
      </c>
      <c r="D25" s="126">
        <v>70</v>
      </c>
      <c r="E25" s="126">
        <f t="shared" si="0"/>
        <v>70</v>
      </c>
      <c r="F25" s="175"/>
      <c r="J25" s="9" t="s">
        <v>42</v>
      </c>
      <c r="K25" s="32" t="s">
        <v>67</v>
      </c>
      <c r="L25" s="9">
        <f t="shared" si="1"/>
        <v>21</v>
      </c>
      <c r="M25" s="46">
        <f t="shared" si="3"/>
        <v>29</v>
      </c>
      <c r="N25" s="45">
        <f t="shared" si="2"/>
        <v>28</v>
      </c>
    </row>
    <row r="26" spans="1:14">
      <c r="A26" s="173"/>
      <c r="B26" s="9" t="s">
        <v>19</v>
      </c>
      <c r="C26" s="70">
        <v>0</v>
      </c>
      <c r="D26" s="126">
        <v>28</v>
      </c>
      <c r="E26" s="126">
        <f t="shared" si="0"/>
        <v>28</v>
      </c>
      <c r="F26" s="175"/>
      <c r="J26" s="9" t="s">
        <v>43</v>
      </c>
      <c r="K26" s="9">
        <v>10</v>
      </c>
      <c r="L26" s="9">
        <f t="shared" si="1"/>
        <v>27</v>
      </c>
      <c r="M26" s="46">
        <f t="shared" si="3"/>
        <v>33</v>
      </c>
      <c r="N26" s="45">
        <f t="shared" si="2"/>
        <v>33</v>
      </c>
    </row>
    <row r="27" spans="1:14">
      <c r="A27" s="173"/>
      <c r="B27" s="9" t="s">
        <v>8</v>
      </c>
      <c r="C27" s="70">
        <v>0</v>
      </c>
      <c r="D27" s="126">
        <v>29</v>
      </c>
      <c r="E27" s="126">
        <f t="shared" si="0"/>
        <v>29</v>
      </c>
      <c r="F27" s="175"/>
    </row>
    <row r="28" spans="1:14">
      <c r="A28" s="173"/>
      <c r="B28" s="9" t="s">
        <v>9</v>
      </c>
      <c r="C28" s="70">
        <v>33</v>
      </c>
      <c r="D28" s="126">
        <v>0</v>
      </c>
      <c r="E28" s="126">
        <f t="shared" si="0"/>
        <v>33</v>
      </c>
      <c r="F28" s="175"/>
    </row>
    <row r="29" spans="1:14">
      <c r="A29" s="173"/>
      <c r="B29" s="9" t="s">
        <v>10</v>
      </c>
      <c r="C29" s="70">
        <v>45</v>
      </c>
      <c r="D29" s="126">
        <v>0</v>
      </c>
      <c r="E29" s="126">
        <f t="shared" si="0"/>
        <v>45</v>
      </c>
      <c r="F29" s="176"/>
    </row>
    <row r="30" spans="1:14">
      <c r="A30" s="173">
        <v>2026</v>
      </c>
      <c r="B30" s="9" t="s">
        <v>11</v>
      </c>
      <c r="C30" s="70">
        <v>71</v>
      </c>
      <c r="D30" s="126">
        <v>0</v>
      </c>
      <c r="E30" s="126">
        <f t="shared" si="0"/>
        <v>71</v>
      </c>
      <c r="F30" s="174">
        <f>SUM(E30:E41)</f>
        <v>487</v>
      </c>
    </row>
    <row r="31" spans="1:14">
      <c r="A31" s="173"/>
      <c r="B31" s="9" t="s">
        <v>12</v>
      </c>
      <c r="C31" s="70">
        <v>51</v>
      </c>
      <c r="D31" s="126">
        <v>0</v>
      </c>
      <c r="E31" s="126">
        <f t="shared" si="0"/>
        <v>51</v>
      </c>
      <c r="F31" s="175"/>
    </row>
    <row r="32" spans="1:14">
      <c r="A32" s="173"/>
      <c r="B32" s="9" t="s">
        <v>13</v>
      </c>
      <c r="C32" s="70">
        <v>0</v>
      </c>
      <c r="D32" s="126">
        <v>25</v>
      </c>
      <c r="E32" s="126">
        <f t="shared" si="0"/>
        <v>25</v>
      </c>
      <c r="F32" s="175"/>
    </row>
    <row r="33" spans="1:10" ht="14.4" customHeight="1">
      <c r="A33" s="173"/>
      <c r="B33" s="9" t="s">
        <v>14</v>
      </c>
      <c r="C33" s="70">
        <v>0</v>
      </c>
      <c r="D33" s="126">
        <v>31</v>
      </c>
      <c r="E33" s="126">
        <f t="shared" si="0"/>
        <v>31</v>
      </c>
      <c r="F33" s="175"/>
    </row>
    <row r="34" spans="1:10">
      <c r="A34" s="173"/>
      <c r="B34" s="9" t="s">
        <v>15</v>
      </c>
      <c r="C34" s="70">
        <v>0</v>
      </c>
      <c r="D34" s="126">
        <v>21</v>
      </c>
      <c r="E34" s="126">
        <f t="shared" si="0"/>
        <v>21</v>
      </c>
      <c r="F34" s="175"/>
    </row>
    <row r="35" spans="1:10">
      <c r="A35" s="173"/>
      <c r="B35" s="9" t="s">
        <v>16</v>
      </c>
      <c r="C35" s="70">
        <v>0</v>
      </c>
      <c r="D35" s="126">
        <v>21</v>
      </c>
      <c r="E35" s="126">
        <f t="shared" si="0"/>
        <v>21</v>
      </c>
      <c r="F35" s="175"/>
    </row>
    <row r="36" spans="1:10">
      <c r="A36" s="173"/>
      <c r="B36" s="9" t="s">
        <v>17</v>
      </c>
      <c r="C36" s="70">
        <v>0</v>
      </c>
      <c r="D36" s="126">
        <v>73</v>
      </c>
      <c r="E36" s="126">
        <f t="shared" si="0"/>
        <v>73</v>
      </c>
      <c r="F36" s="175"/>
    </row>
    <row r="37" spans="1:10">
      <c r="A37" s="173"/>
      <c r="B37" s="9" t="s">
        <v>18</v>
      </c>
      <c r="C37" s="70">
        <v>0</v>
      </c>
      <c r="D37" s="126">
        <v>61</v>
      </c>
      <c r="E37" s="126">
        <f t="shared" si="0"/>
        <v>61</v>
      </c>
      <c r="F37" s="175"/>
    </row>
    <row r="38" spans="1:10">
      <c r="A38" s="173"/>
      <c r="B38" s="9" t="s">
        <v>19</v>
      </c>
      <c r="C38" s="70">
        <v>0</v>
      </c>
      <c r="D38" s="126">
        <v>21</v>
      </c>
      <c r="E38" s="126">
        <f t="shared" si="0"/>
        <v>21</v>
      </c>
      <c r="F38" s="175"/>
    </row>
    <row r="39" spans="1:10">
      <c r="A39" s="173"/>
      <c r="B39" s="9" t="s">
        <v>8</v>
      </c>
      <c r="C39" s="70">
        <v>0</v>
      </c>
      <c r="D39" s="126">
        <v>28</v>
      </c>
      <c r="E39" s="126">
        <f t="shared" si="0"/>
        <v>28</v>
      </c>
      <c r="F39" s="175"/>
    </row>
    <row r="40" spans="1:10">
      <c r="A40" s="173"/>
      <c r="B40" s="9" t="s">
        <v>9</v>
      </c>
      <c r="C40" s="70">
        <v>33</v>
      </c>
      <c r="D40" s="126">
        <v>0</v>
      </c>
      <c r="E40" s="126">
        <f t="shared" si="0"/>
        <v>33</v>
      </c>
      <c r="F40" s="175"/>
    </row>
    <row r="41" spans="1:10">
      <c r="A41" s="173"/>
      <c r="B41" s="9" t="s">
        <v>10</v>
      </c>
      <c r="C41" s="70">
        <v>51</v>
      </c>
      <c r="D41" s="126">
        <v>0</v>
      </c>
      <c r="E41" s="126">
        <f t="shared" si="0"/>
        <v>51</v>
      </c>
      <c r="F41" s="176"/>
    </row>
    <row r="42" spans="1:10">
      <c r="A42" s="169" t="s">
        <v>77</v>
      </c>
      <c r="B42" s="169"/>
      <c r="C42" s="169"/>
      <c r="D42" s="170"/>
    </row>
    <row r="43" spans="1:10">
      <c r="A43" s="9">
        <v>2023</v>
      </c>
      <c r="B43" s="9" t="s">
        <v>43</v>
      </c>
      <c r="C43" s="9" t="s">
        <v>89</v>
      </c>
      <c r="D43" s="68"/>
      <c r="E43" s="137"/>
      <c r="F43" s="138"/>
      <c r="G43" s="139"/>
      <c r="H43" s="138"/>
      <c r="I43" s="138"/>
      <c r="J43" s="138"/>
    </row>
    <row r="44" spans="1:10">
      <c r="A44" s="42" t="s">
        <v>68</v>
      </c>
      <c r="B44" s="71">
        <f>'План на будущие периоды '!K18</f>
        <v>20000</v>
      </c>
      <c r="C44" s="71">
        <f ca="1">SUM(B44:J44)</f>
        <v>20000</v>
      </c>
      <c r="D44" s="140"/>
      <c r="E44" s="140"/>
      <c r="F44" s="141"/>
      <c r="G44" s="141"/>
      <c r="H44" s="141"/>
      <c r="I44" s="141"/>
      <c r="J44" s="141"/>
    </row>
    <row r="45" spans="1:10">
      <c r="A45" s="42" t="s">
        <v>69</v>
      </c>
      <c r="B45" s="66">
        <f>'План на будущие периоды '!AC4</f>
        <v>15650</v>
      </c>
      <c r="C45" s="71">
        <f ca="1">SUM(B45:J45)</f>
        <v>15650</v>
      </c>
      <c r="D45" s="141"/>
      <c r="E45" s="141"/>
      <c r="F45" s="141"/>
      <c r="G45" s="141"/>
      <c r="H45" s="141"/>
      <c r="I45" s="141"/>
      <c r="J45" s="141"/>
    </row>
    <row r="46" spans="1:10">
      <c r="A46" s="9" t="s">
        <v>92</v>
      </c>
      <c r="B46" s="71">
        <f>B44-B45</f>
        <v>4350</v>
      </c>
      <c r="C46" s="71">
        <f ca="1">C44-C45</f>
        <v>4350</v>
      </c>
      <c r="D46" s="142"/>
      <c r="E46" s="142"/>
      <c r="F46" s="142"/>
      <c r="G46" s="142"/>
      <c r="H46" s="142"/>
      <c r="I46" s="142"/>
      <c r="J46" s="142"/>
    </row>
    <row r="53" ht="16.5" customHeight="1"/>
    <row r="54" ht="16.5" customHeight="1"/>
  </sheetData>
  <mergeCells count="9">
    <mergeCell ref="A42:D42"/>
    <mergeCell ref="J12:N12"/>
    <mergeCell ref="A2:F2"/>
    <mergeCell ref="A6:A17"/>
    <mergeCell ref="A30:A41"/>
    <mergeCell ref="A18:A29"/>
    <mergeCell ref="F30:F41"/>
    <mergeCell ref="F6:F17"/>
    <mergeCell ref="F18:F29"/>
  </mergeCells>
  <pageMargins left="0.7" right="0.7" top="0.75" bottom="0.75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/>
  </sheetViews>
  <sheetFormatPr defaultRowHeight="14.4"/>
  <cols>
    <col min="2" max="2" width="29.5546875" customWidth="1"/>
    <col min="3" max="3" width="15.44140625" customWidth="1"/>
  </cols>
  <sheetData>
    <row r="2" spans="1:3" ht="15.6">
      <c r="A2" s="2"/>
      <c r="B2" s="2" t="s">
        <v>50</v>
      </c>
      <c r="C2" s="2"/>
    </row>
    <row r="3" spans="1:3" ht="15.6">
      <c r="A3" s="2"/>
      <c r="B3" s="2"/>
      <c r="C3" s="2"/>
    </row>
    <row r="4" spans="1:3" ht="15.6">
      <c r="A4" s="3"/>
      <c r="B4" s="3"/>
      <c r="C4" s="12">
        <v>2023</v>
      </c>
    </row>
    <row r="5" spans="1:3" ht="15.6">
      <c r="A5" s="3">
        <v>1</v>
      </c>
      <c r="B5" s="3" t="s">
        <v>70</v>
      </c>
      <c r="C5" s="47">
        <f>'Прогнозный баланс'!C2</f>
        <v>20000</v>
      </c>
    </row>
    <row r="6" spans="1:3" ht="15.6">
      <c r="A6" s="3">
        <v>2</v>
      </c>
      <c r="B6" s="3" t="s">
        <v>69</v>
      </c>
      <c r="C6" s="47">
        <f>'Прогнозный баланс'!C3</f>
        <v>15650</v>
      </c>
    </row>
    <row r="7" spans="1:3" ht="15.6">
      <c r="A7" s="3">
        <v>3</v>
      </c>
      <c r="B7" s="3" t="s">
        <v>63</v>
      </c>
      <c r="C7" s="47">
        <f>'Прогнозный баланс'!C4</f>
        <v>4350</v>
      </c>
    </row>
    <row r="8" spans="1:3" ht="15.6">
      <c r="A8" s="3">
        <v>4</v>
      </c>
      <c r="B8" s="3" t="s">
        <v>62</v>
      </c>
      <c r="C8" s="47">
        <f>'Прогнозный баланс'!C5</f>
        <v>1200</v>
      </c>
    </row>
    <row r="9" spans="1:3" ht="15.6">
      <c r="A9" s="3">
        <v>5</v>
      </c>
      <c r="B9" s="3" t="s">
        <v>52</v>
      </c>
      <c r="C9" s="47">
        <f>'Прогнозный баланс'!C6</f>
        <v>3150</v>
      </c>
    </row>
    <row r="10" spans="1:3" ht="15.6">
      <c r="A10" s="2"/>
      <c r="B10" s="2"/>
      <c r="C10" s="2"/>
    </row>
    <row r="11" spans="1:3" ht="15.6">
      <c r="A11" s="2"/>
      <c r="B11" s="2"/>
      <c r="C11" s="2"/>
    </row>
    <row r="12" spans="1:3" ht="15.6">
      <c r="A12" s="2"/>
      <c r="B12" s="2"/>
      <c r="C12" s="2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4"/>
  <cols>
    <col min="2" max="2" width="28.44140625" bestFit="1" customWidth="1"/>
    <col min="3" max="3" width="14.6640625" style="48" customWidth="1"/>
    <col min="4" max="4" width="18.44140625" style="48" customWidth="1"/>
    <col min="5" max="5" width="19.33203125" style="48" customWidth="1"/>
    <col min="6" max="6" width="19" style="48" customWidth="1"/>
  </cols>
  <sheetData>
    <row r="1" spans="1:6" ht="15.6">
      <c r="A1" s="3"/>
      <c r="B1" s="3" t="s">
        <v>36</v>
      </c>
      <c r="C1" s="36">
        <v>2023</v>
      </c>
      <c r="D1" s="36">
        <v>2024</v>
      </c>
      <c r="E1" s="36">
        <v>2025</v>
      </c>
      <c r="F1" s="36">
        <v>2026</v>
      </c>
    </row>
    <row r="2" spans="1:6" ht="15.6">
      <c r="A2" s="3">
        <v>1</v>
      </c>
      <c r="B2" s="3" t="s">
        <v>53</v>
      </c>
      <c r="C2" s="47">
        <f>'План на будущие периоды '!L18</f>
        <v>20000</v>
      </c>
      <c r="D2" s="47">
        <f>'План на будущие периоды '!N21</f>
        <v>237400</v>
      </c>
      <c r="E2" s="47">
        <f>'План на будущие периоды '!N24</f>
        <v>339100</v>
      </c>
      <c r="F2" s="47">
        <f>'План на будущие периоды '!N27</f>
        <v>452900</v>
      </c>
    </row>
    <row r="3" spans="1:6" ht="15.6">
      <c r="A3" s="3">
        <v>2</v>
      </c>
      <c r="B3" s="3" t="s">
        <v>51</v>
      </c>
      <c r="C3" s="47">
        <f>'План на будущие периоды '!AD3:AD4</f>
        <v>15650</v>
      </c>
      <c r="D3" s="47">
        <f>SUM('План на будущие периоды '!AD5:AD16)</f>
        <v>206435.375</v>
      </c>
      <c r="E3" s="47">
        <f>SUM('План на будущие периоды '!AD17:AD28)</f>
        <v>224181.5625</v>
      </c>
      <c r="F3" s="47">
        <f>SUM('План на будущие периоды '!AD29:AD40)</f>
        <v>234930.9375</v>
      </c>
    </row>
    <row r="4" spans="1:6" ht="15.6">
      <c r="A4" s="3">
        <v>3</v>
      </c>
      <c r="B4" s="3" t="s">
        <v>63</v>
      </c>
      <c r="C4" s="47">
        <f>C2-C3</f>
        <v>4350</v>
      </c>
      <c r="D4" s="47">
        <f t="shared" ref="D4:F4" si="0">D2-D3</f>
        <v>30964.625</v>
      </c>
      <c r="E4" s="47">
        <f t="shared" si="0"/>
        <v>114918.4375</v>
      </c>
      <c r="F4" s="47">
        <f t="shared" si="0"/>
        <v>217969.0625</v>
      </c>
    </row>
    <row r="5" spans="1:6" ht="15.6">
      <c r="A5" s="3">
        <v>4</v>
      </c>
      <c r="B5" s="3" t="s">
        <v>62</v>
      </c>
      <c r="C5" s="47">
        <f>C2*0.06</f>
        <v>1200</v>
      </c>
      <c r="D5" s="47">
        <f t="shared" ref="D5:F5" si="1">D2*0.06</f>
        <v>14244</v>
      </c>
      <c r="E5" s="47">
        <f t="shared" si="1"/>
        <v>20346</v>
      </c>
      <c r="F5" s="47">
        <f t="shared" si="1"/>
        <v>27174</v>
      </c>
    </row>
    <row r="6" spans="1:6" ht="15.6">
      <c r="A6" s="3">
        <v>5</v>
      </c>
      <c r="B6" s="3" t="s">
        <v>52</v>
      </c>
      <c r="C6" s="47">
        <f>C4-C5</f>
        <v>3150</v>
      </c>
      <c r="D6" s="47">
        <f t="shared" ref="D6:F6" si="2">D4-D5</f>
        <v>16720.625</v>
      </c>
      <c r="E6" s="47">
        <f t="shared" si="2"/>
        <v>94572.4375</v>
      </c>
      <c r="F6" s="47">
        <f t="shared" si="2"/>
        <v>190795.0625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/>
  </sheetViews>
  <sheetFormatPr defaultRowHeight="14.4"/>
  <cols>
    <col min="1" max="1" width="44.6640625" bestFit="1" customWidth="1"/>
    <col min="2" max="5" width="11.88671875" bestFit="1" customWidth="1"/>
  </cols>
  <sheetData>
    <row r="2" spans="1:5" ht="15.6">
      <c r="A2" s="153" t="s">
        <v>54</v>
      </c>
      <c r="B2" s="153"/>
      <c r="C2" s="153"/>
      <c r="D2" s="153"/>
      <c r="E2" s="153"/>
    </row>
    <row r="3" spans="1:5" ht="15.6">
      <c r="A3" s="3" t="s">
        <v>55</v>
      </c>
      <c r="B3" s="3">
        <v>2023</v>
      </c>
      <c r="C3" s="3">
        <v>2024</v>
      </c>
      <c r="D3" s="3">
        <v>2025</v>
      </c>
      <c r="E3" s="3">
        <v>2026</v>
      </c>
    </row>
    <row r="4" spans="1:5" ht="15.6">
      <c r="A4" s="177" t="s">
        <v>58</v>
      </c>
      <c r="B4" s="177"/>
      <c r="C4" s="177"/>
      <c r="D4" s="177"/>
      <c r="E4" s="177"/>
    </row>
    <row r="5" spans="1:5" ht="15.6">
      <c r="A5" s="16" t="s">
        <v>56</v>
      </c>
      <c r="B5" s="4">
        <f>B6</f>
        <v>20000</v>
      </c>
      <c r="C5" s="4">
        <f t="shared" ref="C5:E5" si="0">C6</f>
        <v>237400</v>
      </c>
      <c r="D5" s="4">
        <f t="shared" si="0"/>
        <v>339100</v>
      </c>
      <c r="E5" s="4">
        <f t="shared" si="0"/>
        <v>452900</v>
      </c>
    </row>
    <row r="6" spans="1:5" ht="15.6">
      <c r="A6" s="3" t="s">
        <v>57</v>
      </c>
      <c r="B6" s="4">
        <f>'Прогнозный баланс'!C2</f>
        <v>20000</v>
      </c>
      <c r="C6" s="4">
        <f>'Прогнозный баланс'!D2</f>
        <v>237400</v>
      </c>
      <c r="D6" s="4">
        <f>'Прогнозный баланс'!E2</f>
        <v>339100</v>
      </c>
      <c r="E6" s="4">
        <f>'Прогнозный баланс'!F2</f>
        <v>452900</v>
      </c>
    </row>
    <row r="7" spans="1:5" ht="15.6">
      <c r="A7" s="16" t="s">
        <v>59</v>
      </c>
      <c r="B7" s="4"/>
      <c r="C7" s="4"/>
      <c r="D7" s="4"/>
      <c r="E7" s="4"/>
    </row>
    <row r="8" spans="1:5" ht="15.6">
      <c r="A8" s="3" t="s">
        <v>91</v>
      </c>
      <c r="B8" s="4">
        <f>SUM('План на будущие периоды '!AD3:AD4)</f>
        <v>15650</v>
      </c>
      <c r="C8" s="4">
        <f>SUM('План на будущие периоды '!AD5:AD16)</f>
        <v>206435.375</v>
      </c>
      <c r="D8" s="4">
        <f>SUM('План на будущие периоды '!AD17:AD28)</f>
        <v>224181.5625</v>
      </c>
      <c r="E8" s="4">
        <f>SUM('План на будущие периоды '!AD29:AD40)</f>
        <v>234930.9375</v>
      </c>
    </row>
    <row r="9" spans="1:5" ht="15.6">
      <c r="A9" s="17" t="s">
        <v>64</v>
      </c>
      <c r="B9" s="49">
        <f>'Прогнозный баланс'!C5</f>
        <v>1200</v>
      </c>
      <c r="C9" s="49">
        <f>'Прогнозный баланс'!D5</f>
        <v>14244</v>
      </c>
      <c r="D9" s="49">
        <f>'Прогнозный баланс'!E5</f>
        <v>20346</v>
      </c>
      <c r="E9" s="49">
        <f>'Прогнозный баланс'!F5</f>
        <v>27174</v>
      </c>
    </row>
    <row r="10" spans="1:5" ht="15.6">
      <c r="A10" s="17" t="s">
        <v>78</v>
      </c>
      <c r="B10" s="4">
        <f>B6*0.2</f>
        <v>4000</v>
      </c>
      <c r="C10" s="4">
        <f t="shared" ref="C10:E10" si="1">C6*0.2</f>
        <v>47480</v>
      </c>
      <c r="D10" s="4">
        <f t="shared" si="1"/>
        <v>67820</v>
      </c>
      <c r="E10" s="4">
        <f t="shared" si="1"/>
        <v>90580</v>
      </c>
    </row>
    <row r="11" spans="1:5" ht="15.6">
      <c r="A11" s="59" t="s">
        <v>81</v>
      </c>
      <c r="B11" s="4">
        <f>B5-B8-B9-B10</f>
        <v>-850</v>
      </c>
      <c r="C11" s="4">
        <f t="shared" ref="C11:E11" si="2">C5-C8-C9-C10</f>
        <v>-30759.375</v>
      </c>
      <c r="D11" s="4">
        <f t="shared" si="2"/>
        <v>26752.4375</v>
      </c>
      <c r="E11" s="4">
        <f t="shared" si="2"/>
        <v>100215.0625</v>
      </c>
    </row>
  </sheetData>
  <mergeCells count="2">
    <mergeCell ref="A2:E2"/>
    <mergeCell ref="A4:E4"/>
  </mergeCells>
  <pageMargins left="0.7" right="0.7" top="0.75" bottom="0.75" header="0.3" footer="0.3"/>
  <pageSetup paperSize="9" scale="9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H1"/>
    </sheetView>
  </sheetViews>
  <sheetFormatPr defaultRowHeight="14.4"/>
  <cols>
    <col min="1" max="1" width="5.33203125" bestFit="1" customWidth="1"/>
    <col min="2" max="2" width="57.5546875" bestFit="1" customWidth="1"/>
    <col min="3" max="3" width="7.88671875" bestFit="1" customWidth="1"/>
    <col min="4" max="4" width="12.44140625" bestFit="1" customWidth="1"/>
    <col min="5" max="8" width="13.6640625" bestFit="1" customWidth="1"/>
  </cols>
  <sheetData>
    <row r="1" spans="1:8" ht="15.6">
      <c r="A1" s="151" t="s">
        <v>152</v>
      </c>
      <c r="B1" s="151"/>
      <c r="C1" s="151"/>
      <c r="D1" s="151"/>
      <c r="E1" s="151"/>
      <c r="F1" s="151"/>
      <c r="G1" s="151"/>
      <c r="H1" s="151"/>
    </row>
    <row r="2" spans="1:8" ht="15.6">
      <c r="A2" s="76"/>
      <c r="B2" s="76"/>
      <c r="C2" s="76"/>
      <c r="D2" s="76"/>
      <c r="E2" s="76"/>
      <c r="F2" s="76"/>
      <c r="G2" s="76"/>
      <c r="H2" s="76"/>
    </row>
    <row r="3" spans="1:8" ht="15.6">
      <c r="A3" s="124" t="s">
        <v>140</v>
      </c>
      <c r="B3" s="124" t="s">
        <v>139</v>
      </c>
      <c r="C3" s="124" t="s">
        <v>138</v>
      </c>
      <c r="D3" s="178" t="s">
        <v>116</v>
      </c>
      <c r="E3" s="178"/>
      <c r="F3" s="178"/>
      <c r="G3" s="178"/>
      <c r="H3" s="124" t="s">
        <v>89</v>
      </c>
    </row>
    <row r="4" spans="1:8" ht="15.6">
      <c r="A4" s="77"/>
      <c r="B4" s="77"/>
      <c r="C4" s="77"/>
      <c r="D4" s="77">
        <v>1</v>
      </c>
      <c r="E4" s="77">
        <v>2</v>
      </c>
      <c r="F4" s="77">
        <v>3</v>
      </c>
      <c r="G4" s="77">
        <v>4</v>
      </c>
      <c r="H4" s="77"/>
    </row>
    <row r="5" spans="1:8" ht="15.6">
      <c r="A5" s="77">
        <v>1</v>
      </c>
      <c r="B5" s="77" t="s">
        <v>135</v>
      </c>
      <c r="C5" s="77">
        <v>1</v>
      </c>
      <c r="D5" s="78">
        <f>'Показатели деятельности '!I6</f>
        <v>573479</v>
      </c>
      <c r="E5" s="77"/>
      <c r="F5" s="77"/>
      <c r="G5" s="77"/>
      <c r="H5" s="77"/>
    </row>
    <row r="6" spans="1:8" ht="15.6">
      <c r="A6" s="77">
        <v>3</v>
      </c>
      <c r="B6" s="77" t="s">
        <v>133</v>
      </c>
      <c r="C6" s="77">
        <v>1</v>
      </c>
      <c r="D6" s="78">
        <f>'Показатели деятельности '!I7</f>
        <v>0</v>
      </c>
      <c r="E6" s="77"/>
      <c r="F6" s="77"/>
      <c r="G6" s="77"/>
      <c r="H6" s="77"/>
    </row>
    <row r="7" spans="1:8" ht="15.6">
      <c r="A7" s="77">
        <v>4</v>
      </c>
      <c r="B7" s="77" t="s">
        <v>132</v>
      </c>
      <c r="C7" s="77">
        <v>1</v>
      </c>
      <c r="D7" s="78">
        <f>'Показатели деятельности '!I8</f>
        <v>20000</v>
      </c>
      <c r="E7" s="78">
        <f>'Показатели деятельности '!J8</f>
        <v>237400</v>
      </c>
      <c r="F7" s="78">
        <f>'Показатели деятельности '!K8</f>
        <v>339100</v>
      </c>
      <c r="G7" s="78">
        <f>'Показатели деятельности '!L8</f>
        <v>452900</v>
      </c>
      <c r="H7" s="78">
        <f>'Показатели деятельности '!M8</f>
        <v>1029400</v>
      </c>
    </row>
    <row r="8" spans="1:8" ht="15.6">
      <c r="A8" s="77">
        <v>5</v>
      </c>
      <c r="B8" s="77" t="s">
        <v>59</v>
      </c>
      <c r="C8" s="77">
        <v>1</v>
      </c>
      <c r="D8" s="78">
        <f>'Показатели деятельности '!I9</f>
        <v>15650</v>
      </c>
      <c r="E8" s="78">
        <f>'Показатели деятельности '!J9</f>
        <v>206435.375</v>
      </c>
      <c r="F8" s="78">
        <f>'Показатели деятельности '!K9</f>
        <v>224181.5625</v>
      </c>
      <c r="G8" s="78">
        <f>'Показатели деятельности '!L9</f>
        <v>234930.9375</v>
      </c>
      <c r="H8" s="78">
        <f>'Показатели деятельности '!M9</f>
        <v>665547.875</v>
      </c>
    </row>
    <row r="9" spans="1:8" ht="15.6">
      <c r="A9" s="77">
        <v>6</v>
      </c>
      <c r="B9" s="77" t="s">
        <v>131</v>
      </c>
      <c r="C9" s="77">
        <v>1</v>
      </c>
      <c r="D9" s="78">
        <f>'Показатели деятельности '!I10</f>
        <v>0</v>
      </c>
      <c r="E9" s="78">
        <f>'Показатели деятельности '!J10</f>
        <v>114695.8</v>
      </c>
      <c r="F9" s="78">
        <f>'Показатели деятельности '!K10</f>
        <v>114695.8</v>
      </c>
      <c r="G9" s="78">
        <f>'Показатели деятельности '!L10</f>
        <v>114695.8</v>
      </c>
      <c r="H9" s="78">
        <f>'Показатели деятельности '!M10</f>
        <v>344087.4</v>
      </c>
    </row>
    <row r="10" spans="1:8" ht="15.6">
      <c r="A10" s="77">
        <v>7</v>
      </c>
      <c r="B10" s="77" t="s">
        <v>130</v>
      </c>
      <c r="C10" s="77">
        <v>1</v>
      </c>
      <c r="D10" s="78">
        <f>'Показатели деятельности '!I11</f>
        <v>4350</v>
      </c>
      <c r="E10" s="78">
        <f>'Показатели деятельности '!J11</f>
        <v>-83731.175000000003</v>
      </c>
      <c r="F10" s="78">
        <f>'Показатели деятельности '!K11</f>
        <v>222.63749999999709</v>
      </c>
      <c r="G10" s="78">
        <f>'Показатели деятельности '!L11</f>
        <v>103273.2625</v>
      </c>
      <c r="H10" s="78">
        <f>'Показатели деятельности '!M11</f>
        <v>19764.724999999977</v>
      </c>
    </row>
    <row r="11" spans="1:8" ht="15.6">
      <c r="A11" s="77">
        <v>8</v>
      </c>
      <c r="B11" s="77" t="s">
        <v>129</v>
      </c>
      <c r="C11" s="77">
        <v>1</v>
      </c>
      <c r="D11" s="78">
        <f>'Показатели деятельности '!I12</f>
        <v>261</v>
      </c>
      <c r="E11" s="78">
        <f>'Показатели деятельности '!J12</f>
        <v>-5023.8705</v>
      </c>
      <c r="F11" s="78">
        <f>'Показатели деятельности '!K12</f>
        <v>13.358249999999824</v>
      </c>
      <c r="G11" s="78">
        <f>'Показатели деятельности '!L12</f>
        <v>6196.3957499999997</v>
      </c>
      <c r="H11" s="78">
        <f>'Показатели деятельности '!M12</f>
        <v>1185.8834999999999</v>
      </c>
    </row>
    <row r="12" spans="1:8" ht="15.6">
      <c r="A12" s="77">
        <v>9</v>
      </c>
      <c r="B12" s="77" t="s">
        <v>128</v>
      </c>
      <c r="C12" s="77">
        <v>1</v>
      </c>
      <c r="D12" s="78">
        <f>'Показатели деятельности '!I13</f>
        <v>4089</v>
      </c>
      <c r="E12" s="78">
        <f>'Показатели деятельности '!J13</f>
        <v>-78707.304499999998</v>
      </c>
      <c r="F12" s="78">
        <f>'Показатели деятельности '!K13</f>
        <v>209.27924999999726</v>
      </c>
      <c r="G12" s="78">
        <f>'Показатели деятельности '!L13</f>
        <v>97076.866750000001</v>
      </c>
      <c r="H12" s="78">
        <f>'Показатели деятельности '!M13</f>
        <v>18578.841499999977</v>
      </c>
    </row>
    <row r="13" spans="1:8" ht="15.6">
      <c r="A13" s="77">
        <v>10</v>
      </c>
      <c r="B13" s="77" t="s">
        <v>127</v>
      </c>
      <c r="C13" s="77">
        <v>1</v>
      </c>
      <c r="D13" s="78">
        <f>'Показатели деятельности '!I14</f>
        <v>0</v>
      </c>
      <c r="E13" s="78">
        <f>'Показатели деятельности '!J14</f>
        <v>0</v>
      </c>
      <c r="F13" s="78">
        <f>'Показатели деятельности '!K14</f>
        <v>0</v>
      </c>
      <c r="G13" s="78">
        <f>'Показатели деятельности '!L14</f>
        <v>0</v>
      </c>
      <c r="H13" s="78">
        <f>'Показатели деятельности '!M14</f>
        <v>0</v>
      </c>
    </row>
    <row r="14" spans="1:8" ht="15.6">
      <c r="A14" s="77">
        <v>11</v>
      </c>
      <c r="B14" s="77" t="s">
        <v>126</v>
      </c>
      <c r="C14" s="77">
        <v>1</v>
      </c>
      <c r="D14" s="78">
        <f>'Показатели деятельности '!I15</f>
        <v>0</v>
      </c>
      <c r="E14" s="78">
        <f>'Показатели деятельности '!J15</f>
        <v>0</v>
      </c>
      <c r="F14" s="78">
        <f>'Показатели деятельности '!K15</f>
        <v>0</v>
      </c>
      <c r="G14" s="78">
        <f>'Показатели деятельности '!L15</f>
        <v>0</v>
      </c>
      <c r="H14" s="78">
        <f>'Показатели деятельности '!M15</f>
        <v>0</v>
      </c>
    </row>
    <row r="15" spans="1:8" ht="15.6">
      <c r="A15" s="76"/>
      <c r="B15" s="76"/>
      <c r="C15" s="76"/>
      <c r="D15" s="76"/>
      <c r="E15" s="76"/>
      <c r="F15" s="76"/>
      <c r="G15" s="76"/>
      <c r="H15" s="76"/>
    </row>
    <row r="16" spans="1:8" ht="15.6">
      <c r="A16" s="151" t="s">
        <v>125</v>
      </c>
      <c r="B16" s="151"/>
      <c r="C16" s="151"/>
      <c r="D16" s="151"/>
      <c r="E16" s="151"/>
      <c r="F16" s="151"/>
      <c r="G16" s="151"/>
      <c r="H16" s="151"/>
    </row>
    <row r="17" spans="1:8" ht="15.6">
      <c r="A17" s="117"/>
      <c r="B17" s="117"/>
      <c r="C17" s="117"/>
      <c r="D17" s="124">
        <v>1</v>
      </c>
      <c r="E17" s="124">
        <v>2</v>
      </c>
      <c r="F17" s="124">
        <v>3</v>
      </c>
      <c r="G17" s="124">
        <v>4</v>
      </c>
      <c r="H17" s="76"/>
    </row>
    <row r="18" spans="1:8" ht="15.6">
      <c r="A18" s="77">
        <v>12</v>
      </c>
      <c r="B18" s="77" t="s">
        <v>124</v>
      </c>
      <c r="C18" s="77">
        <v>1</v>
      </c>
      <c r="D18" s="125">
        <f>'Показатели деятельности '!I19</f>
        <v>573479</v>
      </c>
      <c r="E18" s="125">
        <f>'Показатели деятельности '!J19</f>
        <v>0</v>
      </c>
      <c r="F18" s="125">
        <f>'Показатели деятельности '!K19</f>
        <v>0</v>
      </c>
      <c r="G18" s="125">
        <f>'Показатели деятельности '!L19</f>
        <v>0</v>
      </c>
      <c r="H18" s="76"/>
    </row>
    <row r="19" spans="1:8" ht="15.6">
      <c r="A19" s="24">
        <v>13</v>
      </c>
      <c r="B19" s="24" t="s">
        <v>123</v>
      </c>
      <c r="C19" s="24">
        <v>1</v>
      </c>
      <c r="D19" s="125">
        <f>'Показатели деятельности '!I20</f>
        <v>4089</v>
      </c>
      <c r="E19" s="125">
        <f>'Показатели деятельности '!J20</f>
        <v>35988.495500000005</v>
      </c>
      <c r="F19" s="125">
        <f>'Показатели деятельности '!K20</f>
        <v>114905.07925</v>
      </c>
      <c r="G19" s="125">
        <f>'Показатели деятельности '!L20</f>
        <v>211772.66675</v>
      </c>
      <c r="H19" s="76"/>
    </row>
    <row r="20" spans="1:8" ht="15.6">
      <c r="A20" s="77">
        <v>14</v>
      </c>
      <c r="B20" s="77" t="s">
        <v>121</v>
      </c>
      <c r="C20" s="77">
        <v>1</v>
      </c>
      <c r="D20" s="125">
        <f>'Показатели деятельности '!I21</f>
        <v>0</v>
      </c>
      <c r="E20" s="125">
        <f>'Показатели деятельности '!J21</f>
        <v>0</v>
      </c>
      <c r="F20" s="125">
        <f>'Показатели деятельности '!K21</f>
        <v>0</v>
      </c>
      <c r="G20" s="125">
        <f>'Показатели деятельности '!L21</f>
        <v>0</v>
      </c>
      <c r="H20" s="76"/>
    </row>
    <row r="21" spans="1:8" ht="15.6">
      <c r="A21" s="77">
        <v>15</v>
      </c>
      <c r="B21" s="77" t="s">
        <v>108</v>
      </c>
      <c r="C21" s="77">
        <v>1</v>
      </c>
      <c r="D21" s="125">
        <f>'Показатели деятельности '!I22</f>
        <v>-569390</v>
      </c>
      <c r="E21" s="125">
        <f>'Показатели деятельности '!J22</f>
        <v>35988.495500000005</v>
      </c>
      <c r="F21" s="125">
        <f>'Показатели деятельности '!K22</f>
        <v>114905.07925</v>
      </c>
      <c r="G21" s="125">
        <f>'Показатели деятельности '!L22</f>
        <v>211772.66675</v>
      </c>
      <c r="H21" s="76"/>
    </row>
  </sheetData>
  <mergeCells count="3">
    <mergeCell ref="A1:H1"/>
    <mergeCell ref="A16:H16"/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Данные для расчетов</vt:lpstr>
      <vt:lpstr>Первоначальные затраты</vt:lpstr>
      <vt:lpstr>План на будущие периоды </vt:lpstr>
      <vt:lpstr>Расчеты себестоимости продукции</vt:lpstr>
      <vt:lpstr>Факт прошлых перидов</vt:lpstr>
      <vt:lpstr>Фактический баланс</vt:lpstr>
      <vt:lpstr>Прогнозный баланс</vt:lpstr>
      <vt:lpstr>План ДДС</vt:lpstr>
      <vt:lpstr>Факт ДДС</vt:lpstr>
      <vt:lpstr>Показатели деятельности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2023-12-24T13:32:36Z</dcterms:modified>
</cp:coreProperties>
</file>