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xr:revisionPtr revIDLastSave="0" documentId="13_ncr:1_{2DA814F9-5420-4890-8B18-122D98ACC92A}" xr6:coauthVersionLast="44" xr6:coauthVersionMax="44" xr10:uidLastSave="{00000000-0000-0000-0000-000000000000}"/>
  <bookViews>
    <workbookView xWindow="-110" yWindow="-110" windowWidth="19420" windowHeight="10420" xr2:uid="{00000000-000D-0000-FFFF-FFFF00000000}"/>
  </bookViews>
  <sheets>
    <sheet name="Дашборд_сравнение" sheetId="15" r:id="rId1"/>
    <sheet name="Таблица_сравнение" sheetId="20" r:id="rId2"/>
    <sheet name="Таблица_сравнение__" sheetId="17" r:id="rId3"/>
    <sheet name="Дашборд" sheetId="12" r:id="rId4"/>
    <sheet name="Таблица" sheetId="11" r:id="rId5"/>
    <sheet name="Лист1" sheetId="21" r:id="rId6"/>
    <sheet name="Расчет индекса" sheetId="2" r:id="rId7"/>
    <sheet name="Показатели" sheetId="1" r:id="rId8"/>
    <sheet name="Список" sheetId="4" r:id="rId9"/>
    <sheet name="Показатели_блоки рез и рес" sheetId="18" state="hidden" r:id="rId10"/>
    <sheet name="Экономическое благополучие" sheetId="19" r:id="rId11"/>
  </sheets>
  <externalReferences>
    <externalReference r:id="rId12"/>
    <externalReference r:id="rId13"/>
    <externalReference r:id="rId14"/>
    <externalReference r:id="rId15"/>
  </externalReferences>
  <definedNames>
    <definedName name="_xlnm._FilterDatabase" localSheetId="7" hidden="1">Показатели!$R$1:$BR$17</definedName>
    <definedName name="_xlnm._FilterDatabase" localSheetId="9" hidden="1">'Показатели_блоки рез и рес'!$AE$1:$CE$17</definedName>
    <definedName name="_ftn1" localSheetId="7">Показатели!$AK$9</definedName>
    <definedName name="_ftn1" localSheetId="9">'Показатели_блоки рез и рес'!$AX$9</definedName>
    <definedName name="_ftnref1" localSheetId="7">Показатели!$BB$5</definedName>
    <definedName name="_ftnref1" localSheetId="9">'Показатели_блоки рез и рес'!$BO$5</definedName>
    <definedName name="_xlnm.Print_Area" localSheetId="3">Дашборд!$A$1:$R$39</definedName>
    <definedName name="_xlnm.Print_Area" localSheetId="0">Дашборд_сравнение!$A$1:$R$39</definedName>
    <definedName name="Slicer_РЕГИОН">#N/A</definedName>
    <definedName name="Slicer_РЕГИОН1">#N/A</definedName>
    <definedName name="Slicer_РЕГИОН2">#N/A</definedName>
    <definedName name="Slicer_РЕГИОН3">#N/A</definedName>
  </definedNames>
  <calcPr calcId="191029"/>
  <pivotCaches>
    <pivotCache cacheId="27"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O3" i="2" l="1"/>
  <c r="B17" i="1" l="1"/>
  <c r="B16" i="1"/>
  <c r="B15" i="1"/>
  <c r="B14" i="1"/>
  <c r="B13" i="1"/>
  <c r="B12" i="1"/>
  <c r="B11" i="1"/>
  <c r="B10" i="1"/>
  <c r="B9" i="1"/>
  <c r="B8" i="1"/>
  <c r="B7" i="1"/>
  <c r="B6" i="1"/>
  <c r="B5" i="1"/>
  <c r="B4" i="1"/>
  <c r="C4" i="1"/>
  <c r="C5" i="1"/>
  <c r="C6" i="1"/>
  <c r="C7" i="1"/>
  <c r="C8" i="1"/>
  <c r="C9" i="1"/>
  <c r="C10" i="1"/>
  <c r="C11" i="1"/>
  <c r="C12" i="1"/>
  <c r="C13" i="1"/>
  <c r="C14" i="1"/>
  <c r="C15" i="1"/>
  <c r="C16" i="1"/>
  <c r="C17" i="1"/>
  <c r="D11" i="20" l="1"/>
  <c r="C11" i="20"/>
  <c r="F11" i="20"/>
  <c r="E11" i="20"/>
  <c r="D25" i="20"/>
  <c r="C25" i="20"/>
  <c r="D24" i="20"/>
  <c r="C24" i="20"/>
  <c r="D22" i="20"/>
  <c r="C22" i="20"/>
  <c r="D20" i="20"/>
  <c r="C20" i="20"/>
  <c r="D19" i="20"/>
  <c r="C19" i="20"/>
  <c r="D18" i="20"/>
  <c r="C18" i="20"/>
  <c r="D17" i="20"/>
  <c r="C17" i="20"/>
  <c r="D16" i="20"/>
  <c r="C16" i="20"/>
  <c r="D15" i="20"/>
  <c r="C15" i="20"/>
  <c r="D14" i="20"/>
  <c r="C14" i="20"/>
  <c r="D12" i="20"/>
  <c r="C12" i="20"/>
  <c r="F17" i="15"/>
  <c r="B11" i="15" s="1"/>
  <c r="E17" i="15"/>
  <c r="B14" i="15" s="1"/>
  <c r="M8" i="19"/>
  <c r="M9" i="19"/>
  <c r="N9" i="19"/>
  <c r="N8" i="19"/>
  <c r="N10" i="19" s="1"/>
  <c r="I42" i="2"/>
  <c r="K42" i="2"/>
  <c r="J42" i="2"/>
  <c r="N42" i="2"/>
  <c r="L42" i="2"/>
  <c r="M42" i="2"/>
  <c r="E42" i="2"/>
  <c r="C42" i="2"/>
  <c r="B42" i="2"/>
  <c r="AT2" i="1"/>
  <c r="B27" i="11"/>
  <c r="B16" i="11"/>
  <c r="B26" i="11"/>
  <c r="B24" i="11"/>
  <c r="B18" i="11"/>
  <c r="B22" i="11"/>
  <c r="B21" i="11"/>
  <c r="B17" i="11"/>
  <c r="B20" i="11"/>
  <c r="B19" i="11"/>
  <c r="E12" i="20" l="1"/>
  <c r="E18" i="15" s="1"/>
  <c r="E14" i="20"/>
  <c r="E20" i="15" s="1"/>
  <c r="E15" i="20"/>
  <c r="E16" i="20"/>
  <c r="E17" i="20"/>
  <c r="E18" i="20"/>
  <c r="E19" i="20"/>
  <c r="E20" i="20"/>
  <c r="E22" i="20"/>
  <c r="E25" i="20"/>
  <c r="E24" i="20"/>
  <c r="F12" i="20"/>
  <c r="F18" i="15" s="1"/>
  <c r="F14" i="20"/>
  <c r="F15" i="20"/>
  <c r="F16" i="20"/>
  <c r="F17" i="20"/>
  <c r="F18" i="20"/>
  <c r="F19" i="20"/>
  <c r="F20" i="20"/>
  <c r="F22" i="20"/>
  <c r="F25" i="20"/>
  <c r="F24" i="20"/>
  <c r="M10" i="19"/>
  <c r="BL19" i="18"/>
  <c r="BM19" i="18" s="1"/>
  <c r="L19" i="18" s="1"/>
  <c r="BK19" i="18"/>
  <c r="BH19" i="18"/>
  <c r="J19" i="18" s="1"/>
  <c r="BB19" i="18"/>
  <c r="BA19" i="18"/>
  <c r="AU19" i="18"/>
  <c r="AT19" i="18"/>
  <c r="E19" i="18" s="1"/>
  <c r="AP19" i="18"/>
  <c r="AN19" i="18"/>
  <c r="AM19" i="18"/>
  <c r="AJ19" i="18"/>
  <c r="AI19" i="18"/>
  <c r="AH19" i="18"/>
  <c r="BE19" i="18" s="1"/>
  <c r="AG19" i="18"/>
  <c r="AS19" i="18" s="1"/>
  <c r="D19" i="18" s="1"/>
  <c r="K19" i="18"/>
  <c r="G19" i="18"/>
  <c r="F19" i="18"/>
  <c r="B19" i="18"/>
  <c r="DC18" i="18"/>
  <c r="BL18" i="18"/>
  <c r="BK18" i="18"/>
  <c r="BI18" i="18"/>
  <c r="BG18" i="18"/>
  <c r="BF18" i="18"/>
  <c r="BH18" i="18" s="1"/>
  <c r="J18" i="18" s="1"/>
  <c r="BD18" i="18"/>
  <c r="AZ18" i="18"/>
  <c r="AY18" i="18"/>
  <c r="BA18" i="18" s="1"/>
  <c r="AW18" i="18"/>
  <c r="AV18" i="18"/>
  <c r="AU18" i="18"/>
  <c r="F18" i="18" s="1"/>
  <c r="AR18" i="18"/>
  <c r="AM18" i="18"/>
  <c r="G18" i="18"/>
  <c r="DG17" i="18"/>
  <c r="CG17" i="18"/>
  <c r="P17" i="18" s="1"/>
  <c r="BM17" i="18"/>
  <c r="L17" i="18" s="1"/>
  <c r="BH17" i="18"/>
  <c r="J17" i="18" s="1"/>
  <c r="BB17" i="18"/>
  <c r="BA17" i="18"/>
  <c r="AT17" i="18"/>
  <c r="E17" i="18" s="1"/>
  <c r="AP17" i="18"/>
  <c r="AN17" i="18"/>
  <c r="AL17" i="18"/>
  <c r="AK17" i="18"/>
  <c r="BJ17" i="18" s="1"/>
  <c r="K17" i="18" s="1"/>
  <c r="AJ17" i="18"/>
  <c r="AI17" i="18"/>
  <c r="AH17" i="18"/>
  <c r="BE17" i="18" s="1"/>
  <c r="AG17" i="18"/>
  <c r="AS17" i="18" s="1"/>
  <c r="D17" i="18" s="1"/>
  <c r="Z17" i="18"/>
  <c r="V17" i="18"/>
  <c r="U17" i="18"/>
  <c r="T17" i="18"/>
  <c r="R17" i="18"/>
  <c r="G17" i="18"/>
  <c r="F17" i="18"/>
  <c r="C17" i="18"/>
  <c r="B17" i="18"/>
  <c r="DG16" i="18"/>
  <c r="CG16" i="18"/>
  <c r="P16" i="18" s="1"/>
  <c r="BM16" i="18"/>
  <c r="L16" i="18" s="1"/>
  <c r="BH16" i="18"/>
  <c r="J16" i="18" s="1"/>
  <c r="BB16" i="18"/>
  <c r="BA16" i="18"/>
  <c r="BC16" i="18" s="1"/>
  <c r="I16" i="18" s="1"/>
  <c r="AT16" i="18"/>
  <c r="E16" i="18" s="1"/>
  <c r="AP16" i="18"/>
  <c r="AN16" i="18"/>
  <c r="AL16" i="18"/>
  <c r="AK16" i="18"/>
  <c r="BJ16" i="18" s="1"/>
  <c r="K16" i="18" s="1"/>
  <c r="AJ16" i="18"/>
  <c r="AI16" i="18"/>
  <c r="AH16" i="18"/>
  <c r="BE16" i="18" s="1"/>
  <c r="AG16" i="18"/>
  <c r="AS16" i="18" s="1"/>
  <c r="D16" i="18" s="1"/>
  <c r="Z16" i="18"/>
  <c r="V16" i="18"/>
  <c r="U16" i="18"/>
  <c r="T16" i="18"/>
  <c r="R16" i="18"/>
  <c r="G16" i="18"/>
  <c r="F16" i="18"/>
  <c r="C16" i="18"/>
  <c r="B16" i="18"/>
  <c r="DG15" i="18"/>
  <c r="CG15" i="18"/>
  <c r="P15" i="18" s="1"/>
  <c r="BM15" i="18"/>
  <c r="L15" i="18" s="1"/>
  <c r="BH15" i="18"/>
  <c r="BB15" i="18"/>
  <c r="BA15" i="18"/>
  <c r="BC15" i="18" s="1"/>
  <c r="I15" i="18" s="1"/>
  <c r="AT15" i="18"/>
  <c r="E15" i="18" s="1"/>
  <c r="AP15" i="18"/>
  <c r="AN15" i="18"/>
  <c r="AL15" i="18"/>
  <c r="AK15" i="18"/>
  <c r="BJ15" i="18" s="1"/>
  <c r="K15" i="18" s="1"/>
  <c r="AJ15" i="18"/>
  <c r="AI15" i="18"/>
  <c r="AH15" i="18"/>
  <c r="BE15" i="18" s="1"/>
  <c r="AG15" i="18"/>
  <c r="Z15" i="18"/>
  <c r="V15" i="18"/>
  <c r="U15" i="18"/>
  <c r="T15" i="18"/>
  <c r="R15" i="18"/>
  <c r="J15" i="18"/>
  <c r="G15" i="18"/>
  <c r="F15" i="18"/>
  <c r="C15" i="18"/>
  <c r="B15" i="18"/>
  <c r="DG14" i="18"/>
  <c r="CG14" i="18"/>
  <c r="BM14" i="18"/>
  <c r="L14" i="18" s="1"/>
  <c r="BH14" i="18"/>
  <c r="BB14" i="18"/>
  <c r="BA14" i="18"/>
  <c r="AT14" i="18"/>
  <c r="E14" i="18" s="1"/>
  <c r="AP14" i="18"/>
  <c r="AN14" i="18"/>
  <c r="AL14" i="18"/>
  <c r="AJ14" i="18"/>
  <c r="AI14" i="18"/>
  <c r="AH14" i="18"/>
  <c r="AG14" i="18"/>
  <c r="Z14" i="18"/>
  <c r="V14" i="18"/>
  <c r="U14" i="18"/>
  <c r="T14" i="18"/>
  <c r="R14" i="18"/>
  <c r="P14" i="18"/>
  <c r="J14" i="18"/>
  <c r="G14" i="18"/>
  <c r="F14" i="18"/>
  <c r="C14" i="18"/>
  <c r="DG13" i="18"/>
  <c r="CG13" i="18"/>
  <c r="P13" i="18" s="1"/>
  <c r="BM13" i="18"/>
  <c r="L13" i="18" s="1"/>
  <c r="BH13" i="18"/>
  <c r="J13" i="18" s="1"/>
  <c r="BB13" i="18"/>
  <c r="BA13" i="18"/>
  <c r="AT13" i="18"/>
  <c r="E13" i="18" s="1"/>
  <c r="AP13" i="18"/>
  <c r="AN13" i="18"/>
  <c r="AL13" i="18"/>
  <c r="AK13" i="18"/>
  <c r="BJ13" i="18" s="1"/>
  <c r="K13" i="18" s="1"/>
  <c r="AJ13" i="18"/>
  <c r="AI13" i="18"/>
  <c r="AH13" i="18"/>
  <c r="BE13" i="18" s="1"/>
  <c r="AG13" i="18"/>
  <c r="Z13" i="18"/>
  <c r="V13" i="18"/>
  <c r="U13" i="18"/>
  <c r="T13" i="18"/>
  <c r="R13" i="18"/>
  <c r="G13" i="18"/>
  <c r="F13" i="18"/>
  <c r="C13" i="18"/>
  <c r="B13" i="18"/>
  <c r="DG12" i="18"/>
  <c r="CG12" i="18"/>
  <c r="P12" i="18" s="1"/>
  <c r="BM12" i="18"/>
  <c r="L12" i="18" s="1"/>
  <c r="BH12" i="18"/>
  <c r="BB12" i="18"/>
  <c r="BA12" i="18"/>
  <c r="AT12" i="18"/>
  <c r="E12" i="18" s="1"/>
  <c r="AP12" i="18"/>
  <c r="AN12" i="18"/>
  <c r="AL12" i="18"/>
  <c r="AK12" i="18"/>
  <c r="BJ12" i="18" s="1"/>
  <c r="K12" i="18" s="1"/>
  <c r="AJ12" i="18"/>
  <c r="AI12" i="18"/>
  <c r="AH12" i="18"/>
  <c r="BE12" i="18" s="1"/>
  <c r="AG12" i="18"/>
  <c r="AS12" i="18" s="1"/>
  <c r="D12" i="18" s="1"/>
  <c r="Z12" i="18"/>
  <c r="V12" i="18"/>
  <c r="U12" i="18"/>
  <c r="T12" i="18"/>
  <c r="R12" i="18"/>
  <c r="J12" i="18"/>
  <c r="G12" i="18"/>
  <c r="F12" i="18"/>
  <c r="C12" i="18"/>
  <c r="B12" i="18"/>
  <c r="DG11" i="18"/>
  <c r="CG11" i="18"/>
  <c r="P11" i="18" s="1"/>
  <c r="BM11" i="18"/>
  <c r="L11" i="18" s="1"/>
  <c r="BH11" i="18"/>
  <c r="J11" i="18" s="1"/>
  <c r="BB11" i="18"/>
  <c r="BA11" i="18"/>
  <c r="AT11" i="18"/>
  <c r="AP11" i="18"/>
  <c r="AN11" i="18"/>
  <c r="AL11" i="18"/>
  <c r="AK11" i="18"/>
  <c r="BJ11" i="18" s="1"/>
  <c r="K11" i="18" s="1"/>
  <c r="AJ11" i="18"/>
  <c r="AI11" i="18"/>
  <c r="AH11" i="18"/>
  <c r="BE11" i="18" s="1"/>
  <c r="AG11" i="18"/>
  <c r="Z11" i="18"/>
  <c r="V11" i="18"/>
  <c r="U11" i="18"/>
  <c r="T11" i="18"/>
  <c r="R11" i="18"/>
  <c r="G11" i="18"/>
  <c r="F11" i="18"/>
  <c r="E11" i="18"/>
  <c r="C11" i="18"/>
  <c r="B11" i="18"/>
  <c r="DG10" i="18"/>
  <c r="CG10" i="18"/>
  <c r="P10" i="18" s="1"/>
  <c r="BM10" i="18"/>
  <c r="BH10" i="18"/>
  <c r="J10" i="18" s="1"/>
  <c r="BB10" i="18"/>
  <c r="BA10" i="18"/>
  <c r="AT10" i="18"/>
  <c r="E10" i="18" s="1"/>
  <c r="AP10" i="18"/>
  <c r="AN10" i="18"/>
  <c r="AL10" i="18"/>
  <c r="AK10" i="18"/>
  <c r="BJ10" i="18" s="1"/>
  <c r="K10" i="18" s="1"/>
  <c r="AJ10" i="18"/>
  <c r="AI10" i="18"/>
  <c r="AH10" i="18"/>
  <c r="AG10" i="18"/>
  <c r="Z10" i="18"/>
  <c r="V10" i="18"/>
  <c r="U10" i="18"/>
  <c r="T10" i="18"/>
  <c r="R10" i="18"/>
  <c r="L10" i="18"/>
  <c r="G10" i="18"/>
  <c r="F10" i="18"/>
  <c r="C10" i="18"/>
  <c r="B10" i="18"/>
  <c r="DG9" i="18"/>
  <c r="CG9" i="18"/>
  <c r="BM9" i="18"/>
  <c r="L9" i="18" s="1"/>
  <c r="BH9" i="18"/>
  <c r="J9" i="18" s="1"/>
  <c r="BB9" i="18"/>
  <c r="BC9" i="18" s="1"/>
  <c r="I9" i="18" s="1"/>
  <c r="BA9" i="18"/>
  <c r="AT9" i="18"/>
  <c r="E9" i="18" s="1"/>
  <c r="AP9" i="18"/>
  <c r="AN9" i="18"/>
  <c r="AL9" i="18"/>
  <c r="AK9" i="18"/>
  <c r="BJ9" i="18" s="1"/>
  <c r="K9" i="18" s="1"/>
  <c r="AJ9" i="18"/>
  <c r="AI9" i="18"/>
  <c r="AH9" i="18"/>
  <c r="BE9" i="18" s="1"/>
  <c r="AG9" i="18"/>
  <c r="Z9" i="18"/>
  <c r="V9" i="18"/>
  <c r="U9" i="18"/>
  <c r="T9" i="18"/>
  <c r="R9" i="18"/>
  <c r="P9" i="18"/>
  <c r="G9" i="18"/>
  <c r="F9" i="18"/>
  <c r="C9" i="18"/>
  <c r="B9" i="18"/>
  <c r="DG8" i="18"/>
  <c r="CG8" i="18"/>
  <c r="P8" i="18" s="1"/>
  <c r="BM8" i="18"/>
  <c r="L8" i="18" s="1"/>
  <c r="BH8" i="18"/>
  <c r="J8" i="18" s="1"/>
  <c r="BB8" i="18"/>
  <c r="BA8" i="18"/>
  <c r="AT8" i="18"/>
  <c r="E8" i="18" s="1"/>
  <c r="AP8" i="18"/>
  <c r="AN8" i="18"/>
  <c r="AL8" i="18"/>
  <c r="AK8" i="18"/>
  <c r="BJ8" i="18" s="1"/>
  <c r="K8" i="18" s="1"/>
  <c r="AJ8" i="18"/>
  <c r="AI8" i="18"/>
  <c r="AH8" i="18"/>
  <c r="BE8" i="18" s="1"/>
  <c r="AG8" i="18"/>
  <c r="AS8" i="18" s="1"/>
  <c r="D8" i="18" s="1"/>
  <c r="Z8" i="18"/>
  <c r="V8" i="18"/>
  <c r="U8" i="18"/>
  <c r="T8" i="18"/>
  <c r="R8" i="18"/>
  <c r="G8" i="18"/>
  <c r="F8" i="18"/>
  <c r="C8" i="18"/>
  <c r="B8" i="18"/>
  <c r="DG7" i="18"/>
  <c r="CG7" i="18"/>
  <c r="P7" i="18" s="1"/>
  <c r="BM7" i="18"/>
  <c r="L7" i="18" s="1"/>
  <c r="BH7" i="18"/>
  <c r="J7" i="18" s="1"/>
  <c r="BB7" i="18"/>
  <c r="BA7" i="18"/>
  <c r="AT7" i="18"/>
  <c r="E7" i="18" s="1"/>
  <c r="AP7" i="18"/>
  <c r="AN7" i="18"/>
  <c r="AL7" i="18"/>
  <c r="AK7" i="18"/>
  <c r="BJ7" i="18" s="1"/>
  <c r="K7" i="18" s="1"/>
  <c r="AJ7" i="18"/>
  <c r="AI7" i="18"/>
  <c r="AH7" i="18"/>
  <c r="BE7" i="18" s="1"/>
  <c r="AG7" i="18"/>
  <c r="Z7" i="18"/>
  <c r="V7" i="18"/>
  <c r="U7" i="18"/>
  <c r="T7" i="18"/>
  <c r="R7" i="18"/>
  <c r="G7" i="18"/>
  <c r="F7" i="18"/>
  <c r="C7" i="18"/>
  <c r="B7" i="18"/>
  <c r="DG6" i="18"/>
  <c r="CG6" i="18"/>
  <c r="P6" i="18" s="1"/>
  <c r="BM6" i="18"/>
  <c r="L6" i="18" s="1"/>
  <c r="BH6" i="18"/>
  <c r="J6" i="18" s="1"/>
  <c r="BB6" i="18"/>
  <c r="BA6" i="18"/>
  <c r="AT6" i="18"/>
  <c r="E6" i="18" s="1"/>
  <c r="AP6" i="18"/>
  <c r="AN6" i="18"/>
  <c r="AL6" i="18"/>
  <c r="AK6" i="18"/>
  <c r="BJ6" i="18" s="1"/>
  <c r="K6" i="18" s="1"/>
  <c r="AJ6" i="18"/>
  <c r="AI6" i="18"/>
  <c r="AH6" i="18"/>
  <c r="AG6" i="18"/>
  <c r="Z6" i="18"/>
  <c r="V6" i="18"/>
  <c r="U6" i="18"/>
  <c r="T6" i="18"/>
  <c r="R6" i="18"/>
  <c r="G6" i="18"/>
  <c r="F6" i="18"/>
  <c r="C6" i="18"/>
  <c r="B6" i="18"/>
  <c r="DG5" i="18"/>
  <c r="CG5" i="18"/>
  <c r="P5" i="18" s="1"/>
  <c r="BM5" i="18"/>
  <c r="L5" i="18" s="1"/>
  <c r="BH5" i="18"/>
  <c r="J5" i="18" s="1"/>
  <c r="BB5" i="18"/>
  <c r="BA5" i="18"/>
  <c r="AT5" i="18"/>
  <c r="E5" i="18" s="1"/>
  <c r="AP5" i="18"/>
  <c r="AN5" i="18"/>
  <c r="AL5" i="18"/>
  <c r="AK5" i="18"/>
  <c r="BJ5" i="18" s="1"/>
  <c r="K5" i="18" s="1"/>
  <c r="AJ5" i="18"/>
  <c r="AI5" i="18"/>
  <c r="AH5" i="18"/>
  <c r="AG5" i="18"/>
  <c r="Z5" i="18"/>
  <c r="V5" i="18"/>
  <c r="U5" i="18"/>
  <c r="T5" i="18"/>
  <c r="R5" i="18"/>
  <c r="G5" i="18"/>
  <c r="F5" i="18"/>
  <c r="C5" i="18"/>
  <c r="B5" i="18"/>
  <c r="DG4" i="18"/>
  <c r="CG4" i="18"/>
  <c r="P4" i="18" s="1"/>
  <c r="BM4" i="18"/>
  <c r="L4" i="18" s="1"/>
  <c r="BH4" i="18"/>
  <c r="BB4" i="18"/>
  <c r="BA4" i="18"/>
  <c r="AT4" i="18"/>
  <c r="AP4" i="18"/>
  <c r="AN4" i="18"/>
  <c r="AL4" i="18"/>
  <c r="AK4" i="18"/>
  <c r="BJ4" i="18" s="1"/>
  <c r="AJ4" i="18"/>
  <c r="AI4" i="18"/>
  <c r="AH4" i="18"/>
  <c r="AG4" i="18"/>
  <c r="AS4" i="18" s="1"/>
  <c r="Z4" i="18"/>
  <c r="V4" i="18"/>
  <c r="U4" i="18"/>
  <c r="T4" i="18"/>
  <c r="R4" i="18"/>
  <c r="J4" i="18"/>
  <c r="G4" i="18"/>
  <c r="F4" i="18"/>
  <c r="C4" i="18"/>
  <c r="B4" i="18"/>
  <c r="BG2" i="18"/>
  <c r="AU2" i="18"/>
  <c r="BM18" i="18" l="1"/>
  <c r="L18" i="18" s="1"/>
  <c r="BC8" i="18"/>
  <c r="I8" i="18" s="1"/>
  <c r="BC4" i="18"/>
  <c r="I4" i="18" s="1"/>
  <c r="AO11" i="18"/>
  <c r="N11" i="18" s="1"/>
  <c r="BC12" i="18"/>
  <c r="I12" i="18" s="1"/>
  <c r="C18" i="18"/>
  <c r="AQ5" i="18"/>
  <c r="M5" i="18" s="1"/>
  <c r="BC19" i="18"/>
  <c r="I19" i="18" s="1"/>
  <c r="BC5" i="18"/>
  <c r="I5" i="18" s="1"/>
  <c r="BC6" i="18"/>
  <c r="I6" i="18" s="1"/>
  <c r="BC13" i="18"/>
  <c r="I13" i="18" s="1"/>
  <c r="BC7" i="18"/>
  <c r="I7" i="18" s="1"/>
  <c r="AO9" i="18"/>
  <c r="N9" i="18" s="1"/>
  <c r="BC14" i="18"/>
  <c r="I14" i="18" s="1"/>
  <c r="AQ4" i="18"/>
  <c r="M4" i="18" s="1"/>
  <c r="AX10" i="18"/>
  <c r="H10" i="18" s="1"/>
  <c r="AQ9" i="18"/>
  <c r="M9" i="18" s="1"/>
  <c r="AQ12" i="18"/>
  <c r="M12" i="18" s="1"/>
  <c r="AQ6" i="18"/>
  <c r="M6" i="18" s="1"/>
  <c r="AO8" i="18"/>
  <c r="N8" i="18" s="1"/>
  <c r="AQ11" i="18"/>
  <c r="M11" i="18" s="1"/>
  <c r="AQ14" i="18"/>
  <c r="M14" i="18" s="1"/>
  <c r="AO16" i="18"/>
  <c r="N16" i="18" s="1"/>
  <c r="AT18" i="18"/>
  <c r="AV2" i="18" s="1"/>
  <c r="AO6" i="18"/>
  <c r="N6" i="18" s="1"/>
  <c r="AO14" i="18"/>
  <c r="N14" i="18" s="1"/>
  <c r="AQ17" i="18"/>
  <c r="M17" i="18" s="1"/>
  <c r="AQ19" i="18"/>
  <c r="M19" i="18" s="1"/>
  <c r="AS10" i="18"/>
  <c r="D10" i="18" s="1"/>
  <c r="AG2" i="18"/>
  <c r="AH18" i="18"/>
  <c r="BE18" i="18" s="1"/>
  <c r="BD2" i="18"/>
  <c r="AJ18" i="18"/>
  <c r="AO4" i="18"/>
  <c r="N4" i="18" s="1"/>
  <c r="BB18" i="18"/>
  <c r="AX5" i="18"/>
  <c r="H5" i="18" s="1"/>
  <c r="AS5" i="18"/>
  <c r="D5" i="18" s="1"/>
  <c r="AX7" i="18"/>
  <c r="H7" i="18" s="1"/>
  <c r="AO12" i="18"/>
  <c r="N12" i="18" s="1"/>
  <c r="AX13" i="18"/>
  <c r="H13" i="18" s="1"/>
  <c r="AS13" i="18"/>
  <c r="D13" i="18" s="1"/>
  <c r="AX15" i="18"/>
  <c r="H15" i="18" s="1"/>
  <c r="BE4" i="18"/>
  <c r="AO5" i="18"/>
  <c r="N5" i="18" s="1"/>
  <c r="AX9" i="18"/>
  <c r="H9" i="18" s="1"/>
  <c r="AS9" i="18"/>
  <c r="D9" i="18" s="1"/>
  <c r="AQ10" i="18"/>
  <c r="M10" i="18" s="1"/>
  <c r="AX11" i="18"/>
  <c r="H11" i="18" s="1"/>
  <c r="AO13" i="18"/>
  <c r="N13" i="18" s="1"/>
  <c r="AO15" i="18"/>
  <c r="N15" i="18" s="1"/>
  <c r="AI18" i="18"/>
  <c r="AN18" i="18"/>
  <c r="AX6" i="18"/>
  <c r="H6" i="18" s="1"/>
  <c r="AS6" i="18"/>
  <c r="D6" i="18" s="1"/>
  <c r="AQ7" i="18"/>
  <c r="M7" i="18" s="1"/>
  <c r="AQ8" i="18"/>
  <c r="M8" i="18" s="1"/>
  <c r="AO10" i="18"/>
  <c r="N10" i="18" s="1"/>
  <c r="BC10" i="18"/>
  <c r="I10" i="18" s="1"/>
  <c r="BC11" i="18"/>
  <c r="I11" i="18" s="1"/>
  <c r="AQ13" i="18"/>
  <c r="M13" i="18" s="1"/>
  <c r="AX14" i="18"/>
  <c r="H14" i="18" s="1"/>
  <c r="AS14" i="18"/>
  <c r="D14" i="18" s="1"/>
  <c r="AQ15" i="18"/>
  <c r="M15" i="18" s="1"/>
  <c r="AQ16" i="18"/>
  <c r="M16" i="18" s="1"/>
  <c r="BC17" i="18"/>
  <c r="I17" i="18" s="1"/>
  <c r="K4" i="18"/>
  <c r="BC18" i="18"/>
  <c r="I18" i="18" s="1"/>
  <c r="D4" i="18"/>
  <c r="AT2" i="18"/>
  <c r="E4" i="18"/>
  <c r="E18" i="18" s="1"/>
  <c r="AX4" i="18"/>
  <c r="H4" i="18" s="1"/>
  <c r="AX8" i="18"/>
  <c r="H8" i="18" s="1"/>
  <c r="AX12" i="18"/>
  <c r="H12" i="18" s="1"/>
  <c r="AX16" i="18"/>
  <c r="H16" i="18" s="1"/>
  <c r="AO17" i="18"/>
  <c r="N17" i="18" s="1"/>
  <c r="AG18" i="18"/>
  <c r="AX18" i="18" s="1"/>
  <c r="H18" i="18" s="1"/>
  <c r="AP18" i="18"/>
  <c r="AO19" i="18"/>
  <c r="N19" i="18" s="1"/>
  <c r="BE5" i="18"/>
  <c r="AS7" i="18"/>
  <c r="D7" i="18" s="1"/>
  <c r="AS11" i="18"/>
  <c r="D11" i="18" s="1"/>
  <c r="AS15" i="18"/>
  <c r="D15" i="18" s="1"/>
  <c r="AX17" i="18"/>
  <c r="H17" i="18" s="1"/>
  <c r="BE6" i="18"/>
  <c r="AO7" i="18"/>
  <c r="N7" i="18" s="1"/>
  <c r="BE10" i="18"/>
  <c r="BE14" i="18"/>
  <c r="AX19" i="18"/>
  <c r="H19" i="18" s="1"/>
  <c r="B31" i="11"/>
  <c r="B39" i="11"/>
  <c r="B41" i="11"/>
  <c r="J17" i="17"/>
  <c r="K17" i="17"/>
  <c r="B14" i="11"/>
  <c r="AS18" i="18" l="1"/>
  <c r="D18" i="18" s="1"/>
  <c r="M18" i="18"/>
  <c r="AQ18" i="18"/>
  <c r="E23" i="15"/>
  <c r="B40" i="11"/>
  <c r="D28" i="12" s="1"/>
  <c r="E22" i="11" s="1"/>
  <c r="F31" i="15"/>
  <c r="F22" i="15"/>
  <c r="G14" i="15"/>
  <c r="B42" i="11"/>
  <c r="D30" i="12" s="1"/>
  <c r="B35" i="11"/>
  <c r="D23" i="12" s="1"/>
  <c r="E28" i="15"/>
  <c r="I14" i="15" s="1"/>
  <c r="E21" i="15"/>
  <c r="B36" i="11"/>
  <c r="D24" i="12" s="1"/>
  <c r="B38" i="11"/>
  <c r="D26" i="12" s="1"/>
  <c r="F28" i="15"/>
  <c r="I11" i="15" s="1"/>
  <c r="F24" i="15"/>
  <c r="F21" i="15"/>
  <c r="B32" i="11"/>
  <c r="D20" i="12" s="1"/>
  <c r="B34" i="11"/>
  <c r="D22" i="12" s="1"/>
  <c r="E24" i="15"/>
  <c r="E30" i="15"/>
  <c r="F30" i="15"/>
  <c r="F26" i="15"/>
  <c r="F23" i="15"/>
  <c r="F20" i="15"/>
  <c r="B30" i="11"/>
  <c r="D18" i="12" s="1"/>
  <c r="E23" i="11" s="1"/>
  <c r="B37" i="11"/>
  <c r="D25" i="12" s="1"/>
  <c r="E26" i="15"/>
  <c r="B43" i="11"/>
  <c r="D31" i="12" s="1"/>
  <c r="E31" i="15"/>
  <c r="E25" i="15"/>
  <c r="E22" i="15"/>
  <c r="G11" i="15"/>
  <c r="B33" i="11"/>
  <c r="D21" i="12" s="1"/>
  <c r="AO18" i="18"/>
  <c r="F25" i="15"/>
  <c r="N18" i="18" l="1"/>
  <c r="AN2" i="18"/>
  <c r="D8" i="12"/>
  <c r="Y4" i="1" l="1"/>
  <c r="Y5" i="1"/>
  <c r="Y6" i="1"/>
  <c r="Y7" i="1"/>
  <c r="Y8" i="1"/>
  <c r="Y9" i="1"/>
  <c r="Y10" i="1"/>
  <c r="Y11" i="1"/>
  <c r="Y12" i="1"/>
  <c r="Y13" i="1"/>
  <c r="Y14" i="1"/>
  <c r="Y15" i="1"/>
  <c r="Y16" i="1"/>
  <c r="Y17" i="1"/>
  <c r="G4" i="1" l="1"/>
  <c r="G3" i="2" s="1"/>
  <c r="G5" i="1"/>
  <c r="G4" i="2" s="1"/>
  <c r="G6" i="1"/>
  <c r="G5" i="2" s="1"/>
  <c r="G7" i="1"/>
  <c r="G6" i="2" s="1"/>
  <c r="G8" i="1"/>
  <c r="G7" i="2" s="1"/>
  <c r="G9" i="1"/>
  <c r="G8" i="2" s="1"/>
  <c r="G10" i="1"/>
  <c r="G9" i="2" s="1"/>
  <c r="G11" i="1"/>
  <c r="G10" i="2" s="1"/>
  <c r="G12" i="1"/>
  <c r="G11" i="2" s="1"/>
  <c r="G13" i="1"/>
  <c r="G12" i="2" s="1"/>
  <c r="G14" i="1"/>
  <c r="G13" i="2" s="1"/>
  <c r="G15" i="1"/>
  <c r="G14" i="2" s="1"/>
  <c r="G16" i="1"/>
  <c r="G15" i="2" s="1"/>
  <c r="G17" i="1"/>
  <c r="G16" i="2" s="1"/>
  <c r="G19" i="1"/>
  <c r="G20" i="2" l="1"/>
  <c r="G21" i="2"/>
  <c r="W7" i="2"/>
  <c r="X7" i="2" s="1"/>
  <c r="AZ5" i="1"/>
  <c r="L5" i="1" s="1"/>
  <c r="L4" i="2" s="1"/>
  <c r="AZ6" i="1"/>
  <c r="L6" i="1" s="1"/>
  <c r="L5" i="2" s="1"/>
  <c r="AZ7" i="1"/>
  <c r="L7" i="1" s="1"/>
  <c r="L6" i="2" s="1"/>
  <c r="AZ8" i="1"/>
  <c r="L8" i="1" s="1"/>
  <c r="L7" i="2" s="1"/>
  <c r="AZ9" i="1"/>
  <c r="L9" i="1" s="1"/>
  <c r="L8" i="2" s="1"/>
  <c r="AZ10" i="1"/>
  <c r="L10" i="1" s="1"/>
  <c r="L9" i="2" s="1"/>
  <c r="AZ11" i="1"/>
  <c r="L11" i="1" s="1"/>
  <c r="L10" i="2" s="1"/>
  <c r="AZ12" i="1"/>
  <c r="L12" i="1" s="1"/>
  <c r="L11" i="2" s="1"/>
  <c r="AZ13" i="1"/>
  <c r="L13" i="1" s="1"/>
  <c r="L12" i="2" s="1"/>
  <c r="AZ14" i="1"/>
  <c r="L14" i="1" s="1"/>
  <c r="L13" i="2" s="1"/>
  <c r="AZ15" i="1"/>
  <c r="L15" i="1" s="1"/>
  <c r="L14" i="2" s="1"/>
  <c r="AZ16" i="1"/>
  <c r="L16" i="1" s="1"/>
  <c r="L15" i="2" s="1"/>
  <c r="AZ17" i="1"/>
  <c r="L17" i="1" s="1"/>
  <c r="L16" i="2" s="1"/>
  <c r="AZ4" i="1"/>
  <c r="L4" i="1" s="1"/>
  <c r="L3" i="2" s="1"/>
  <c r="AY19" i="1"/>
  <c r="AX19" i="1"/>
  <c r="AX18" i="1"/>
  <c r="AY18" i="1"/>
  <c r="AZ18" i="1" s="1"/>
  <c r="L18" i="1" s="1"/>
  <c r="K19" i="1"/>
  <c r="G22" i="2" l="1"/>
  <c r="L21" i="2"/>
  <c r="L20" i="2"/>
  <c r="W12" i="2"/>
  <c r="X12" i="2" s="1"/>
  <c r="AZ19" i="1"/>
  <c r="L19" i="1" s="1"/>
  <c r="B5" i="2"/>
  <c r="B6" i="2"/>
  <c r="AU19" i="1"/>
  <c r="J19" i="1" s="1"/>
  <c r="L22" i="2" l="1"/>
  <c r="AT18" i="1"/>
  <c r="AS18" i="1"/>
  <c r="AV18" i="1"/>
  <c r="AQ18" i="1"/>
  <c r="AO17" i="1"/>
  <c r="AO16" i="1"/>
  <c r="AO15" i="1"/>
  <c r="AO14" i="1"/>
  <c r="AO13" i="1"/>
  <c r="AO12" i="1"/>
  <c r="AO11" i="1"/>
  <c r="AO10" i="1"/>
  <c r="AO9" i="1"/>
  <c r="AO8" i="1"/>
  <c r="AO7" i="1"/>
  <c r="AO6" i="1"/>
  <c r="AO5" i="1"/>
  <c r="AO4" i="1"/>
  <c r="AO19" i="1"/>
  <c r="AN5" i="1"/>
  <c r="AN6" i="1"/>
  <c r="AN7" i="1"/>
  <c r="AN8" i="1"/>
  <c r="AN9" i="1"/>
  <c r="AN10" i="1"/>
  <c r="AN11" i="1"/>
  <c r="AN12" i="1"/>
  <c r="AN13" i="1"/>
  <c r="AN14" i="1"/>
  <c r="AN15" i="1"/>
  <c r="AN16" i="1"/>
  <c r="AN17" i="1"/>
  <c r="AN19" i="1"/>
  <c r="AN4" i="1"/>
  <c r="AM18" i="1"/>
  <c r="AL18" i="1"/>
  <c r="X4" i="1"/>
  <c r="AW4" i="1" s="1"/>
  <c r="X5" i="1"/>
  <c r="AW5" i="1" s="1"/>
  <c r="K5" i="1" s="1"/>
  <c r="K4" i="2" s="1"/>
  <c r="X6" i="1"/>
  <c r="AW6" i="1" s="1"/>
  <c r="K6" i="1" s="1"/>
  <c r="K5" i="2" s="1"/>
  <c r="X7" i="1"/>
  <c r="AW7" i="1" s="1"/>
  <c r="K7" i="1" s="1"/>
  <c r="K6" i="2" s="1"/>
  <c r="X8" i="1"/>
  <c r="AW8" i="1" s="1"/>
  <c r="K8" i="1" s="1"/>
  <c r="K7" i="2" s="1"/>
  <c r="X9" i="1"/>
  <c r="AW9" i="1" s="1"/>
  <c r="K9" i="1" s="1"/>
  <c r="K8" i="2" s="1"/>
  <c r="X10" i="1"/>
  <c r="AW10" i="1" s="1"/>
  <c r="K10" i="1" s="1"/>
  <c r="K9" i="2" s="1"/>
  <c r="X11" i="1"/>
  <c r="AW11" i="1" s="1"/>
  <c r="K11" i="1" s="1"/>
  <c r="K10" i="2" s="1"/>
  <c r="X12" i="1"/>
  <c r="AW12" i="1" s="1"/>
  <c r="K12" i="1" s="1"/>
  <c r="K11" i="2" s="1"/>
  <c r="X13" i="1"/>
  <c r="AW13" i="1" s="1"/>
  <c r="K13" i="1" s="1"/>
  <c r="K12" i="2" s="1"/>
  <c r="X15" i="1"/>
  <c r="AW15" i="1" s="1"/>
  <c r="K15" i="1" s="1"/>
  <c r="K14" i="2" s="1"/>
  <c r="X16" i="1"/>
  <c r="AW16" i="1" s="1"/>
  <c r="K16" i="1" s="1"/>
  <c r="K15" i="2" s="1"/>
  <c r="X17" i="1"/>
  <c r="AW17" i="1" s="1"/>
  <c r="K17" i="1" s="1"/>
  <c r="K16" i="2" s="1"/>
  <c r="AI18" i="1"/>
  <c r="G18" i="1" s="1"/>
  <c r="AJ18" i="1"/>
  <c r="K4" i="1" l="1"/>
  <c r="K3" i="2" s="1"/>
  <c r="AU18" i="1"/>
  <c r="J18" i="1" s="1"/>
  <c r="AP13" i="1"/>
  <c r="I13" i="1" s="1"/>
  <c r="I12" i="2" s="1"/>
  <c r="AP9" i="1"/>
  <c r="I9" i="1" s="1"/>
  <c r="I8" i="2" s="1"/>
  <c r="AQ2" i="1"/>
  <c r="AP5" i="1"/>
  <c r="I5" i="1" s="1"/>
  <c r="I4" i="2" s="1"/>
  <c r="AP4" i="1"/>
  <c r="I4" i="1" s="1"/>
  <c r="I3" i="2" s="1"/>
  <c r="AP19" i="1"/>
  <c r="I19" i="1" s="1"/>
  <c r="AP14" i="1"/>
  <c r="I14" i="1" s="1"/>
  <c r="I13" i="2" s="1"/>
  <c r="AP10" i="1"/>
  <c r="I10" i="1" s="1"/>
  <c r="I9" i="2" s="1"/>
  <c r="AP6" i="1"/>
  <c r="I6" i="1" s="1"/>
  <c r="I5" i="2" s="1"/>
  <c r="AP17" i="1"/>
  <c r="I17" i="1" s="1"/>
  <c r="I16" i="2" s="1"/>
  <c r="AP16" i="1"/>
  <c r="I16" i="1" s="1"/>
  <c r="I15" i="2" s="1"/>
  <c r="AP12" i="1"/>
  <c r="I12" i="1" s="1"/>
  <c r="I11" i="2" s="1"/>
  <c r="AP8" i="1"/>
  <c r="I8" i="1" s="1"/>
  <c r="I7" i="2" s="1"/>
  <c r="AP15" i="1"/>
  <c r="I15" i="1" s="1"/>
  <c r="I14" i="2" s="1"/>
  <c r="AP11" i="1"/>
  <c r="I11" i="1" s="1"/>
  <c r="I10" i="2" s="1"/>
  <c r="AP7" i="1"/>
  <c r="I7" i="1" s="1"/>
  <c r="I6" i="2" s="1"/>
  <c r="AO18" i="1"/>
  <c r="AN18" i="1"/>
  <c r="F4" i="1"/>
  <c r="F3" i="2" s="1"/>
  <c r="F5" i="1"/>
  <c r="F4" i="2" s="1"/>
  <c r="F6" i="1"/>
  <c r="F5" i="2" s="1"/>
  <c r="F7" i="1"/>
  <c r="F6" i="2" s="1"/>
  <c r="F8" i="1"/>
  <c r="F7" i="2" s="1"/>
  <c r="F9" i="1"/>
  <c r="F8" i="2" s="1"/>
  <c r="F10" i="1"/>
  <c r="F9" i="2" s="1"/>
  <c r="F11" i="1"/>
  <c r="F10" i="2" s="1"/>
  <c r="F12" i="1"/>
  <c r="F11" i="2" s="1"/>
  <c r="F13" i="1"/>
  <c r="F12" i="2" s="1"/>
  <c r="F14" i="1"/>
  <c r="F13" i="2" s="1"/>
  <c r="F15" i="1"/>
  <c r="F14" i="2" s="1"/>
  <c r="F16" i="1"/>
  <c r="F15" i="2" s="1"/>
  <c r="F17" i="1"/>
  <c r="F16" i="2" s="1"/>
  <c r="Z18" i="1"/>
  <c r="AE18" i="1"/>
  <c r="AH18" i="1"/>
  <c r="AH19" i="1"/>
  <c r="F19" i="1" s="1"/>
  <c r="AG4" i="1"/>
  <c r="AG5" i="1"/>
  <c r="E5" i="1" s="1"/>
  <c r="E4" i="2" s="1"/>
  <c r="AG6" i="1"/>
  <c r="E6" i="1" s="1"/>
  <c r="E5" i="2" s="1"/>
  <c r="AG7" i="1"/>
  <c r="E7" i="1" s="1"/>
  <c r="E6" i="2" s="1"/>
  <c r="AG8" i="1"/>
  <c r="E8" i="1" s="1"/>
  <c r="E7" i="2" s="1"/>
  <c r="AG9" i="1"/>
  <c r="E9" i="1" s="1"/>
  <c r="E8" i="2" s="1"/>
  <c r="AG10" i="1"/>
  <c r="E10" i="1" s="1"/>
  <c r="E9" i="2" s="1"/>
  <c r="AG11" i="1"/>
  <c r="E11" i="1" s="1"/>
  <c r="E10" i="2" s="1"/>
  <c r="AG12" i="1"/>
  <c r="E12" i="1" s="1"/>
  <c r="E11" i="2" s="1"/>
  <c r="AG13" i="1"/>
  <c r="E13" i="1" s="1"/>
  <c r="E12" i="2" s="1"/>
  <c r="AG14" i="1"/>
  <c r="E14" i="1" s="1"/>
  <c r="E13" i="2" s="1"/>
  <c r="AG15" i="1"/>
  <c r="E15" i="1" s="1"/>
  <c r="E14" i="2" s="1"/>
  <c r="AG16" i="1"/>
  <c r="E16" i="1" s="1"/>
  <c r="E15" i="2" s="1"/>
  <c r="AG17" i="1"/>
  <c r="E17" i="1" s="1"/>
  <c r="E16" i="2" s="1"/>
  <c r="AG19" i="1"/>
  <c r="E19" i="1" s="1"/>
  <c r="AC4" i="1"/>
  <c r="AC5" i="1"/>
  <c r="AC6" i="1"/>
  <c r="AC7" i="1"/>
  <c r="AC8" i="1"/>
  <c r="AC9" i="1"/>
  <c r="AC10" i="1"/>
  <c r="AC11" i="1"/>
  <c r="AC12" i="1"/>
  <c r="AC13" i="1"/>
  <c r="AC14" i="1"/>
  <c r="AC15" i="1"/>
  <c r="AC16" i="1"/>
  <c r="AC17" i="1"/>
  <c r="AC19" i="1"/>
  <c r="AA4" i="1"/>
  <c r="AA5" i="1"/>
  <c r="AA6" i="1"/>
  <c r="AA7" i="1"/>
  <c r="AA8" i="1"/>
  <c r="AA9" i="1"/>
  <c r="AA10" i="1"/>
  <c r="AA11" i="1"/>
  <c r="AA12" i="1"/>
  <c r="AA13" i="1"/>
  <c r="AA14" i="1"/>
  <c r="AA15" i="1"/>
  <c r="AA16" i="1"/>
  <c r="AA17" i="1"/>
  <c r="AA19" i="1"/>
  <c r="W4" i="1"/>
  <c r="W14" i="1"/>
  <c r="W17" i="1"/>
  <c r="W19" i="1"/>
  <c r="V4" i="1"/>
  <c r="V5" i="1"/>
  <c r="V6" i="1"/>
  <c r="V7" i="1"/>
  <c r="V8" i="1"/>
  <c r="V9" i="1"/>
  <c r="V10" i="1"/>
  <c r="V11" i="1"/>
  <c r="V12" i="1"/>
  <c r="V13" i="1"/>
  <c r="V14" i="1"/>
  <c r="V15" i="1"/>
  <c r="V16" i="1"/>
  <c r="V17" i="1"/>
  <c r="V19" i="1"/>
  <c r="U19" i="1"/>
  <c r="AR19" i="1" s="1"/>
  <c r="U4" i="1"/>
  <c r="AR4" i="1" s="1"/>
  <c r="U14" i="1"/>
  <c r="AR14" i="1" s="1"/>
  <c r="U17" i="1"/>
  <c r="AR17" i="1" s="1"/>
  <c r="T4" i="1"/>
  <c r="T5" i="1"/>
  <c r="T6" i="1"/>
  <c r="T7" i="1"/>
  <c r="T8" i="1"/>
  <c r="T9" i="1"/>
  <c r="T10" i="1"/>
  <c r="T11" i="1"/>
  <c r="T12" i="1"/>
  <c r="T13" i="1"/>
  <c r="T14" i="1"/>
  <c r="T15" i="1"/>
  <c r="T16" i="1"/>
  <c r="T17" i="1"/>
  <c r="T19" i="1"/>
  <c r="I21" i="2" l="1"/>
  <c r="F21" i="2"/>
  <c r="I20" i="2"/>
  <c r="F20" i="2"/>
  <c r="W9" i="2"/>
  <c r="X9" i="2" s="1"/>
  <c r="W6" i="2"/>
  <c r="X6" i="2" s="1"/>
  <c r="AK14" i="1"/>
  <c r="H14" i="1" s="1"/>
  <c r="H13" i="2" s="1"/>
  <c r="T2" i="1"/>
  <c r="AP18" i="1"/>
  <c r="I18" i="1" s="1"/>
  <c r="AA18" i="1"/>
  <c r="AK17" i="1"/>
  <c r="H17" i="1" s="1"/>
  <c r="H16" i="2" s="1"/>
  <c r="F18" i="1"/>
  <c r="AH2" i="1"/>
  <c r="E4" i="1"/>
  <c r="AK4" i="1"/>
  <c r="H4" i="1" s="1"/>
  <c r="H3" i="2" s="1"/>
  <c r="AF10" i="1"/>
  <c r="D10" i="1" s="1"/>
  <c r="D9" i="2" s="1"/>
  <c r="AF13" i="1"/>
  <c r="D13" i="1" s="1"/>
  <c r="D12" i="2" s="1"/>
  <c r="AF16" i="1"/>
  <c r="D16" i="1" s="1"/>
  <c r="D15" i="2" s="1"/>
  <c r="AF12" i="1"/>
  <c r="D12" i="1" s="1"/>
  <c r="D11" i="2" s="1"/>
  <c r="AF8" i="1"/>
  <c r="D8" i="1" s="1"/>
  <c r="D7" i="2" s="1"/>
  <c r="AF14" i="1"/>
  <c r="D14" i="1" s="1"/>
  <c r="D13" i="2" s="1"/>
  <c r="AF17" i="1"/>
  <c r="D17" i="1" s="1"/>
  <c r="D16" i="2" s="1"/>
  <c r="AF9" i="1"/>
  <c r="D9" i="1" s="1"/>
  <c r="D8" i="2" s="1"/>
  <c r="AF15" i="1"/>
  <c r="D15" i="1" s="1"/>
  <c r="D14" i="2" s="1"/>
  <c r="AF11" i="1"/>
  <c r="D11" i="1" s="1"/>
  <c r="D10" i="2" s="1"/>
  <c r="AF7" i="1"/>
  <c r="D7" i="1" s="1"/>
  <c r="D6" i="2" s="1"/>
  <c r="AF19" i="1"/>
  <c r="D19" i="1" s="1"/>
  <c r="AK19" i="1"/>
  <c r="H19" i="1" s="1"/>
  <c r="AF6" i="1"/>
  <c r="D6" i="1" s="1"/>
  <c r="D5" i="2" s="1"/>
  <c r="AF4" i="1"/>
  <c r="D4" i="1" s="1"/>
  <c r="D3" i="2" s="1"/>
  <c r="AF5" i="1"/>
  <c r="D5" i="1" s="1"/>
  <c r="D4" i="2" s="1"/>
  <c r="V18" i="1"/>
  <c r="AC18" i="1"/>
  <c r="AG18" i="1"/>
  <c r="AG2" i="1" s="1"/>
  <c r="T18" i="1"/>
  <c r="AD19" i="1"/>
  <c r="M19" i="1" s="1"/>
  <c r="AD14" i="1"/>
  <c r="M14" i="1" s="1"/>
  <c r="M13" i="2" s="1"/>
  <c r="AD17" i="1"/>
  <c r="M17" i="1" s="1"/>
  <c r="M16" i="2" s="1"/>
  <c r="AD4" i="1"/>
  <c r="M4" i="1" s="1"/>
  <c r="M3" i="2" s="1"/>
  <c r="AB4" i="1"/>
  <c r="N4" i="1" s="1"/>
  <c r="AB15" i="1"/>
  <c r="N15" i="1" s="1"/>
  <c r="AB11" i="1"/>
  <c r="N11" i="1" s="1"/>
  <c r="AB13" i="1"/>
  <c r="N13" i="1" s="1"/>
  <c r="AB9" i="1"/>
  <c r="N9" i="1" s="1"/>
  <c r="AB5" i="1"/>
  <c r="N5" i="1" s="1"/>
  <c r="AB16" i="1"/>
  <c r="N16" i="1" s="1"/>
  <c r="AB12" i="1"/>
  <c r="N12" i="1" s="1"/>
  <c r="AB8" i="1"/>
  <c r="N8" i="1" s="1"/>
  <c r="AB17" i="1"/>
  <c r="N17" i="1" s="1"/>
  <c r="AB7" i="1"/>
  <c r="N7" i="1" s="1"/>
  <c r="AB19" i="1"/>
  <c r="N19" i="1" s="1"/>
  <c r="AB14" i="1"/>
  <c r="N14" i="1" s="1"/>
  <c r="AB10" i="1"/>
  <c r="N10" i="1" s="1"/>
  <c r="AB6" i="1"/>
  <c r="N6" i="1" s="1"/>
  <c r="I22" i="2" l="1"/>
  <c r="F22" i="2"/>
  <c r="D21" i="2"/>
  <c r="D20" i="2"/>
  <c r="W4" i="2"/>
  <c r="X4" i="2" s="1"/>
  <c r="E18" i="1"/>
  <c r="E3" i="2"/>
  <c r="AB18" i="1"/>
  <c r="N18" i="1" s="1"/>
  <c r="AI2" i="1"/>
  <c r="AF18" i="1"/>
  <c r="D18" i="1" s="1"/>
  <c r="E21" i="2" l="1"/>
  <c r="D22" i="2"/>
  <c r="W5" i="2"/>
  <c r="X5" i="2" s="1"/>
  <c r="E20" i="2"/>
  <c r="AA2" i="1"/>
  <c r="Z19" i="1"/>
  <c r="E22" i="2" l="1"/>
  <c r="AU17" i="1"/>
  <c r="J17" i="1" s="1"/>
  <c r="J16" i="2" s="1"/>
  <c r="AU16" i="1"/>
  <c r="J16" i="1" s="1"/>
  <c r="J15" i="2" s="1"/>
  <c r="AU15" i="1"/>
  <c r="J15" i="1" s="1"/>
  <c r="J14" i="2" s="1"/>
  <c r="AU14" i="1"/>
  <c r="J14" i="1" s="1"/>
  <c r="J13" i="2" s="1"/>
  <c r="AU13" i="1"/>
  <c r="J13" i="1" s="1"/>
  <c r="J12" i="2" s="1"/>
  <c r="AU12" i="1"/>
  <c r="J12" i="1" s="1"/>
  <c r="J11" i="2" s="1"/>
  <c r="AU11" i="1"/>
  <c r="J11" i="1" s="1"/>
  <c r="J10" i="2" s="1"/>
  <c r="AU10" i="1"/>
  <c r="J10" i="1" s="1"/>
  <c r="J9" i="2" s="1"/>
  <c r="AU9" i="1"/>
  <c r="J9" i="1" s="1"/>
  <c r="J8" i="2" s="1"/>
  <c r="AU8" i="1"/>
  <c r="J8" i="1" s="1"/>
  <c r="J7" i="2" s="1"/>
  <c r="AU7" i="1"/>
  <c r="J7" i="1" s="1"/>
  <c r="J6" i="2" s="1"/>
  <c r="AU6" i="1"/>
  <c r="J6" i="1" s="1"/>
  <c r="J5" i="2" s="1"/>
  <c r="AU5" i="1"/>
  <c r="J5" i="1" s="1"/>
  <c r="J4" i="2" s="1"/>
  <c r="AU4" i="1"/>
  <c r="J4" i="1" l="1"/>
  <c r="J3" i="2" s="1"/>
  <c r="J21" i="2" s="1"/>
  <c r="W10" i="2" l="1"/>
  <c r="X10" i="2" s="1"/>
  <c r="J20" i="2"/>
  <c r="J22" i="2" s="1"/>
  <c r="BT17" i="1" l="1"/>
  <c r="BT16" i="1"/>
  <c r="BT15" i="1"/>
  <c r="BT14" i="1"/>
  <c r="BT13" i="1"/>
  <c r="BT12" i="1"/>
  <c r="BT11" i="1"/>
  <c r="BT10" i="1"/>
  <c r="BT9" i="1"/>
  <c r="BT8" i="1"/>
  <c r="BT7" i="1"/>
  <c r="BT6" i="1"/>
  <c r="BT5" i="1"/>
  <c r="BT4" i="1"/>
  <c r="D18" i="2" l="1"/>
  <c r="E18" i="2"/>
  <c r="F18" i="2"/>
  <c r="G18" i="2"/>
  <c r="I18" i="2"/>
  <c r="J18" i="2"/>
  <c r="L18" i="2"/>
  <c r="E19" i="2"/>
  <c r="F19" i="2"/>
  <c r="G19" i="2"/>
  <c r="I19" i="2"/>
  <c r="J19" i="2"/>
  <c r="L19" i="2"/>
  <c r="D19" i="2"/>
  <c r="E36" i="2" l="1"/>
  <c r="F56" i="2" s="1"/>
  <c r="E35" i="2"/>
  <c r="F55" i="2" s="1"/>
  <c r="E30" i="2"/>
  <c r="F50" i="2" s="1"/>
  <c r="E34" i="2"/>
  <c r="F54" i="2" s="1"/>
  <c r="E39" i="2"/>
  <c r="E31" i="2"/>
  <c r="E37" i="2"/>
  <c r="F57" i="2" s="1"/>
  <c r="E28" i="2"/>
  <c r="F48" i="2" s="1"/>
  <c r="E32" i="2"/>
  <c r="F52" i="2" s="1"/>
  <c r="E27" i="2"/>
  <c r="F47" i="2" s="1"/>
  <c r="E29" i="2"/>
  <c r="E38" i="2"/>
  <c r="F58" i="2" s="1"/>
  <c r="E33" i="2"/>
  <c r="F53" i="2" s="1"/>
  <c r="F31" i="2"/>
  <c r="F37" i="2"/>
  <c r="G57" i="2" s="1"/>
  <c r="F29" i="2"/>
  <c r="G49" i="2" s="1"/>
  <c r="F35" i="2"/>
  <c r="F27" i="2"/>
  <c r="F39" i="2"/>
  <c r="F30" i="2"/>
  <c r="F36" i="2"/>
  <c r="G56" i="2" s="1"/>
  <c r="F33" i="2"/>
  <c r="G53" i="2" s="1"/>
  <c r="F32" i="2"/>
  <c r="G52" i="2" s="1"/>
  <c r="F38" i="2"/>
  <c r="G58" i="2" s="1"/>
  <c r="F28" i="2"/>
  <c r="F34" i="2"/>
  <c r="G29" i="2"/>
  <c r="G27" i="2"/>
  <c r="H47" i="2" s="1"/>
  <c r="G39" i="2"/>
  <c r="H59" i="2" s="1"/>
  <c r="G36" i="2"/>
  <c r="H56" i="2" s="1"/>
  <c r="G28" i="2"/>
  <c r="H48" i="2" s="1"/>
  <c r="G32" i="2"/>
  <c r="H52" i="2" s="1"/>
  <c r="G33" i="2"/>
  <c r="H53" i="2" s="1"/>
  <c r="G38" i="2"/>
  <c r="H58" i="2" s="1"/>
  <c r="G37" i="2"/>
  <c r="G35" i="2"/>
  <c r="G31" i="2"/>
  <c r="H51" i="2" s="1"/>
  <c r="G30" i="2"/>
  <c r="H50" i="2" s="1"/>
  <c r="G34" i="2"/>
  <c r="H54" i="2" s="1"/>
  <c r="H33" i="2"/>
  <c r="I53" i="2" s="1"/>
  <c r="H37" i="2"/>
  <c r="H30" i="2"/>
  <c r="I50" i="2" s="1"/>
  <c r="H29" i="2"/>
  <c r="I49" i="2" s="1"/>
  <c r="H39" i="2"/>
  <c r="I59" i="2" s="1"/>
  <c r="H28" i="2"/>
  <c r="I48" i="2" s="1"/>
  <c r="H32" i="2"/>
  <c r="I52" i="2" s="1"/>
  <c r="H31" i="2"/>
  <c r="I51" i="2" s="1"/>
  <c r="H38" i="2"/>
  <c r="H36" i="2"/>
  <c r="I56" i="2" s="1"/>
  <c r="H34" i="2"/>
  <c r="I54" i="2" s="1"/>
  <c r="H35" i="2"/>
  <c r="H27" i="2"/>
  <c r="I47" i="2" s="1"/>
  <c r="K39" i="2"/>
  <c r="K37" i="2"/>
  <c r="L57" i="2" s="1"/>
  <c r="K34" i="2"/>
  <c r="L54" i="2" s="1"/>
  <c r="K29" i="2"/>
  <c r="L49" i="2" s="1"/>
  <c r="K30" i="2"/>
  <c r="K28" i="2"/>
  <c r="L48" i="2" s="1"/>
  <c r="K27" i="2"/>
  <c r="K38" i="2"/>
  <c r="L58" i="2" s="1"/>
  <c r="K32" i="2"/>
  <c r="L52" i="2" s="1"/>
  <c r="K33" i="2"/>
  <c r="L53" i="2" s="1"/>
  <c r="K36" i="2"/>
  <c r="K35" i="2"/>
  <c r="L55" i="2" s="1"/>
  <c r="K31" i="2"/>
  <c r="L51" i="2" s="1"/>
  <c r="E26" i="2"/>
  <c r="F46" i="2" s="1"/>
  <c r="K26" i="2"/>
  <c r="L46" i="2" s="1"/>
  <c r="G47" i="2"/>
  <c r="G55" i="2"/>
  <c r="F26" i="2"/>
  <c r="I58" i="2"/>
  <c r="I55" i="2"/>
  <c r="I57" i="2"/>
  <c r="H26" i="2"/>
  <c r="I46" i="2" s="1"/>
  <c r="L59" i="2"/>
  <c r="L56" i="2"/>
  <c r="L50" i="2"/>
  <c r="L47" i="2"/>
  <c r="H55" i="2"/>
  <c r="H57" i="2"/>
  <c r="G26" i="2"/>
  <c r="H46" i="2" s="1"/>
  <c r="F49" i="2"/>
  <c r="F51" i="2"/>
  <c r="F59" i="2"/>
  <c r="M33" i="2"/>
  <c r="P53" i="2" s="1"/>
  <c r="M35" i="2"/>
  <c r="P55" i="2" s="1"/>
  <c r="M26" i="2"/>
  <c r="P46" i="2" s="1"/>
  <c r="M30" i="2"/>
  <c r="P50" i="2" s="1"/>
  <c r="M38" i="2"/>
  <c r="P58" i="2" s="1"/>
  <c r="M32" i="2"/>
  <c r="P52" i="2" s="1"/>
  <c r="M29" i="2"/>
  <c r="P49" i="2" s="1"/>
  <c r="M37" i="2"/>
  <c r="P57" i="2" s="1"/>
  <c r="M39" i="2"/>
  <c r="P59" i="2" s="1"/>
  <c r="M34" i="2"/>
  <c r="P54" i="2" s="1"/>
  <c r="M31" i="2"/>
  <c r="P51" i="2" s="1"/>
  <c r="M28" i="2"/>
  <c r="P48" i="2" s="1"/>
  <c r="M36" i="2"/>
  <c r="P56" i="2" s="1"/>
  <c r="M27" i="2"/>
  <c r="P47" i="2" s="1"/>
  <c r="CP18" i="1"/>
  <c r="CT17" i="1"/>
  <c r="CT16" i="1"/>
  <c r="CT15" i="1"/>
  <c r="CT14" i="1"/>
  <c r="CT13" i="1"/>
  <c r="CT12" i="1"/>
  <c r="CT11" i="1"/>
  <c r="CT10" i="1"/>
  <c r="CT9" i="1"/>
  <c r="CT8" i="1"/>
  <c r="CT7" i="1"/>
  <c r="CT6" i="1"/>
  <c r="CT5" i="1"/>
  <c r="CT4" i="1"/>
  <c r="I39" i="2" l="1"/>
  <c r="J59" i="2" s="1"/>
  <c r="I28" i="2"/>
  <c r="J48" i="2" s="1"/>
  <c r="I30" i="2"/>
  <c r="I34" i="2"/>
  <c r="J54" i="2" s="1"/>
  <c r="G50" i="2"/>
  <c r="G48" i="2"/>
  <c r="I31" i="2"/>
  <c r="G51" i="2"/>
  <c r="I29" i="2"/>
  <c r="G46" i="2"/>
  <c r="I26" i="2"/>
  <c r="G59" i="2"/>
  <c r="I37" i="2"/>
  <c r="I32" i="2"/>
  <c r="I33" i="2"/>
  <c r="H49" i="2"/>
  <c r="G54" i="2"/>
  <c r="I35" i="2"/>
  <c r="I36" i="2"/>
  <c r="I38" i="2"/>
  <c r="I27" i="2"/>
  <c r="J56" i="2" l="1"/>
  <c r="J52" i="2"/>
  <c r="J50" i="2"/>
  <c r="J46" i="2"/>
  <c r="J55" i="2"/>
  <c r="J57" i="2"/>
  <c r="J51" i="2"/>
  <c r="J58" i="2"/>
  <c r="J47" i="2"/>
  <c r="J53" i="2"/>
  <c r="J49" i="2"/>
  <c r="B19" i="1" l="1"/>
  <c r="B13" i="2"/>
  <c r="B3" i="2" l="1"/>
  <c r="B16" i="2"/>
  <c r="W16" i="1" l="1"/>
  <c r="U16" i="1"/>
  <c r="U12" i="1"/>
  <c r="U11" i="1"/>
  <c r="W10" i="1"/>
  <c r="U10" i="1"/>
  <c r="W8" i="1"/>
  <c r="U8" i="1"/>
  <c r="W6" i="1"/>
  <c r="W5" i="1"/>
  <c r="U5" i="1"/>
  <c r="W15" i="1"/>
  <c r="U13" i="1"/>
  <c r="W7" i="1"/>
  <c r="U7" i="1"/>
  <c r="AK7" i="1" l="1"/>
  <c r="H7" i="1" s="1"/>
  <c r="H6" i="2" s="1"/>
  <c r="AR7" i="1"/>
  <c r="AK13" i="1"/>
  <c r="H13" i="1" s="1"/>
  <c r="H12" i="2" s="1"/>
  <c r="AR13" i="1"/>
  <c r="AK5" i="1"/>
  <c r="H5" i="1" s="1"/>
  <c r="H4" i="2" s="1"/>
  <c r="AR5" i="1"/>
  <c r="AK8" i="1"/>
  <c r="H8" i="1" s="1"/>
  <c r="H7" i="2" s="1"/>
  <c r="AR8" i="1"/>
  <c r="AK10" i="1"/>
  <c r="H10" i="1" s="1"/>
  <c r="H9" i="2" s="1"/>
  <c r="AR10" i="1"/>
  <c r="AK11" i="1"/>
  <c r="H11" i="1" s="1"/>
  <c r="H10" i="2" s="1"/>
  <c r="AR11" i="1"/>
  <c r="AK12" i="1"/>
  <c r="H12" i="1" s="1"/>
  <c r="H11" i="2" s="1"/>
  <c r="AR12" i="1"/>
  <c r="AK16" i="1"/>
  <c r="H16" i="1" s="1"/>
  <c r="H15" i="2" s="1"/>
  <c r="AR16" i="1"/>
  <c r="AD7" i="1"/>
  <c r="M7" i="1" s="1"/>
  <c r="M6" i="2" s="1"/>
  <c r="AD13" i="1"/>
  <c r="M13" i="1" s="1"/>
  <c r="M12" i="2" s="1"/>
  <c r="AD8" i="1"/>
  <c r="M8" i="1" s="1"/>
  <c r="M7" i="2" s="1"/>
  <c r="AD10" i="1"/>
  <c r="M10" i="1" s="1"/>
  <c r="M9" i="2" s="1"/>
  <c r="AD11" i="1"/>
  <c r="M11" i="1" s="1"/>
  <c r="M10" i="2" s="1"/>
  <c r="AD12" i="1"/>
  <c r="M12" i="1" s="1"/>
  <c r="M11" i="2" s="1"/>
  <c r="AD16" i="1"/>
  <c r="M16" i="1" s="1"/>
  <c r="M15" i="2" s="1"/>
  <c r="W12" i="1"/>
  <c r="U15" i="1"/>
  <c r="AD5" i="1"/>
  <c r="U6" i="1"/>
  <c r="B8" i="2"/>
  <c r="U9" i="1"/>
  <c r="W13" i="1"/>
  <c r="W9" i="1"/>
  <c r="W11" i="1"/>
  <c r="B15" i="2"/>
  <c r="B4" i="2"/>
  <c r="B7" i="2"/>
  <c r="B9" i="2"/>
  <c r="B11" i="2"/>
  <c r="B12" i="2"/>
  <c r="B14" i="2"/>
  <c r="B10" i="2"/>
  <c r="B21" i="2" l="1"/>
  <c r="B20" i="2"/>
  <c r="B18" i="2"/>
  <c r="B19" i="2"/>
  <c r="AK9" i="1"/>
  <c r="H9" i="1" s="1"/>
  <c r="H8" i="2" s="1"/>
  <c r="AR9" i="1"/>
  <c r="AK15" i="1"/>
  <c r="H15" i="1" s="1"/>
  <c r="H14" i="2" s="1"/>
  <c r="AR15" i="1"/>
  <c r="AK6" i="1"/>
  <c r="H6" i="1" s="1"/>
  <c r="H5" i="2" s="1"/>
  <c r="AR6" i="1"/>
  <c r="AD9" i="1"/>
  <c r="M9" i="1" s="1"/>
  <c r="M8" i="2" s="1"/>
  <c r="AD15" i="1"/>
  <c r="M15" i="1" s="1"/>
  <c r="M14" i="2" s="1"/>
  <c r="W18" i="1"/>
  <c r="AD6" i="1"/>
  <c r="M6" i="1" s="1"/>
  <c r="M5" i="2" s="1"/>
  <c r="M5" i="1"/>
  <c r="M4" i="2" s="1"/>
  <c r="U18" i="1"/>
  <c r="B30" i="2" l="1"/>
  <c r="B34" i="2"/>
  <c r="B27" i="2"/>
  <c r="B29" i="2"/>
  <c r="C49" i="2" s="1"/>
  <c r="B28" i="2"/>
  <c r="B36" i="2"/>
  <c r="B39" i="2"/>
  <c r="B35" i="2"/>
  <c r="B37" i="2"/>
  <c r="B38" i="2"/>
  <c r="B32" i="2"/>
  <c r="H21" i="2"/>
  <c r="B33" i="2"/>
  <c r="B31" i="2"/>
  <c r="B22" i="2"/>
  <c r="M21" i="2"/>
  <c r="H20" i="2"/>
  <c r="M20" i="2"/>
  <c r="W8" i="2"/>
  <c r="X8" i="2" s="1"/>
  <c r="W13" i="2"/>
  <c r="X13" i="2" s="1"/>
  <c r="B26" i="2"/>
  <c r="H19" i="2"/>
  <c r="C52" i="2"/>
  <c r="H18" i="2"/>
  <c r="C48" i="2"/>
  <c r="C56" i="2"/>
  <c r="M18" i="2"/>
  <c r="M19" i="2"/>
  <c r="AK18" i="1"/>
  <c r="H18" i="1" s="1"/>
  <c r="AR18" i="1"/>
  <c r="AD18" i="1"/>
  <c r="M18" i="1"/>
  <c r="J37" i="2" l="1"/>
  <c r="C50" i="2"/>
  <c r="C59" i="2"/>
  <c r="C57" i="2"/>
  <c r="H22" i="2"/>
  <c r="C54" i="2"/>
  <c r="N26" i="2"/>
  <c r="Q46" i="2" s="1"/>
  <c r="C47" i="2"/>
  <c r="C58" i="2"/>
  <c r="C55" i="2"/>
  <c r="J36" i="2"/>
  <c r="J39" i="2"/>
  <c r="J38" i="2"/>
  <c r="K58" i="2" s="1"/>
  <c r="J27" i="2"/>
  <c r="J33" i="2"/>
  <c r="K53" i="2" s="1"/>
  <c r="J29" i="2"/>
  <c r="J35" i="2"/>
  <c r="J32" i="2"/>
  <c r="J34" i="2"/>
  <c r="J30" i="2"/>
  <c r="K50" i="2" s="1"/>
  <c r="C51" i="2"/>
  <c r="C53" i="2"/>
  <c r="J28" i="2"/>
  <c r="J31" i="2"/>
  <c r="M22" i="2"/>
  <c r="C46" i="2"/>
  <c r="J26" i="2"/>
  <c r="N31" i="2"/>
  <c r="Q51" i="2" s="1"/>
  <c r="N27" i="2"/>
  <c r="Q47" i="2" s="1"/>
  <c r="N36" i="2"/>
  <c r="Q56" i="2" s="1"/>
  <c r="N39" i="2"/>
  <c r="Q59" i="2" s="1"/>
  <c r="N32" i="2"/>
  <c r="Q52" i="2" s="1"/>
  <c r="N38" i="2"/>
  <c r="Q58" i="2" s="1"/>
  <c r="N30" i="2"/>
  <c r="Q50" i="2" s="1"/>
  <c r="N34" i="2"/>
  <c r="Q54" i="2" s="1"/>
  <c r="N33" i="2"/>
  <c r="Q53" i="2" s="1"/>
  <c r="N35" i="2"/>
  <c r="Q55" i="2" s="1"/>
  <c r="N29" i="2"/>
  <c r="Q49" i="2" s="1"/>
  <c r="N37" i="2"/>
  <c r="Q57" i="2" s="1"/>
  <c r="N28" i="2"/>
  <c r="Q48" i="2" s="1"/>
  <c r="K57" i="2" l="1"/>
  <c r="K59" i="2"/>
  <c r="K55" i="2"/>
  <c r="K46" i="2"/>
  <c r="K51" i="2"/>
  <c r="K48" i="2"/>
  <c r="K54" i="2"/>
  <c r="K56" i="2"/>
  <c r="K49" i="2"/>
  <c r="K47" i="2"/>
  <c r="K52" i="2"/>
  <c r="C6" i="2" l="1"/>
  <c r="C12" i="2"/>
  <c r="C8" i="2"/>
  <c r="C15" i="2"/>
  <c r="C5" i="2"/>
  <c r="C16" i="2"/>
  <c r="C7" i="2"/>
  <c r="C13" i="2"/>
  <c r="C10" i="2"/>
  <c r="C11" i="2"/>
  <c r="C14" i="2"/>
  <c r="C4" i="2"/>
  <c r="C9" i="2"/>
  <c r="C19" i="2"/>
  <c r="C3" i="2"/>
  <c r="C21" i="2" s="1"/>
  <c r="C18" i="1"/>
  <c r="C18" i="2" l="1"/>
  <c r="C34" i="2" s="1"/>
  <c r="C29" i="2"/>
  <c r="D29" i="2" s="1"/>
  <c r="E49" i="2" s="1"/>
  <c r="C26" i="2"/>
  <c r="C27" i="2"/>
  <c r="C39" i="2"/>
  <c r="C38" i="2"/>
  <c r="C20" i="2"/>
  <c r="C22" i="2" s="1"/>
  <c r="C32" i="2"/>
  <c r="C37" i="2"/>
  <c r="C28" i="2"/>
  <c r="C31" i="2"/>
  <c r="C30" i="2" l="1"/>
  <c r="C36" i="2"/>
  <c r="D49" i="2"/>
  <c r="C33" i="2"/>
  <c r="D33" i="2" s="1"/>
  <c r="E53" i="2" s="1"/>
  <c r="C35" i="2"/>
  <c r="D31" i="2"/>
  <c r="E51" i="2" s="1"/>
  <c r="D51" i="2"/>
  <c r="D38" i="2"/>
  <c r="E58" i="2" s="1"/>
  <c r="D58" i="2"/>
  <c r="D28" i="2"/>
  <c r="E48" i="2" s="1"/>
  <c r="D48" i="2"/>
  <c r="D39" i="2"/>
  <c r="E59" i="2" s="1"/>
  <c r="D59" i="2"/>
  <c r="D30" i="2"/>
  <c r="E50" i="2" s="1"/>
  <c r="D50" i="2"/>
  <c r="D36" i="2"/>
  <c r="E56" i="2" s="1"/>
  <c r="D56" i="2"/>
  <c r="D37" i="2"/>
  <c r="E57" i="2" s="1"/>
  <c r="D57" i="2"/>
  <c r="D27" i="2"/>
  <c r="E47" i="2" s="1"/>
  <c r="D47" i="2"/>
  <c r="D32" i="2"/>
  <c r="E52" i="2" s="1"/>
  <c r="D52" i="2"/>
  <c r="D26" i="2"/>
  <c r="D46" i="2"/>
  <c r="D35" i="2"/>
  <c r="E55" i="2" s="1"/>
  <c r="D55" i="2"/>
  <c r="D34" i="2"/>
  <c r="E54" i="2" s="1"/>
  <c r="D54" i="2"/>
  <c r="D53" i="2" l="1"/>
  <c r="E46" i="2"/>
  <c r="T29" i="2"/>
  <c r="T30" i="2" l="1"/>
  <c r="T31" i="2" s="1"/>
  <c r="B14" i="18" l="1"/>
  <c r="AK14" i="18" l="1"/>
  <c r="X14" i="1"/>
  <c r="AK19" i="18"/>
  <c r="BI19" i="18" s="1"/>
  <c r="X19" i="1"/>
  <c r="AV19" i="1" s="1"/>
  <c r="BJ14" i="18" l="1"/>
  <c r="AK18" i="18"/>
  <c r="AW14" i="1"/>
  <c r="X18" i="1"/>
  <c r="K14" i="1" l="1"/>
  <c r="K13" i="2" s="1"/>
  <c r="AW18" i="1"/>
  <c r="K18" i="1" s="1"/>
  <c r="B18" i="18"/>
  <c r="B18" i="1"/>
  <c r="K14" i="18"/>
  <c r="BJ18" i="18"/>
  <c r="K18" i="18" s="1"/>
  <c r="K21" i="2" l="1"/>
  <c r="K20" i="2"/>
  <c r="K22" i="2" s="1"/>
  <c r="W11" i="2"/>
  <c r="X11" i="2" s="1"/>
  <c r="K19" i="2"/>
  <c r="L36" i="2" s="1"/>
  <c r="K18" i="2"/>
  <c r="N56" i="2" l="1"/>
  <c r="R36" i="2"/>
  <c r="R56" i="2" s="1"/>
  <c r="S56" i="2" s="1"/>
  <c r="L27" i="2"/>
  <c r="L37" i="2"/>
  <c r="L39" i="2"/>
  <c r="L38" i="2"/>
  <c r="L35" i="2"/>
  <c r="L34" i="2"/>
  <c r="L28" i="2"/>
  <c r="L29" i="2"/>
  <c r="L32" i="2"/>
  <c r="L30" i="2"/>
  <c r="L26" i="2"/>
  <c r="L33" i="2"/>
  <c r="L31" i="2"/>
  <c r="N50" i="2" l="1"/>
  <c r="R30" i="2"/>
  <c r="R50" i="2" s="1"/>
  <c r="S50" i="2" s="1"/>
  <c r="N54" i="2"/>
  <c r="R34" i="2"/>
  <c r="R54" i="2" s="1"/>
  <c r="S54" i="2" s="1"/>
  <c r="N57" i="2"/>
  <c r="R37" i="2"/>
  <c r="R57" i="2" s="1"/>
  <c r="S57" i="2" s="1"/>
  <c r="N49" i="2"/>
  <c r="R29" i="2"/>
  <c r="R49" i="2" s="1"/>
  <c r="S49" i="2" s="1"/>
  <c r="N51" i="2"/>
  <c r="R31" i="2"/>
  <c r="R51" i="2" s="1"/>
  <c r="S51" i="2" s="1"/>
  <c r="N52" i="2"/>
  <c r="R32" i="2"/>
  <c r="R52" i="2" s="1"/>
  <c r="S52" i="2" s="1"/>
  <c r="N55" i="2"/>
  <c r="R35" i="2"/>
  <c r="R55" i="2" s="1"/>
  <c r="S55" i="2" s="1"/>
  <c r="N47" i="2"/>
  <c r="R27" i="2"/>
  <c r="R47" i="2" s="1"/>
  <c r="S47" i="2" s="1"/>
  <c r="N53" i="2"/>
  <c r="R33" i="2"/>
  <c r="R53" i="2" s="1"/>
  <c r="S53" i="2" s="1"/>
  <c r="N58" i="2"/>
  <c r="R38" i="2"/>
  <c r="R58" i="2" s="1"/>
  <c r="S58" i="2" s="1"/>
  <c r="N46" i="2"/>
  <c r="R26" i="2"/>
  <c r="N48" i="2"/>
  <c r="R28" i="2"/>
  <c r="R48" i="2" s="1"/>
  <c r="S48" i="2" s="1"/>
  <c r="N59" i="2"/>
  <c r="R39" i="2"/>
  <c r="R59" i="2" s="1"/>
  <c r="S59" i="2" s="1"/>
  <c r="T25" i="2" l="1"/>
  <c r="T26" i="2"/>
  <c r="T27" i="2" s="1"/>
  <c r="R46" i="2"/>
  <c r="S46" i="2" s="1"/>
  <c r="S61" i="2" l="1"/>
  <c r="S62" i="2"/>
</calcChain>
</file>

<file path=xl/sharedStrings.xml><?xml version="1.0" encoding="utf-8"?>
<sst xmlns="http://schemas.openxmlformats.org/spreadsheetml/2006/main" count="887" uniqueCount="417">
  <si>
    <t>РИСК СОЦИАЛЬНОГО СИРОТСТВА</t>
  </si>
  <si>
    <t>РЕЗУЛЬТАТЫ ПРОФИЛАКТИКИ И ЖИЗНЕУСТРОЙСТВА СОЦИАЛЬНЫХ СИРОТ</t>
  </si>
  <si>
    <t>РФ</t>
  </si>
  <si>
    <t>Среднее по регионам</t>
  </si>
  <si>
    <t>Источник</t>
  </si>
  <si>
    <t>Доля детей, получивших услуги РП</t>
  </si>
  <si>
    <t>P22</t>
  </si>
  <si>
    <t>P23</t>
  </si>
  <si>
    <t>P28</t>
  </si>
  <si>
    <t>P32</t>
  </si>
  <si>
    <t>P33</t>
  </si>
  <si>
    <t>P34</t>
  </si>
  <si>
    <t>P40</t>
  </si>
  <si>
    <t>P48</t>
  </si>
  <si>
    <t>P53</t>
  </si>
  <si>
    <t>P54</t>
  </si>
  <si>
    <t>P59</t>
  </si>
  <si>
    <t>P60</t>
  </si>
  <si>
    <t>P61</t>
  </si>
  <si>
    <t>P62</t>
  </si>
  <si>
    <t>P63</t>
  </si>
  <si>
    <t>Краснодарский край</t>
  </si>
  <si>
    <t>Приморский край</t>
  </si>
  <si>
    <t>Ставропольский край</t>
  </si>
  <si>
    <t>Воронежская область</t>
  </si>
  <si>
    <t>Калининградская область</t>
  </si>
  <si>
    <t>Московская область</t>
  </si>
  <si>
    <t>Нижегородская область</t>
  </si>
  <si>
    <t>Новосибирская область</t>
  </si>
  <si>
    <t>Пензенская область</t>
  </si>
  <si>
    <t>Пермский край</t>
  </si>
  <si>
    <t>Тульская область</t>
  </si>
  <si>
    <t>Тюменская область</t>
  </si>
  <si>
    <t>Белгородская область</t>
  </si>
  <si>
    <t>Рязанская область</t>
  </si>
  <si>
    <t>% возвратов в кровные семьи/социальные сироты - 0-17 лет</t>
  </si>
  <si>
    <t>-</t>
  </si>
  <si>
    <t>Риск становлениия ребенка социальным сиротой</t>
  </si>
  <si>
    <t>Расчет показателя</t>
  </si>
  <si>
    <t xml:space="preserve">Примечание </t>
  </si>
  <si>
    <t>Необходимы даные по детям 0-4 (РИК). Риск попадания в ДУ складывается (?) с риском социального сиротства</t>
  </si>
  <si>
    <t>КДН-1</t>
  </si>
  <si>
    <t>Количество детей с иностранным гражданством, состоящих на миграционном учете</t>
  </si>
  <si>
    <t>МВД, сводка</t>
  </si>
  <si>
    <t>Заболеваемость с впервые в жизни установленным диагнозом алкоголизма и алкогольного психоза/общая численность населения региона</t>
  </si>
  <si>
    <t>Форма 37 (вроде, проверить!)</t>
  </si>
  <si>
    <t>Ограничение показателя: количество людей на учете - это очень сомнительный показатель. Нужно поискать БОЛЕЕ РЕАЛИСТИЧНЫЙ (оценку?)</t>
  </si>
  <si>
    <t>% детского населения с IV-V группами здоровья</t>
  </si>
  <si>
    <t>Доля инвалидов от количества взрослого населения</t>
  </si>
  <si>
    <t>Росстат?</t>
  </si>
  <si>
    <t>% детей, рожденных вне брака + соотношение браков/разводов + % неполных семей из общего числа семей</t>
  </si>
  <si>
    <t>103-РИК</t>
  </si>
  <si>
    <t>% восстановлений родительских прав</t>
  </si>
  <si>
    <t xml:space="preserve">% повторных помещений в ДУ </t>
  </si>
  <si>
    <t>% социальных сирот, попавших в ДУ</t>
  </si>
  <si>
    <t>% усыновленных социальных сирот</t>
  </si>
  <si>
    <t>Наши данные</t>
  </si>
  <si>
    <t>% необоснованных помещений в ДУ</t>
  </si>
  <si>
    <t>РЕСУРСЫ ПРОФИЛАЛКТИКИИ И ЖИЗНЕУСТРОЙСТВА</t>
  </si>
  <si>
    <t>Кол-во потенциальных приемных родителей в ФБД</t>
  </si>
  <si>
    <t>ВЫЯСНИТЬ</t>
  </si>
  <si>
    <t>КТО ДОЛЖЕН ЗАНИМАТЬСЯ ПРОФИЛАКТИКОЙ СОЦ СИРОТСТВА? - ИХ И ПОСЧИТАТЬ КОЛИЧЕСТВЕННО. СПРОСИТЬ У КРИСТИНЫ И НАСТИ</t>
  </si>
  <si>
    <t>Бюджет на социалку (ПРОКСИ)</t>
  </si>
  <si>
    <t>Выделенные НКО средства на профилактику СС/общая численность населения (прокси)</t>
  </si>
  <si>
    <t>Если быть точным</t>
  </si>
  <si>
    <t>Кол-во специалистов РП / на 1000 детского населения</t>
  </si>
  <si>
    <t>пересчитать!</t>
  </si>
  <si>
    <t>ИНФРАСТРУКТУРНАЯ РАЗВИТОСТЬ РЕГИОНА</t>
  </si>
  <si>
    <t xml:space="preserve">  </t>
  </si>
  <si>
    <t>103-РИК (раздел 4 P21+P29)</t>
  </si>
  <si>
    <t>Риск "скрытого" сиротства</t>
  </si>
  <si>
    <t>Количество выявленных сирот до 7-ми лет от общего кол-ва детей до 7-ти лет, на 1000</t>
  </si>
  <si>
    <t>Доля детей в ДУ по заявлению</t>
  </si>
  <si>
    <t>РИК-103 + Росстат</t>
  </si>
  <si>
    <t>Анонимизированные личные дела</t>
  </si>
  <si>
    <t>Необходимо добавить долю семей в ТЖС (отдельный запрос)</t>
  </si>
  <si>
    <t>Показатель сотрудников ООиП не включен в инструмент поскольку по регионам значительно различаются функции сотрудников опеки - одним могут работать либо по разным направлениям либо по одному (напр. неблагополучие, подопечные/приемные семьи, сделки/суды, РБД/усыновление, отчеты) + цифры недостоверные (пишут штатное расписание, а не реальное количество)</t>
  </si>
  <si>
    <t>Лишены+ограничены</t>
  </si>
  <si>
    <t>Доля несовершеннолетних на учете в СОП  от количества детей 0-17, на 1000</t>
  </si>
  <si>
    <t>Обоснование</t>
  </si>
  <si>
    <t xml:space="preserve">Количество СО НКО и других орагнизацийв регионе/ численность населения региона </t>
  </si>
  <si>
    <t>Почти каждый пятый прибывший из ЛНР, ДНР и Украины является ребенком. Чаще всего,  семьи с детьми, прибыших с территорий из зоны СВО, попадают в критическое положение с точки зрения материальной обеспеченности, отсутствия постоянного жилья, крушения прежнего образа жизни и повседневности, что влечет за собой риск увеличения социального сиротства (данные МВД)</t>
  </si>
  <si>
    <t>Здоровье родителей влияет на способность осуществления ими полноценного воспитания детей и исполения родительских обязанностей. Проблемы со здоровьем у одного или обоих родителей нередко приводят их к решению поместить ребенка в детское учреждение. Ограничение: не все инвалиды являются родителями</t>
  </si>
  <si>
    <t xml:space="preserve">Форма 30 Минздрав, ЕМИСС </t>
  </si>
  <si>
    <t>Данные за 2021 г.</t>
  </si>
  <si>
    <t>Наличие у ребенка тяжелых заболеваний или инвалидности повышает риск отказа от него в раннем возрасте и помещения в учреждение. Помещение ребенка в учреждение с целью лечения ведет к ослаблению связей с семьей и фактическому сиротству. Ограничения: большинство детей с тяжелыми заболеваниями оказываются в учреждениях в возрасте до 7 лет</t>
  </si>
  <si>
    <t>Браки</t>
  </si>
  <si>
    <t>Разводы</t>
  </si>
  <si>
    <t>Матери-одиночки</t>
  </si>
  <si>
    <t>Отцы-одиночки</t>
  </si>
  <si>
    <t>% неполных семей</t>
  </si>
  <si>
    <t>Российская Федерация</t>
  </si>
  <si>
    <t>ВРП на душу населения</t>
  </si>
  <si>
    <t>Уровень бедности доля населения с денежными доходами ниже региональной величины прожиточного минимума в общей численности населения субъекта Российской Федерации на основе данных о распределении населения по величине среднедушевых денежных доходов и является результатом их соизмерения с величиной прожиточного минимума</t>
  </si>
  <si>
    <t>Росстат</t>
  </si>
  <si>
    <t xml:space="preserve"> Росстат </t>
  </si>
  <si>
    <t>Не коррелируюи</t>
  </si>
  <si>
    <t>max</t>
  </si>
  <si>
    <t>min</t>
  </si>
  <si>
    <t>Число домохозяйств с 3 и более детьми</t>
  </si>
  <si>
    <t>Доля возвратов в кровные семьи от количества выявленных социальных сирот (0-17 лет)</t>
  </si>
  <si>
    <t>Доля родителей (единственных родителей),восстановленных в своих правах или в отношении которых отменены ограничения, от общей численности родителей, лишенных или ограниченных в родительских правах (0-17 лет)</t>
  </si>
  <si>
    <t>Доля повторных помещений в ДУ от всех детей в ДУ (0-4 года)</t>
  </si>
  <si>
    <t>Всего детей, получивших услуги ранней помощи/Число детей, отнесенных к целевой группе в истекшем году (0-3 года)</t>
  </si>
  <si>
    <t>Количество социальных сирот, помещенных в ДУ, в возрасте 0-4 / Количество выявленных социальных сирот 0-7</t>
  </si>
  <si>
    <t>Доля усыновленных от числа выявленных (0-17 лет)</t>
  </si>
  <si>
    <t>% помещений в ДУ при отсутствии данных в графе "Краткое описание жизненной ситуации" + исключительно по материальным основаниям от всех детей в ДУ (0-4 года)</t>
  </si>
  <si>
    <t>РП-1</t>
  </si>
  <si>
    <t>запрос личных дел + 103-РИК</t>
  </si>
  <si>
    <t>запрос личных дел</t>
  </si>
  <si>
    <t>P24 (Численность выявленных сирот в возрасте 0-7 лет)</t>
  </si>
  <si>
    <t>P46 (усыновленные)</t>
  </si>
  <si>
    <t xml:space="preserve">Федеральное Казначейство, по подразделу 1004 "Охрана семьи и детства" </t>
  </si>
  <si>
    <t>социальная поддержка детей-сирот и детей, оставшихся без попечения родителей; поддержка в связи с рождением и воспитанием детей; социальные выплаты молодым семьям на приобретение жилого помещения или создание объекта индивидуального жилищного строительства и т.д.</t>
  </si>
  <si>
    <t>Обратный</t>
  </si>
  <si>
    <t>Прямой</t>
  </si>
  <si>
    <t>Число семейных ячеек, имеющих 3 и более детей моложе 18 лет/Число семейных ячеек, имеющих детей моложе 18 лет</t>
  </si>
  <si>
    <t>Всероссийская перепись 2020 г.</t>
  </si>
  <si>
    <t>возвращено в кровные семьи (РИК, P48)</t>
  </si>
  <si>
    <t>социальных сирот (P22-P23)</t>
  </si>
  <si>
    <t>повторные помещения (анализ личных дел)</t>
  </si>
  <si>
    <t>количество нко и др организаций (РИК, раздел 5)</t>
  </si>
  <si>
    <t>Численность детей 0-4 в ду (анализ личных дел)</t>
  </si>
  <si>
    <t>Исключительно материальные трудности (анализ личных дел)</t>
  </si>
  <si>
    <t>Родившиеся, всего</t>
  </si>
  <si>
    <t>r=</t>
  </si>
  <si>
    <t>Проблемы с алкоголем</t>
  </si>
  <si>
    <t>Актуальность:</t>
  </si>
  <si>
    <t>Численность населения, всего (2022)</t>
  </si>
  <si>
    <t>Демографические бюллетени: численность населения по полу и возрасту на 1 января 2023 г.</t>
  </si>
  <si>
    <t>Численность населения, 0-17 (2021)</t>
  </si>
  <si>
    <t>Демографические бюллетени: численность населения по полу и возрасту на 1 января 2022 г.</t>
  </si>
  <si>
    <t>----</t>
  </si>
  <si>
    <t>Количество детей в СОП (2022)</t>
  </si>
  <si>
    <t>ФФСН КДН-1</t>
  </si>
  <si>
    <t>Численность населения, 0-7  (2021)</t>
  </si>
  <si>
    <t>Численность населения, 0-4  (2021)</t>
  </si>
  <si>
    <t>% детей по заявлению (2023)</t>
  </si>
  <si>
    <t>Исследование: "Дети в детских учреждениях пилотных регионов Проекта на 01.03.2023", Программный отдел</t>
  </si>
  <si>
    <r>
      <t xml:space="preserve">Показатель </t>
    </r>
    <r>
      <rPr>
        <i/>
        <sz val="11"/>
        <color theme="1"/>
        <rFont val="Calibri"/>
        <family val="2"/>
        <charset val="204"/>
        <scheme val="minor"/>
      </rPr>
      <t>"% детей, находящихся в ДУ по заявлению родителей (законных представителей)</t>
    </r>
  </si>
  <si>
    <t>Прибыло на долю детского населения, на 10000, 2022</t>
  </si>
  <si>
    <t>ИЗ ДНР, ЛНР, Украины прибыло детей 0-17, 2022</t>
  </si>
  <si>
    <t>Количество несовершеннолетних иностранных граждан и лиц без гражданства, прибывших в Российскую Федерацию с территории ДНР, ЛНР и Украины с 15.02.2022 по 09.12.2022</t>
  </si>
  <si>
    <t>Доля детей в СОП на долю населения, на 10000 (2022)</t>
  </si>
  <si>
    <t>Численность детей, прибывших с территории ДНР, ЛНР и Украины</t>
  </si>
  <si>
    <t>Из запроса по базам данных МВД России, 2023 г. (НЕОФИЦИАЛЬНЫЙ ИСТОЧНИК)</t>
  </si>
  <si>
    <t>Синдром зависимости от алкоголя (алкоголизм), 2022</t>
  </si>
  <si>
    <t>Синдром зависимости на долю населения</t>
  </si>
  <si>
    <t>ФФСН 37, Минздрав, строка 2100, "Состоит под наблюдением на конец
отчетного года, всего"</t>
  </si>
  <si>
    <t>ВРП на душу населения, 2021</t>
  </si>
  <si>
    <t xml:space="preserve">Росстат. Регионы России. Социально-экономические показатели 2022 </t>
  </si>
  <si>
    <t>9.2 Валовый региональный продукт на душу населения</t>
  </si>
  <si>
    <t>Численность населения с денежными доходами ниже границы бедности (величины прожиточного минимума)</t>
  </si>
  <si>
    <t>Росстат. Неравенство и бедность.</t>
  </si>
  <si>
    <t>Доля населения ниже прожиточного минимума, %</t>
  </si>
  <si>
    <t>% населения ниже границы бедности</t>
  </si>
  <si>
    <t>Росстат. Регионы России. Социально-экономические показатели</t>
  </si>
  <si>
    <t>Доля инвалидов, совершеннолетние</t>
  </si>
  <si>
    <t>Численность инвалидов, совершеннолетние, 2022</t>
  </si>
  <si>
    <t>Росстат.</t>
  </si>
  <si>
    <t>Росстат. Положение инвалидов</t>
  </si>
  <si>
    <t>Численность инвалидов по группе инвалидности в разрезе субъектов РФ</t>
  </si>
  <si>
    <t>1.9. Распределение домашних хозяйств, имеющих детей в возрасте до 16 (18) лет, по степени удовлетворенности своим финансовым положением *)</t>
  </si>
  <si>
    <t>Не хватает денег на еду + хватает на еду, но не остальное, 2021</t>
  </si>
  <si>
    <t>Среднее (сумма)</t>
  </si>
  <si>
    <t>IV</t>
  </si>
  <si>
    <t>V</t>
  </si>
  <si>
    <t>Профилактические осмотры детей и распределение по группам здоровья детей в возрасте от 0 до 17 лет</t>
  </si>
  <si>
    <t>IV+V</t>
  </si>
  <si>
    <t>Минздрав, ФФСН №30</t>
  </si>
  <si>
    <t>Доля детей-инвлидов</t>
  </si>
  <si>
    <t>Всего осмотров</t>
  </si>
  <si>
    <t>IV+V от всего</t>
  </si>
  <si>
    <t>Профилактические осмотры детей и распределение по группам здоровья детей в возрасте от 0 до 17 лет (2021)</t>
  </si>
  <si>
    <t>Детей-инвалидов, 2022</t>
  </si>
  <si>
    <t>% родившихся вне брака</t>
  </si>
  <si>
    <t>Соотношение браки/разводы</t>
  </si>
  <si>
    <t>Данные из Единого государственного реестра записей актов гражданского состояния (ЕГР ЗАГС</t>
  </si>
  <si>
    <t>Родившиеся живыми у женщин, не состоявших в зарегистрированном браке, по субъектам Российской Федерации</t>
  </si>
  <si>
    <t>Родившиеся вне брака, 2021</t>
  </si>
  <si>
    <t>Родившиеся вне брака, %</t>
  </si>
  <si>
    <t>Соотношение браков/разводов</t>
  </si>
  <si>
    <t>Число домохозяйств с 3 и более детьми (ВПР2020)</t>
  </si>
  <si>
    <t>Число домохозяйств с детьми (ВПР2020)</t>
  </si>
  <si>
    <t>% многодетных семей</t>
  </si>
  <si>
    <t>Доля детей в СОП на долю населения</t>
  </si>
  <si>
    <t>Выявлено сс 0-17 (2022)</t>
  </si>
  <si>
    <t>ВРП</t>
  </si>
  <si>
    <t>АЛКО</t>
  </si>
  <si>
    <t>БЕДНОСТЬ</t>
  </si>
  <si>
    <t>ЗДОР_ВЗР</t>
  </si>
  <si>
    <t>ЗДОР_ДЕТ</t>
  </si>
  <si>
    <t>БРАКИ-РАЗВ</t>
  </si>
  <si>
    <t>ВНЕ БРАКА</t>
  </si>
  <si>
    <t>МНОГОДЕТ</t>
  </si>
  <si>
    <t>МИГРАЦИЯ</t>
  </si>
  <si>
    <t>ЗДОРВ_ВЗР</t>
  </si>
  <si>
    <t>СУБЪЕКТ_БЕДН</t>
  </si>
  <si>
    <t>Злоупотребление алкоголем</t>
  </si>
  <si>
    <t>Тяжелое материальное положение</t>
  </si>
  <si>
    <t>Заболевание/инвалидность родителя</t>
  </si>
  <si>
    <t>Неполная семья</t>
  </si>
  <si>
    <t>Многодетная семья</t>
  </si>
  <si>
    <t>Миграция из зоны военного конфликта</t>
  </si>
  <si>
    <t>ФФСН 103-РИК</t>
  </si>
  <si>
    <t>Данные проектного исследования</t>
  </si>
  <si>
    <t>ФФСН №47 (Минздрав)</t>
  </si>
  <si>
    <t>Показатель</t>
  </si>
  <si>
    <t>Фактор</t>
  </si>
  <si>
    <t>Риск (вероятность)</t>
  </si>
  <si>
    <t>Показатель(и)</t>
  </si>
  <si>
    <t>Валовый региональный продукт на душу населения</t>
  </si>
  <si>
    <t>Численность населения с денежными доходами ниже границы бедности</t>
  </si>
  <si>
    <t>Распределение домашних хозяйств, имеющих детей в возрасте до 16 (18) лет, по степени удовлетворенности своим финансовым положением (опрос, доля ответов с низкой оценкой)</t>
  </si>
  <si>
    <t>Заболевание/инвалидность ребенка</t>
  </si>
  <si>
    <t>Количество детей с IV-V группами здоровья по результатам профилактических осмотров</t>
  </si>
  <si>
    <t>ФФСН №30 (Минздрав)</t>
  </si>
  <si>
    <t>Соотношение браков и разводов</t>
  </si>
  <si>
    <t>Численность детей, родившихся вне брака</t>
  </si>
  <si>
    <t>Росстат (данные ЕГР ЗАГС)</t>
  </si>
  <si>
    <t>Количество выявленных сирот до 7-ми лет от общего кол-ва детей до 7-ти лет</t>
  </si>
  <si>
    <t>Количество детей, помещенных в ДУ временно по заявлению родителей</t>
  </si>
  <si>
    <t>ВПН2020</t>
  </si>
  <si>
    <t>МВД</t>
  </si>
  <si>
    <t>Количество несовершеннолетних иностранных граждан и лиц без гражданства, прибывших в Российскую Федерацию с территории ДНР, ЛНР и Украины</t>
  </si>
  <si>
    <t>Уклонение родителей от выполнения своих обязанностей</t>
  </si>
  <si>
    <t>Ресурсы</t>
  </si>
  <si>
    <t>Результаты</t>
  </si>
  <si>
    <t>Инфраструктурная развитость региона</t>
  </si>
  <si>
    <t>Миграцияс территории ДНР, ЛНР и Украины</t>
  </si>
  <si>
    <t>Распределение домашних хозяйств, имеющих детей в возрасте до 16 (18) лет, по степени удовлетворенности своим финансовым положением</t>
  </si>
  <si>
    <t>:</t>
  </si>
  <si>
    <t>Факторы риска</t>
  </si>
  <si>
    <t>SD</t>
  </si>
  <si>
    <t>Заболеваемость/инвалидность ребенка</t>
  </si>
  <si>
    <t>Заболеваемость/инвалидность родителя</t>
  </si>
  <si>
    <t>РЕГИОН</t>
  </si>
  <si>
    <t>Sum of Факторы риска</t>
  </si>
  <si>
    <t>Социальное сиротство</t>
  </si>
  <si>
    <t>Белгородская</t>
  </si>
  <si>
    <t>Воронежская</t>
  </si>
  <si>
    <t>Калининградская</t>
  </si>
  <si>
    <t>Московская</t>
  </si>
  <si>
    <t>Нижегородская</t>
  </si>
  <si>
    <t>Новосибирская</t>
  </si>
  <si>
    <t>Пензенская</t>
  </si>
  <si>
    <t>Рязанская</t>
  </si>
  <si>
    <t>Тульская</t>
  </si>
  <si>
    <t>Тюменская</t>
  </si>
  <si>
    <t>Краснодарский</t>
  </si>
  <si>
    <t>Пермский</t>
  </si>
  <si>
    <t>Приморский</t>
  </si>
  <si>
    <t>Ставропольский</t>
  </si>
  <si>
    <t>"Скрытое" сиротство</t>
  </si>
  <si>
    <t>Среднее</t>
  </si>
  <si>
    <t>ФР</t>
  </si>
  <si>
    <t>вес</t>
  </si>
  <si>
    <t>маштаб</t>
  </si>
  <si>
    <t>фактор риска</t>
  </si>
  <si>
    <t>злоупотребление алкоголем</t>
  </si>
  <si>
    <t>тяжелое материальное положение</t>
  </si>
  <si>
    <t>заболевание/инвалидность родителя</t>
  </si>
  <si>
    <t>заболевание/инвалидность ребенка</t>
  </si>
  <si>
    <t>миграция (БД)</t>
  </si>
  <si>
    <t>неполная семья</t>
  </si>
  <si>
    <t>многодетная семья</t>
  </si>
  <si>
    <t>маштаб социального сиротства</t>
  </si>
  <si>
    <t>риск социального сиротства</t>
  </si>
  <si>
    <t>компонент</t>
  </si>
  <si>
    <t>по 14-ти пилотным регионам Проекта 0-4</t>
  </si>
  <si>
    <t>Регион_полное название</t>
  </si>
  <si>
    <t>Проект "Профилактика социального сиротства среди детей до 4-х лет"</t>
  </si>
  <si>
    <t>Программный отдел</t>
  </si>
  <si>
    <t>относительно остальных пилотных регионов Проекта</t>
  </si>
  <si>
    <t>выберите регион</t>
  </si>
  <si>
    <t>Масштаб</t>
  </si>
  <si>
    <t>Риск</t>
  </si>
  <si>
    <t>Чем большее количество регионов отражено в индикаторе, тем точнее результаты</t>
  </si>
  <si>
    <t>выберите регионы</t>
  </si>
  <si>
    <t>масштаб социального сиротства</t>
  </si>
  <si>
    <t>Синдром зависимости от алкоголя (алкоголизм)</t>
  </si>
  <si>
    <t>ТМП</t>
  </si>
  <si>
    <t>СУБ_БЕДН</t>
  </si>
  <si>
    <t>ЗД_ВЗР</t>
  </si>
  <si>
    <t>ЗД_ДЕТ</t>
  </si>
  <si>
    <t>CV</t>
  </si>
  <si>
    <t>AVG</t>
  </si>
  <si>
    <t xml:space="preserve"> </t>
  </si>
  <si>
    <t>Регион</t>
  </si>
  <si>
    <t>направление</t>
  </si>
  <si>
    <t>"Банк" (внутри фактора)</t>
  </si>
  <si>
    <t>"Банк" (по факторам)</t>
  </si>
  <si>
    <t>Вес</t>
  </si>
  <si>
    <t>СОЦ_СИР</t>
  </si>
  <si>
    <t>СКР_СИР</t>
  </si>
  <si>
    <t>МСШТБ</t>
  </si>
  <si>
    <t>MAX</t>
  </si>
  <si>
    <t>АГРЕГИРОВАНИЕ</t>
  </si>
  <si>
    <t>ДАШБОРД</t>
  </si>
  <si>
    <t>Ямало-Ненецкий автономный округ</t>
  </si>
  <si>
    <t>Чукотский автономный округ</t>
  </si>
  <si>
    <t>Магаданская область</t>
  </si>
  <si>
    <t>Ненецкий автономный округ</t>
  </si>
  <si>
    <t>Москва</t>
  </si>
  <si>
    <t>Сахалинская область</t>
  </si>
  <si>
    <t>Ханты-Мансийский автономный округ – Югра</t>
  </si>
  <si>
    <t>Санкт-Петербург</t>
  </si>
  <si>
    <t>Мурманская область</t>
  </si>
  <si>
    <t>Камчатский край</t>
  </si>
  <si>
    <t>Свердловская область</t>
  </si>
  <si>
    <t>Республика Татарстан</t>
  </si>
  <si>
    <t>Хабаровский край</t>
  </si>
  <si>
    <t>Ленинградская область</t>
  </si>
  <si>
    <t>Липецкая область</t>
  </si>
  <si>
    <t>Республика Саха (Якутия)</t>
  </si>
  <si>
    <t>Республика Коми</t>
  </si>
  <si>
    <t>Калужская область</t>
  </si>
  <si>
    <t>Ярославская область</t>
  </si>
  <si>
    <t>Архангельская область</t>
  </si>
  <si>
    <t>Челябинская область</t>
  </si>
  <si>
    <t>Самарская область</t>
  </si>
  <si>
    <t>Амурская область</t>
  </si>
  <si>
    <t>Вологодская область</t>
  </si>
  <si>
    <t>Курская область</t>
  </si>
  <si>
    <t>Кемеровская область</t>
  </si>
  <si>
    <t>Красноярский край</t>
  </si>
  <si>
    <t>Тверская область</t>
  </si>
  <si>
    <t>Владимирская область</t>
  </si>
  <si>
    <t>Республика Карелия</t>
  </si>
  <si>
    <t>Ростовская область</t>
  </si>
  <si>
    <t>Республика Башкортостан</t>
  </si>
  <si>
    <t>Новгородская область</t>
  </si>
  <si>
    <t>Томская область</t>
  </si>
  <si>
    <t>Оренбургская область</t>
  </si>
  <si>
    <t>Костромская область</t>
  </si>
  <si>
    <t>Волгоградская область</t>
  </si>
  <si>
    <t>Тамбовская область</t>
  </si>
  <si>
    <t>Иркутская область</t>
  </si>
  <si>
    <t>Удмуртская Республика</t>
  </si>
  <si>
    <t>Ивановская область</t>
  </si>
  <si>
    <t>Смоленская область</t>
  </si>
  <si>
    <t>Орловская область</t>
  </si>
  <si>
    <t>Брянская область</t>
  </si>
  <si>
    <t>Омская область</t>
  </si>
  <si>
    <t>Кировская область</t>
  </si>
  <si>
    <t>Саратовская область</t>
  </si>
  <si>
    <t>Ульяновская область</t>
  </si>
  <si>
    <t>Севастополь</t>
  </si>
  <si>
    <t>Республика Адыгея</t>
  </si>
  <si>
    <t>Псковская область</t>
  </si>
  <si>
    <t>Астраханская область</t>
  </si>
  <si>
    <t>Республика Хакасия</t>
  </si>
  <si>
    <t>Чувашская Республика</t>
  </si>
  <si>
    <t>Республика Мордовия</t>
  </si>
  <si>
    <t>Республика Марий Эл</t>
  </si>
  <si>
    <t>Забайкальский край</t>
  </si>
  <si>
    <t>Республика Северная Осетия – Алания</t>
  </si>
  <si>
    <t>Алтайский край</t>
  </si>
  <si>
    <t>Курганская область</t>
  </si>
  <si>
    <t>Еврейская автономная область</t>
  </si>
  <si>
    <t>Республика Бурятия</t>
  </si>
  <si>
    <t>Республика Крым</t>
  </si>
  <si>
    <t>Республика Дагестан</t>
  </si>
  <si>
    <t>Кабардино-Балкарская Республика</t>
  </si>
  <si>
    <t>Чеченская Республика</t>
  </si>
  <si>
    <t>Республика Алтай</t>
  </si>
  <si>
    <t>Республика Калмыкия</t>
  </si>
  <si>
    <t>Карачаево-Черкесская Республика</t>
  </si>
  <si>
    <t>Республика Тыва</t>
  </si>
  <si>
    <t>Республика Ингушетия</t>
  </si>
  <si>
    <t>Avg</t>
  </si>
  <si>
    <t>14 рег</t>
  </si>
  <si>
    <t>85 рег</t>
  </si>
  <si>
    <t>НОРМИРОВАНИЕ И ВЗВЕШИВАНИЕ</t>
  </si>
  <si>
    <t>Столбец1</t>
  </si>
  <si>
    <t>Values</t>
  </si>
  <si>
    <t>Столбец2</t>
  </si>
  <si>
    <t>НЕПОЛН</t>
  </si>
  <si>
    <t>Сумма по полю СОЦ_СИР</t>
  </si>
  <si>
    <t>Сумма по полю СКР_СИР</t>
  </si>
  <si>
    <t>Сумма по полю МСШТБ</t>
  </si>
  <si>
    <t>Сумма по полю АЛКО</t>
  </si>
  <si>
    <t>Сумма по полю ТМП</t>
  </si>
  <si>
    <t>Сумма по полю ЗДОРВ_ВЗР</t>
  </si>
  <si>
    <t>Сумма по полю ЗДОР_ДЕТ</t>
  </si>
  <si>
    <t>Сумма по полю ВНЕ БРАКА</t>
  </si>
  <si>
    <t>Сумма по полю МНОГОДЕТ</t>
  </si>
  <si>
    <t>Сумма по полю МИГРАЦИЯ</t>
  </si>
  <si>
    <t>MIN</t>
  </si>
  <si>
    <t>РИСК/МСШБ</t>
  </si>
  <si>
    <t xml:space="preserve">Значение от 0 до 100 - это значение показателя выбранного региона </t>
  </si>
  <si>
    <t>Sum of СОЦ_СИР</t>
  </si>
  <si>
    <t>Sum of СКР_СИР</t>
  </si>
  <si>
    <t>Sum of МСШТБ</t>
  </si>
  <si>
    <t>Sum of АЛКО</t>
  </si>
  <si>
    <t>Sum of ВРП</t>
  </si>
  <si>
    <t>Sum of БЕДНОСТЬ</t>
  </si>
  <si>
    <t>Sum of СУБЪЕКТ_БЕДН</t>
  </si>
  <si>
    <t>Sum of ТМП</t>
  </si>
  <si>
    <t>Sum of ЗДОРВ_ВЗР</t>
  </si>
  <si>
    <t>Sum of ЗДОР_ДЕТ</t>
  </si>
  <si>
    <t>Sum of ВНЕ БРАКА</t>
  </si>
  <si>
    <t>Sum of МНОГОДЕТ</t>
  </si>
  <si>
    <t>Sum of МИГРАЦИЯ</t>
  </si>
  <si>
    <t>Значение от 0 до 100 - это значение показателя по выбранному региону</t>
  </si>
  <si>
    <t>в сравнении с остальными пилотными регионами Проекта</t>
  </si>
  <si>
    <t>avg</t>
  </si>
  <si>
    <t>sd</t>
  </si>
  <si>
    <t>МАСШТАБ:</t>
  </si>
  <si>
    <t>Индекс социальной инфраструктуры</t>
  </si>
  <si>
    <t>Afr</t>
  </si>
  <si>
    <t>КОРРЕЛ</t>
  </si>
  <si>
    <t>r=0,61</t>
  </si>
  <si>
    <t>Названия строк</t>
  </si>
  <si>
    <t>Общий итог</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</si>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</sst>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
    <numFmt numFmtId="166" formatCode="0.000"/>
    <numFmt numFmtId="167" formatCode="#,##0;\-#,##0;&quot;-&quot;"/>
    <numFmt numFmtId="168" formatCode="0.0%"/>
  </numFmts>
  <fonts count="8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scheme val="minor"/>
    </font>
    <font>
      <b/>
      <sz val="11"/>
      <color theme="1"/>
      <name val="Calibri"/>
      <family val="2"/>
      <charset val="204"/>
      <scheme val="minor"/>
    </font>
    <font>
      <sz val="10"/>
      <name val="Times New Roman"/>
      <family val="1"/>
      <charset val="204"/>
    </font>
    <font>
      <sz val="11"/>
      <name val="Calibri"/>
      <family val="2"/>
      <charset val="204"/>
      <scheme val="minor"/>
    </font>
    <font>
      <sz val="10"/>
      <color rgb="FF212529"/>
      <name val="Segoe UI"/>
      <family val="2"/>
      <charset val="204"/>
    </font>
    <font>
      <sz val="11"/>
      <color theme="1"/>
      <name val="Calibri"/>
      <family val="2"/>
      <charset val="204"/>
    </font>
    <font>
      <sz val="11"/>
      <name val="Calibri"/>
      <family val="2"/>
      <charset val="204"/>
    </font>
    <font>
      <sz val="10"/>
      <color indexed="18"/>
      <name val="Arial"/>
      <family val="2"/>
      <charset val="204"/>
    </font>
    <font>
      <sz val="10"/>
      <name val="Arial"/>
      <family val="2"/>
      <charset val="204"/>
    </font>
    <font>
      <sz val="10"/>
      <color theme="1"/>
      <name val="Calibri"/>
      <family val="2"/>
      <scheme val="minor"/>
    </font>
    <font>
      <i/>
      <sz val="11"/>
      <color theme="1"/>
      <name val="Calibri"/>
      <family val="2"/>
      <charset val="204"/>
      <scheme val="minor"/>
    </font>
    <font>
      <sz val="8"/>
      <color rgb="FF000000"/>
      <name val="Arial"/>
      <family val="2"/>
      <charset val="204"/>
    </font>
    <font>
      <b/>
      <sz val="14"/>
      <color theme="1"/>
      <name val="Calibri"/>
      <family val="2"/>
      <charset val="204"/>
      <scheme val="minor"/>
    </font>
    <font>
      <sz val="12"/>
      <color rgb="FFFF0000"/>
      <name val="Calibri"/>
      <family val="2"/>
      <scheme val="minor"/>
    </font>
    <font>
      <sz val="12"/>
      <name val="Times New Roman"/>
      <family val="1"/>
      <charset val="204"/>
    </font>
    <font>
      <sz val="12"/>
      <color theme="1"/>
      <name val="Calibri"/>
      <family val="2"/>
      <scheme val="minor"/>
    </font>
    <font>
      <b/>
      <sz val="10"/>
      <name val="Times New Roman"/>
      <family val="1"/>
      <charset val="204"/>
    </font>
    <font>
      <sz val="10"/>
      <name val="Arial Cyr"/>
      <charset val="204"/>
    </font>
    <font>
      <sz val="12"/>
      <name val="Calibri"/>
      <family val="2"/>
      <charset val="204"/>
      <scheme val="minor"/>
    </font>
    <font>
      <sz val="12"/>
      <color theme="1"/>
      <name val="Calibri"/>
      <family val="2"/>
      <charset val="204"/>
      <scheme val="minor"/>
    </font>
    <font>
      <sz val="12"/>
      <color rgb="FF202122"/>
      <name val="Calibri"/>
      <family val="2"/>
      <charset val="204"/>
      <scheme val="minor"/>
    </font>
    <font>
      <b/>
      <sz val="12"/>
      <color theme="1"/>
      <name val="Calibri"/>
      <family val="2"/>
      <charset val="204"/>
      <scheme val="minor"/>
    </font>
    <font>
      <b/>
      <sz val="12"/>
      <color theme="1"/>
      <name val="Calibri"/>
      <family val="2"/>
      <scheme val="minor"/>
    </font>
    <font>
      <sz val="11"/>
      <color rgb="FFFF0000"/>
      <name val="Calibri"/>
      <family val="2"/>
      <scheme val="minor"/>
    </font>
    <font>
      <sz val="8"/>
      <color theme="1"/>
      <name val="Calibri"/>
      <family val="2"/>
      <scheme val="minor"/>
    </font>
    <font>
      <sz val="11"/>
      <color theme="1"/>
      <name val="Bahnschrift"/>
      <family val="2"/>
      <charset val="204"/>
    </font>
    <font>
      <sz val="8"/>
      <color theme="1"/>
      <name val="Bahnschrift"/>
      <family val="2"/>
      <charset val="204"/>
    </font>
    <font>
      <b/>
      <sz val="14"/>
      <color theme="1"/>
      <name val="Bahnschrift"/>
      <family val="2"/>
      <charset val="204"/>
    </font>
    <font>
      <sz val="10"/>
      <color theme="1"/>
      <name val="Bahnschrift"/>
      <family val="2"/>
      <charset val="204"/>
    </font>
    <font>
      <sz val="14"/>
      <color theme="1"/>
      <name val="Bahnschrift"/>
      <family val="2"/>
      <charset val="204"/>
    </font>
    <font>
      <i/>
      <sz val="8"/>
      <color theme="1"/>
      <name val="Bahnschrift"/>
      <family val="2"/>
      <charset val="204"/>
    </font>
    <font>
      <sz val="10"/>
      <color theme="9" tint="-0.499984740745262"/>
      <name val="Bahnschrift"/>
      <family val="2"/>
      <charset val="204"/>
    </font>
    <font>
      <i/>
      <sz val="11"/>
      <color theme="8" tint="-0.249977111117893"/>
      <name val="Bahnschrift"/>
      <family val="2"/>
      <charset val="204"/>
    </font>
    <font>
      <sz val="11"/>
      <color theme="8" tint="-0.249977111117893"/>
      <name val="Calibri"/>
      <family val="2"/>
      <scheme val="minor"/>
    </font>
    <font>
      <i/>
      <sz val="9"/>
      <color theme="8" tint="-0.249977111117893"/>
      <name val="Bahnschrift"/>
      <family val="2"/>
      <charset val="204"/>
    </font>
    <font>
      <b/>
      <i/>
      <sz val="11"/>
      <color theme="8" tint="-0.499984740745262"/>
      <name val="Bahnschrift"/>
      <family val="2"/>
      <charset val="204"/>
    </font>
    <font>
      <i/>
      <sz val="11"/>
      <color theme="4" tint="-0.499984740745262"/>
      <name val="Bahnschrift"/>
      <family val="2"/>
      <charset val="204"/>
    </font>
    <font>
      <i/>
      <sz val="9"/>
      <color theme="4" tint="-0.499984740745262"/>
      <name val="Bahnschrift"/>
      <family val="2"/>
      <charset val="204"/>
    </font>
    <font>
      <sz val="11"/>
      <color theme="4" tint="-0.499984740745262"/>
      <name val="Calibri"/>
      <family val="2"/>
      <scheme val="minor"/>
    </font>
    <font>
      <sz val="8"/>
      <color theme="4" tint="-0.499984740745262"/>
      <name val="Bahnschrift"/>
      <family val="2"/>
      <charset val="204"/>
    </font>
    <font>
      <sz val="10"/>
      <color theme="4" tint="-0.499984740745262"/>
      <name val="Bahnschrift"/>
      <family val="2"/>
      <charset val="204"/>
    </font>
    <font>
      <b/>
      <sz val="14"/>
      <color theme="4" tint="-0.499984740745262"/>
      <name val="Calibri"/>
      <family val="2"/>
      <charset val="204"/>
      <scheme val="minor"/>
    </font>
    <font>
      <sz val="8"/>
      <color theme="4" tint="-0.499984740745262"/>
      <name val="Calibri"/>
      <family val="2"/>
      <charset val="204"/>
      <scheme val="minor"/>
    </font>
    <font>
      <b/>
      <sz val="12"/>
      <color theme="4" tint="-0.499984740745262"/>
      <name val="Calibri"/>
      <family val="2"/>
      <charset val="204"/>
      <scheme val="minor"/>
    </font>
    <font>
      <b/>
      <sz val="11"/>
      <color theme="4" tint="-0.499984740745262"/>
      <name val="Calibri"/>
      <family val="2"/>
      <charset val="204"/>
      <scheme val="minor"/>
    </font>
    <font>
      <b/>
      <sz val="11"/>
      <color theme="4" tint="-0.499984740745262"/>
      <name val="Bahnschrift"/>
      <family val="2"/>
      <charset val="204"/>
    </font>
    <font>
      <sz val="11"/>
      <color theme="4" tint="-0.499984740745262"/>
      <name val="Bahnschrift"/>
      <family val="2"/>
      <charset val="204"/>
    </font>
    <font>
      <b/>
      <i/>
      <sz val="11"/>
      <color theme="4" tint="-0.499984740745262"/>
      <name val="Bahnschrift"/>
      <family val="2"/>
      <charset val="204"/>
    </font>
    <font>
      <sz val="11"/>
      <color theme="4" tint="-0.249977111117893"/>
      <name val="Calibri"/>
      <family val="2"/>
      <scheme val="minor"/>
    </font>
    <font>
      <sz val="12"/>
      <color theme="4" tint="-0.499984740745262"/>
      <name val="Bahnschrift"/>
      <family val="2"/>
      <charset val="204"/>
    </font>
    <font>
      <sz val="11"/>
      <color theme="8" tint="-0.499984740745262"/>
      <name val="Calibri"/>
      <family val="2"/>
      <scheme val="minor"/>
    </font>
    <font>
      <sz val="14"/>
      <color theme="4" tint="-0.499984740745262"/>
      <name val="Calibri"/>
      <family val="2"/>
      <charset val="204"/>
      <scheme val="minor"/>
    </font>
    <font>
      <b/>
      <sz val="16"/>
      <color theme="8" tint="-0.249977111117893"/>
      <name val="Calibri"/>
      <family val="2"/>
      <charset val="204"/>
      <scheme val="minor"/>
    </font>
    <font>
      <sz val="10"/>
      <color theme="1"/>
      <name val="Calibri"/>
      <family val="2"/>
      <charset val="204"/>
      <scheme val="minor"/>
    </font>
    <font>
      <sz val="10"/>
      <color rgb="FF202122"/>
      <name val="Arial"/>
      <family val="2"/>
      <charset val="204"/>
    </font>
    <font>
      <i/>
      <sz val="10"/>
      <color theme="1"/>
      <name val="Calibri"/>
      <family val="2"/>
      <charset val="204"/>
      <scheme val="minor"/>
    </font>
    <font>
      <i/>
      <sz val="10"/>
      <name val="Times New Roman"/>
      <family val="1"/>
      <charset val="204"/>
    </font>
    <font>
      <i/>
      <sz val="10"/>
      <color theme="1"/>
      <name val="Calibri"/>
      <family val="2"/>
      <scheme val="minor"/>
    </font>
    <font>
      <b/>
      <i/>
      <sz val="10"/>
      <name val="Times New Roman"/>
      <family val="1"/>
      <charset val="204"/>
    </font>
    <font>
      <b/>
      <i/>
      <sz val="11"/>
      <color theme="1"/>
      <name val="Calibri"/>
      <family val="2"/>
      <charset val="204"/>
      <scheme val="minor"/>
    </font>
    <font>
      <b/>
      <i/>
      <sz val="10"/>
      <color rgb="FF000000"/>
      <name val="Calibri"/>
      <family val="2"/>
      <charset val="204"/>
      <scheme val="minor"/>
    </font>
    <font>
      <sz val="11"/>
      <color theme="1" tint="0.14999847407452621"/>
      <name val="Calibri"/>
      <family val="2"/>
      <scheme val="minor"/>
    </font>
    <font>
      <sz val="10"/>
      <color theme="1" tint="0.14999847407452621"/>
      <name val="Calibri"/>
      <family val="2"/>
      <scheme val="minor"/>
    </font>
    <font>
      <i/>
      <sz val="10"/>
      <color theme="1" tint="0.14999847407452621"/>
      <name val="Calibri"/>
      <family val="2"/>
      <charset val="204"/>
      <scheme val="minor"/>
    </font>
    <font>
      <i/>
      <sz val="10"/>
      <color theme="1" tint="0.14999847407452621"/>
      <name val="Calibri"/>
      <family val="2"/>
      <scheme val="minor"/>
    </font>
    <font>
      <b/>
      <i/>
      <sz val="10"/>
      <color theme="1" tint="0.14999847407452621"/>
      <name val="Times New Roman"/>
      <family val="1"/>
      <charset val="204"/>
    </font>
    <font>
      <sz val="11"/>
      <color theme="1" tint="0.249977111117893"/>
      <name val="Calibri"/>
      <family val="2"/>
      <scheme val="minor"/>
    </font>
    <font>
      <sz val="10"/>
      <color theme="1" tint="0.249977111117893"/>
      <name val="Calibri"/>
      <family val="2"/>
      <scheme val="minor"/>
    </font>
    <font>
      <i/>
      <sz val="11"/>
      <color theme="1"/>
      <name val="Calibri"/>
      <family val="2"/>
      <scheme val="minor"/>
    </font>
    <font>
      <sz val="12"/>
      <color rgb="FF000000"/>
      <name val="Arial"/>
      <family val="2"/>
      <charset val="204"/>
    </font>
    <font>
      <i/>
      <sz val="12"/>
      <color rgb="FF000000"/>
      <name val="Arial"/>
      <family val="2"/>
      <charset val="204"/>
    </font>
    <font>
      <i/>
      <sz val="11"/>
      <color theme="1"/>
      <name val="Bahnschrift"/>
      <family val="2"/>
      <charset val="204"/>
    </font>
    <font>
      <b/>
      <sz val="11"/>
      <color theme="8" tint="-0.499984740745262"/>
      <name val="Calibri"/>
      <family val="2"/>
      <charset val="204"/>
      <scheme val="minor"/>
    </font>
  </fonts>
  <fills count="10">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1"/>
        <bgColor indexed="64"/>
      </patternFill>
    </fill>
    <fill>
      <patternFill patternType="solid">
        <fgColor theme="0"/>
        <bgColor theme="4" tint="0.79998168889431442"/>
      </patternFill>
    </fill>
    <fill>
      <patternFill patternType="solid">
        <fgColor theme="2" tint="-9.9978637043366805E-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rgb="FF000000"/>
      </left>
      <right style="medium">
        <color rgb="FF000000"/>
      </right>
      <top/>
      <bottom/>
      <diagonal/>
    </border>
  </borders>
  <cellStyleXfs count="4">
    <xf numFmtId="0" fontId="0" fillId="0" borderId="0"/>
    <xf numFmtId="9" fontId="7" fillId="0" borderId="0" applyFont="0" applyFill="0" applyBorder="0" applyAlignment="0" applyProtection="0"/>
    <xf numFmtId="0" fontId="15" fillId="0" borderId="0"/>
    <xf numFmtId="0" fontId="24" fillId="0" borderId="0"/>
  </cellStyleXfs>
  <cellXfs count="453">
    <xf numFmtId="0" fontId="0" fillId="0" borderId="0" xfId="0"/>
    <xf numFmtId="0" fontId="0" fillId="0" borderId="0" xfId="0" applyAlignment="1">
      <alignment wrapText="1"/>
    </xf>
    <xf numFmtId="0" fontId="0" fillId="4" borderId="0" xfId="0" applyFill="1"/>
    <xf numFmtId="0" fontId="0" fillId="0" borderId="0" xfId="0" applyAlignment="1">
      <alignment vertical="center" wrapText="1"/>
    </xf>
    <xf numFmtId="0" fontId="6" fillId="3" borderId="0" xfId="0" applyFont="1" applyFill="1" applyBorder="1" applyAlignment="1">
      <alignment horizontal="center" vertical="center"/>
    </xf>
    <xf numFmtId="0" fontId="6" fillId="3" borderId="8" xfId="0" applyFont="1" applyFill="1" applyBorder="1" applyAlignment="1">
      <alignment horizontal="center" vertical="center"/>
    </xf>
    <xf numFmtId="0" fontId="0" fillId="5" borderId="3" xfId="0" applyFill="1" applyBorder="1" applyAlignment="1">
      <alignment vertical="center"/>
    </xf>
    <xf numFmtId="0" fontId="6" fillId="5" borderId="9" xfId="0" applyFont="1" applyFill="1" applyBorder="1" applyAlignment="1">
      <alignment horizontal="center" vertical="center"/>
    </xf>
    <xf numFmtId="0" fontId="0" fillId="2" borderId="7" xfId="0" applyFill="1" applyBorder="1" applyAlignment="1">
      <alignment horizontal="center" vertical="center" wrapText="1"/>
    </xf>
    <xf numFmtId="0" fontId="0" fillId="2" borderId="0" xfId="0" applyFill="1" applyBorder="1" applyAlignment="1">
      <alignment horizontal="center" vertical="center" wrapText="1"/>
    </xf>
    <xf numFmtId="0" fontId="0" fillId="2" borderId="8" xfId="0" applyFill="1" applyBorder="1" applyAlignment="1">
      <alignment horizontal="center" vertical="center" wrapText="1"/>
    </xf>
    <xf numFmtId="0" fontId="0" fillId="2" borderId="5" xfId="0" applyFill="1" applyBorder="1" applyAlignment="1">
      <alignment vertical="center" wrapText="1"/>
    </xf>
    <xf numFmtId="0" fontId="0" fillId="2" borderId="6" xfId="0" applyFill="1" applyBorder="1" applyAlignment="1">
      <alignment vertical="center" wrapText="1"/>
    </xf>
    <xf numFmtId="0" fontId="0" fillId="4" borderId="0" xfId="0" applyFill="1" applyAlignment="1">
      <alignment wrapText="1"/>
    </xf>
    <xf numFmtId="0" fontId="0" fillId="4" borderId="0" xfId="0" applyFont="1" applyFill="1" applyBorder="1" applyAlignment="1">
      <alignment horizontal="center" vertical="center" wrapText="1"/>
    </xf>
    <xf numFmtId="9" fontId="0" fillId="0" borderId="0" xfId="0" applyNumberFormat="1"/>
    <xf numFmtId="0" fontId="0" fillId="5" borderId="4" xfId="0" applyFill="1" applyBorder="1" applyAlignment="1">
      <alignment vertical="center"/>
    </xf>
    <xf numFmtId="0" fontId="6" fillId="5" borderId="7" xfId="0" applyFont="1" applyFill="1" applyBorder="1" applyAlignment="1">
      <alignment horizontal="center" vertical="center"/>
    </xf>
    <xf numFmtId="2" fontId="9" fillId="0" borderId="0" xfId="0" applyNumberFormat="1" applyFont="1" applyBorder="1" applyAlignment="1">
      <alignment horizontal="left" wrapText="1"/>
    </xf>
    <xf numFmtId="164" fontId="0" fillId="0" borderId="0" xfId="0" applyNumberFormat="1"/>
    <xf numFmtId="4" fontId="10" fillId="0" borderId="0" xfId="0" applyNumberFormat="1" applyFont="1" applyFill="1" applyBorder="1" applyAlignment="1">
      <alignment horizontal="right"/>
    </xf>
    <xf numFmtId="0" fontId="0" fillId="6" borderId="0" xfId="0" applyFill="1" applyBorder="1" applyAlignment="1">
      <alignment wrapText="1"/>
    </xf>
    <xf numFmtId="0" fontId="13" fillId="0" borderId="0" xfId="0" applyFont="1" applyBorder="1" applyAlignment="1">
      <alignment horizontal="left" wrapText="1"/>
    </xf>
    <xf numFmtId="2" fontId="0" fillId="0" borderId="0" xfId="0" applyNumberFormat="1"/>
    <xf numFmtId="10" fontId="0" fillId="0" borderId="0" xfId="0" applyNumberFormat="1"/>
    <xf numFmtId="0" fontId="0" fillId="0" borderId="1" xfId="0" applyBorder="1" applyAlignment="1">
      <alignment wrapText="1"/>
    </xf>
    <xf numFmtId="0" fontId="14" fillId="6" borderId="0" xfId="0" applyFont="1" applyFill="1" applyBorder="1" applyAlignment="1">
      <alignment vertical="top" wrapText="1"/>
    </xf>
    <xf numFmtId="0" fontId="0" fillId="0" borderId="0" xfId="0" applyBorder="1"/>
    <xf numFmtId="3" fontId="0" fillId="0" borderId="0" xfId="0" applyNumberFormat="1"/>
    <xf numFmtId="0" fontId="0" fillId="0" borderId="0" xfId="0" applyFill="1" applyBorder="1" applyAlignment="1">
      <alignment wrapText="1"/>
    </xf>
    <xf numFmtId="0" fontId="0" fillId="0" borderId="0" xfId="0" applyBorder="1" applyAlignment="1">
      <alignment wrapText="1"/>
    </xf>
    <xf numFmtId="3" fontId="0" fillId="0" borderId="0" xfId="0" applyNumberFormat="1" applyBorder="1"/>
    <xf numFmtId="0" fontId="16" fillId="0" borderId="0" xfId="0" applyFont="1" applyAlignment="1">
      <alignment wrapText="1"/>
    </xf>
    <xf numFmtId="166" fontId="0" fillId="0" borderId="0" xfId="0" applyNumberFormat="1"/>
    <xf numFmtId="0" fontId="9" fillId="0" borderId="0" xfId="0" applyFont="1" applyFill="1" applyBorder="1" applyAlignment="1">
      <alignment horizontal="left" wrapText="1"/>
    </xf>
    <xf numFmtId="9" fontId="0" fillId="0" borderId="0" xfId="1" applyFont="1" applyBorder="1"/>
    <xf numFmtId="0" fontId="17" fillId="0" borderId="0" xfId="0" applyFont="1"/>
    <xf numFmtId="0" fontId="0" fillId="0" borderId="0" xfId="0"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0" xfId="0" applyNumberFormat="1" applyFont="1" applyFill="1" applyBorder="1" applyAlignment="1">
      <alignment horizontal="left" vertical="center" wrapText="1"/>
    </xf>
    <xf numFmtId="0" fontId="4" fillId="0" borderId="0" xfId="0" applyFont="1" applyFill="1" applyBorder="1" applyAlignment="1">
      <alignment horizontal="left" vertical="center" wrapText="1"/>
    </xf>
    <xf numFmtId="10" fontId="0" fillId="0" borderId="0" xfId="1" applyNumberFormat="1" applyFont="1" applyBorder="1" applyAlignment="1">
      <alignment horizontal="center"/>
    </xf>
    <xf numFmtId="10" fontId="0" fillId="0" borderId="0" xfId="0" applyNumberFormat="1" applyBorder="1" applyAlignment="1">
      <alignment horizontal="center"/>
    </xf>
    <xf numFmtId="10" fontId="0" fillId="0" borderId="12" xfId="1" applyNumberFormat="1" applyFont="1" applyBorder="1" applyAlignment="1">
      <alignment horizontal="center"/>
    </xf>
    <xf numFmtId="0" fontId="0" fillId="0" borderId="11" xfId="0" applyBorder="1"/>
    <xf numFmtId="9" fontId="0" fillId="0" borderId="12" xfId="1" applyFont="1" applyBorder="1"/>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12" xfId="0" applyBorder="1" applyAlignment="1">
      <alignment horizontal="left" vertical="center" wrapText="1"/>
    </xf>
    <xf numFmtId="0" fontId="0" fillId="0" borderId="13" xfId="0" applyBorder="1"/>
    <xf numFmtId="0" fontId="0" fillId="0" borderId="14" xfId="0" applyBorder="1"/>
    <xf numFmtId="0" fontId="0" fillId="0" borderId="14" xfId="0" applyBorder="1" applyAlignment="1">
      <alignment wrapText="1"/>
    </xf>
    <xf numFmtId="0" fontId="0" fillId="0" borderId="15" xfId="0" applyBorder="1"/>
    <xf numFmtId="0" fontId="9" fillId="0" borderId="0" xfId="0" applyFont="1" applyFill="1" applyBorder="1" applyAlignment="1">
      <alignment horizontal="left" vertical="center" wrapText="1"/>
    </xf>
    <xf numFmtId="0" fontId="4" fillId="4" borderId="0" xfId="0" applyFont="1" applyFill="1" applyAlignment="1">
      <alignment wrapText="1"/>
    </xf>
    <xf numFmtId="0" fontId="4" fillId="0" borderId="0" xfId="0" applyFont="1" applyAlignment="1">
      <alignment vertical="top" wrapText="1"/>
    </xf>
    <xf numFmtId="0" fontId="0" fillId="6" borderId="0" xfId="0" applyFill="1"/>
    <xf numFmtId="0" fontId="9" fillId="0" borderId="2" xfId="0" applyFont="1" applyBorder="1" applyAlignment="1">
      <alignment horizontal="left" wrapText="1"/>
    </xf>
    <xf numFmtId="2" fontId="0" fillId="0" borderId="0" xfId="0" applyNumberFormat="1" applyBorder="1"/>
    <xf numFmtId="2" fontId="0" fillId="0" borderId="0" xfId="0" applyNumberFormat="1" applyFill="1" applyBorder="1"/>
    <xf numFmtId="0" fontId="0" fillId="0" borderId="0" xfId="0" applyAlignment="1">
      <alignment horizontal="right"/>
    </xf>
    <xf numFmtId="0" fontId="0" fillId="0" borderId="0" xfId="0" applyFill="1" applyBorder="1" applyAlignment="1">
      <alignment horizontal="center" vertical="center" wrapText="1"/>
    </xf>
    <xf numFmtId="2" fontId="19" fillId="0" borderId="0" xfId="0" applyNumberFormat="1" applyFont="1" applyAlignment="1">
      <alignment horizontal="left"/>
    </xf>
    <xf numFmtId="0" fontId="9" fillId="0" borderId="0" xfId="0" applyFont="1" applyBorder="1" applyAlignment="1">
      <alignment horizontal="left" wrapText="1"/>
    </xf>
    <xf numFmtId="2" fontId="0" fillId="0" borderId="0" xfId="0" applyNumberFormat="1" applyBorder="1" applyAlignment="1">
      <alignment horizontal="left"/>
    </xf>
    <xf numFmtId="0" fontId="0" fillId="0" borderId="0" xfId="0" applyFont="1" applyBorder="1"/>
    <xf numFmtId="0" fontId="0" fillId="3" borderId="5" xfId="0" applyFill="1" applyBorder="1" applyAlignment="1">
      <alignment horizontal="center" vertical="center"/>
    </xf>
    <xf numFmtId="0" fontId="0" fillId="0" borderId="0" xfId="0" applyFill="1" applyBorder="1" applyAlignment="1">
      <alignment horizontal="center" vertical="center" wrapText="1"/>
    </xf>
    <xf numFmtId="0" fontId="8" fillId="0" borderId="0" xfId="0" applyFont="1"/>
    <xf numFmtId="0" fontId="20" fillId="0" borderId="1" xfId="0" applyFont="1" applyBorder="1" applyAlignment="1">
      <alignment horizontal="center"/>
    </xf>
    <xf numFmtId="2" fontId="21" fillId="0" borderId="1" xfId="0" applyNumberFormat="1" applyFont="1" applyBorder="1" applyAlignment="1">
      <alignment horizontal="center" wrapText="1"/>
    </xf>
    <xf numFmtId="9" fontId="22" fillId="0" borderId="1" xfId="0" applyNumberFormat="1" applyFont="1" applyBorder="1" applyAlignment="1">
      <alignment horizontal="center"/>
    </xf>
    <xf numFmtId="2" fontId="22" fillId="0" borderId="1" xfId="0" applyNumberFormat="1" applyFont="1" applyBorder="1" applyAlignment="1">
      <alignment horizontal="center"/>
    </xf>
    <xf numFmtId="0" fontId="22" fillId="0" borderId="0" xfId="0" applyFont="1"/>
    <xf numFmtId="0" fontId="22" fillId="0" borderId="0" xfId="0" applyFont="1" applyBorder="1"/>
    <xf numFmtId="9" fontId="22" fillId="0" borderId="0" xfId="1" applyFont="1" applyBorder="1"/>
    <xf numFmtId="9" fontId="22" fillId="0" borderId="12" xfId="1" applyFont="1" applyBorder="1"/>
    <xf numFmtId="0" fontId="0" fillId="5" borderId="9" xfId="0" applyFill="1" applyBorder="1" applyAlignment="1">
      <alignment horizontal="center" vertical="center" wrapText="1"/>
    </xf>
    <xf numFmtId="0" fontId="0" fillId="5" borderId="7"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Border="1" applyAlignment="1">
      <alignment horizontal="center" vertical="center" wrapText="1"/>
    </xf>
    <xf numFmtId="0" fontId="0" fillId="3" borderId="8" xfId="0" applyFill="1" applyBorder="1" applyAlignment="1">
      <alignment horizontal="center" vertical="center" wrapText="1"/>
    </xf>
    <xf numFmtId="0" fontId="0" fillId="2" borderId="0"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21" fillId="0" borderId="19" xfId="0" applyFont="1" applyBorder="1" applyAlignment="1">
      <alignment horizontal="left" wrapText="1"/>
    </xf>
    <xf numFmtId="10" fontId="0" fillId="0" borderId="18" xfId="1" applyNumberFormat="1" applyFont="1" applyBorder="1" applyAlignment="1">
      <alignment horizontal="center"/>
    </xf>
    <xf numFmtId="10" fontId="0" fillId="0" borderId="18" xfId="0" applyNumberFormat="1" applyBorder="1" applyAlignment="1">
      <alignment horizontal="center"/>
    </xf>
    <xf numFmtId="10" fontId="0" fillId="0" borderId="17" xfId="1" applyNumberFormat="1" applyFont="1" applyBorder="1" applyAlignment="1">
      <alignment horizontal="center"/>
    </xf>
    <xf numFmtId="0" fontId="0" fillId="0" borderId="18" xfId="0" applyBorder="1"/>
    <xf numFmtId="0" fontId="4" fillId="0" borderId="18" xfId="0" applyFont="1" applyBorder="1"/>
    <xf numFmtId="165" fontId="0" fillId="0" borderId="18" xfId="1" applyNumberFormat="1" applyFont="1" applyBorder="1"/>
    <xf numFmtId="0" fontId="11" fillId="0" borderId="17" xfId="0" applyFont="1" applyBorder="1"/>
    <xf numFmtId="0" fontId="21" fillId="0" borderId="20" xfId="0" applyFont="1" applyBorder="1" applyAlignment="1">
      <alignment horizontal="left" wrapText="1"/>
    </xf>
    <xf numFmtId="164" fontId="0" fillId="0" borderId="0" xfId="0" applyNumberFormat="1" applyBorder="1"/>
    <xf numFmtId="165" fontId="0" fillId="0" borderId="0" xfId="1" applyNumberFormat="1" applyFont="1" applyBorder="1"/>
    <xf numFmtId="0" fontId="11" fillId="0" borderId="12" xfId="0" applyFont="1" applyBorder="1"/>
    <xf numFmtId="0" fontId="0" fillId="0" borderId="0" xfId="0" quotePrefix="1" applyBorder="1"/>
    <xf numFmtId="0" fontId="21" fillId="0" borderId="21" xfId="0" applyFont="1" applyBorder="1" applyAlignment="1">
      <alignment horizontal="left" wrapText="1"/>
    </xf>
    <xf numFmtId="10" fontId="0" fillId="0" borderId="14" xfId="1" applyNumberFormat="1" applyFont="1" applyBorder="1" applyAlignment="1">
      <alignment horizontal="center"/>
    </xf>
    <xf numFmtId="10" fontId="0" fillId="0" borderId="15" xfId="1" applyNumberFormat="1" applyFont="1" applyBorder="1" applyAlignment="1">
      <alignment horizontal="center"/>
    </xf>
    <xf numFmtId="4" fontId="10" fillId="0" borderId="14" xfId="0" applyNumberFormat="1" applyFont="1" applyFill="1" applyBorder="1" applyAlignment="1">
      <alignment horizontal="right"/>
    </xf>
    <xf numFmtId="165" fontId="0" fillId="0" borderId="14" xfId="1" applyNumberFormat="1" applyFont="1" applyBorder="1"/>
    <xf numFmtId="0" fontId="11" fillId="0" borderId="15" xfId="0" applyFont="1" applyBorder="1"/>
    <xf numFmtId="0" fontId="23" fillId="0" borderId="0" xfId="0" applyFont="1" applyFill="1" applyBorder="1" applyAlignment="1">
      <alignment horizontal="left" wrapText="1"/>
    </xf>
    <xf numFmtId="164" fontId="0" fillId="0" borderId="0" xfId="0" applyNumberFormat="1" applyFont="1" applyFill="1" applyBorder="1" applyAlignment="1">
      <alignment horizontal="right" vertical="center" wrapText="1"/>
    </xf>
    <xf numFmtId="164" fontId="4" fillId="0" borderId="0" xfId="0" applyNumberFormat="1" applyFont="1" applyFill="1" applyBorder="1" applyAlignment="1">
      <alignment horizontal="right" vertical="center" wrapText="1"/>
    </xf>
    <xf numFmtId="0" fontId="3" fillId="0" borderId="0" xfId="0" quotePrefix="1" applyFont="1" applyFill="1" applyBorder="1" applyAlignment="1">
      <alignment horizontal="left" vertical="center" wrapText="1"/>
    </xf>
    <xf numFmtId="164" fontId="0" fillId="6" borderId="1" xfId="0" applyNumberFormat="1" applyFill="1" applyBorder="1"/>
    <xf numFmtId="164" fontId="0" fillId="0" borderId="1" xfId="0" applyNumberFormat="1" applyBorder="1"/>
    <xf numFmtId="164" fontId="22" fillId="0" borderId="1" xfId="0" applyNumberFormat="1" applyFont="1" applyBorder="1"/>
    <xf numFmtId="0" fontId="0" fillId="0" borderId="1" xfId="0" applyBorder="1"/>
    <xf numFmtId="164" fontId="3" fillId="0" borderId="0" xfId="0" applyNumberFormat="1" applyFont="1" applyFill="1" applyBorder="1" applyAlignment="1">
      <alignment horizontal="right" vertical="center" wrapText="1"/>
    </xf>
    <xf numFmtId="0" fontId="0" fillId="3" borderId="0" xfId="0" applyFill="1" applyBorder="1" applyAlignment="1">
      <alignment vertical="center" wrapText="1"/>
    </xf>
    <xf numFmtId="0" fontId="0" fillId="0" borderId="0" xfId="0" applyAlignment="1">
      <alignment horizontal="center" vertical="center"/>
    </xf>
    <xf numFmtId="9" fontId="0" fillId="0" borderId="1" xfId="0" applyNumberFormat="1" applyBorder="1"/>
    <xf numFmtId="1" fontId="22" fillId="0" borderId="1" xfId="0" applyNumberFormat="1" applyFont="1" applyBorder="1" applyAlignment="1">
      <alignment horizontal="right"/>
    </xf>
    <xf numFmtId="1" fontId="26" fillId="0" borderId="1" xfId="0" applyNumberFormat="1" applyFont="1" applyBorder="1" applyAlignment="1">
      <alignment horizontal="right"/>
    </xf>
    <xf numFmtId="9" fontId="26" fillId="0" borderId="1" xfId="1" applyFont="1" applyBorder="1" applyAlignment="1">
      <alignment horizontal="right"/>
    </xf>
    <xf numFmtId="164" fontId="26" fillId="0" borderId="1" xfId="0" applyNumberFormat="1" applyFont="1" applyBorder="1" applyAlignment="1"/>
    <xf numFmtId="0" fontId="26" fillId="0" borderId="1" xfId="0" applyFont="1" applyFill="1" applyBorder="1" applyAlignment="1"/>
    <xf numFmtId="0" fontId="26" fillId="0" borderId="1" xfId="0" applyFont="1" applyFill="1" applyBorder="1" applyAlignment="1">
      <alignment vertical="center" wrapText="1"/>
    </xf>
    <xf numFmtId="9" fontId="26" fillId="0" borderId="1" xfId="0" applyNumberFormat="1" applyFont="1" applyBorder="1"/>
    <xf numFmtId="0" fontId="26" fillId="0" borderId="1" xfId="0" applyNumberFormat="1" applyFont="1" applyBorder="1"/>
    <xf numFmtId="1" fontId="26" fillId="0" borderId="1" xfId="0" applyNumberFormat="1" applyFont="1" applyFill="1" applyBorder="1" applyAlignment="1">
      <alignment horizontal="right" vertical="center" wrapText="1"/>
    </xf>
    <xf numFmtId="164" fontId="26" fillId="0" borderId="1" xfId="0" applyNumberFormat="1" applyFont="1" applyFill="1" applyBorder="1" applyAlignment="1">
      <alignment horizontal="right" vertical="center" wrapText="1"/>
    </xf>
    <xf numFmtId="0" fontId="26" fillId="0" borderId="1" xfId="0" applyNumberFormat="1" applyFont="1" applyFill="1" applyBorder="1" applyAlignment="1">
      <alignment horizontal="right" vertical="center" wrapText="1"/>
    </xf>
    <xf numFmtId="0" fontId="26" fillId="0" borderId="1" xfId="0" applyFont="1" applyBorder="1" applyAlignment="1">
      <alignment horizontal="right"/>
    </xf>
    <xf numFmtId="164" fontId="26" fillId="0" borderId="1" xfId="0" applyNumberFormat="1" applyFont="1" applyFill="1" applyBorder="1" applyAlignment="1"/>
    <xf numFmtId="164" fontId="27" fillId="0" borderId="1" xfId="0" applyNumberFormat="1" applyFont="1" applyBorder="1" applyAlignment="1"/>
    <xf numFmtId="0" fontId="26" fillId="0" borderId="1" xfId="0" applyFont="1" applyBorder="1" applyAlignment="1">
      <alignment horizontal="right" vertical="center" wrapText="1"/>
    </xf>
    <xf numFmtId="0" fontId="26" fillId="0" borderId="0" xfId="0" applyFont="1"/>
    <xf numFmtId="0" fontId="26" fillId="0" borderId="1" xfId="0" applyFont="1" applyBorder="1" applyAlignment="1"/>
    <xf numFmtId="1" fontId="26" fillId="0" borderId="1" xfId="0" applyNumberFormat="1" applyFont="1" applyBorder="1"/>
    <xf numFmtId="0" fontId="26" fillId="0" borderId="1" xfId="0" applyFont="1" applyBorder="1"/>
    <xf numFmtId="2" fontId="0" fillId="0" borderId="1" xfId="0" applyNumberFormat="1" applyBorder="1" applyAlignment="1"/>
    <xf numFmtId="2" fontId="26" fillId="0" borderId="1" xfId="0" applyNumberFormat="1" applyFont="1" applyBorder="1" applyAlignment="1"/>
    <xf numFmtId="0" fontId="21" fillId="0" borderId="24" xfId="0" applyFont="1" applyBorder="1" applyAlignment="1">
      <alignment horizontal="right" wrapText="1"/>
    </xf>
    <xf numFmtId="0" fontId="21" fillId="0" borderId="25" xfId="0" applyFont="1" applyBorder="1" applyAlignment="1">
      <alignment horizontal="right" wrapText="1"/>
    </xf>
    <xf numFmtId="166" fontId="28" fillId="0" borderId="0" xfId="0" applyNumberFormat="1" applyFont="1"/>
    <xf numFmtId="0" fontId="6" fillId="3" borderId="0" xfId="0" applyFont="1" applyFill="1" applyBorder="1" applyAlignment="1">
      <alignment vertical="center"/>
    </xf>
    <xf numFmtId="0" fontId="0" fillId="0" borderId="0" xfId="0" applyAlignment="1">
      <alignment horizontal="center" wrapText="1"/>
    </xf>
    <xf numFmtId="1" fontId="25" fillId="0" borderId="2" xfId="0" applyNumberFormat="1" applyFont="1" applyBorder="1" applyAlignment="1">
      <alignment horizontal="right" wrapText="1"/>
    </xf>
    <xf numFmtId="1" fontId="26" fillId="0" borderId="2" xfId="0" applyNumberFormat="1" applyFont="1" applyBorder="1" applyAlignment="1">
      <alignment horizontal="right"/>
    </xf>
    <xf numFmtId="1" fontId="26" fillId="0" borderId="2" xfId="0" applyNumberFormat="1" applyFont="1" applyFill="1" applyBorder="1" applyAlignment="1">
      <alignment horizontal="right"/>
    </xf>
    <xf numFmtId="1" fontId="27" fillId="0" borderId="2" xfId="0" applyNumberFormat="1" applyFont="1" applyBorder="1" applyAlignment="1">
      <alignment horizontal="right"/>
    </xf>
    <xf numFmtId="0" fontId="0" fillId="0" borderId="1" xfId="0" applyFill="1" applyBorder="1" applyAlignment="1">
      <alignment horizontal="left" vertical="center" wrapText="1"/>
    </xf>
    <xf numFmtId="0" fontId="0" fillId="0" borderId="1" xfId="0" applyBorder="1" applyAlignment="1">
      <alignment horizontal="center" vertical="center"/>
    </xf>
    <xf numFmtId="3" fontId="0" fillId="0" borderId="1" xfId="0" applyNumberFormat="1" applyBorder="1" applyAlignment="1">
      <alignment horizontal="right" vertical="top"/>
    </xf>
    <xf numFmtId="3" fontId="22" fillId="0" borderId="1" xfId="0" applyNumberFormat="1" applyFont="1" applyBorder="1"/>
    <xf numFmtId="3" fontId="0" fillId="0" borderId="1" xfId="0" applyNumberFormat="1" applyBorder="1"/>
    <xf numFmtId="0" fontId="0" fillId="0" borderId="1" xfId="0" applyFill="1" applyBorder="1" applyAlignment="1">
      <alignment horizontal="center" vertical="center" wrapText="1"/>
    </xf>
    <xf numFmtId="1" fontId="0" fillId="0" borderId="1" xfId="0" applyNumberFormat="1" applyBorder="1" applyAlignment="1"/>
    <xf numFmtId="2" fontId="8" fillId="0" borderId="0" xfId="0" applyNumberFormat="1" applyFont="1"/>
    <xf numFmtId="168" fontId="0" fillId="0" borderId="1" xfId="1" applyNumberFormat="1" applyFont="1" applyBorder="1" applyAlignment="1"/>
    <xf numFmtId="3" fontId="21" fillId="0" borderId="1" xfId="0" applyNumberFormat="1" applyFont="1" applyBorder="1" applyAlignment="1">
      <alignment horizontal="right" wrapText="1"/>
    </xf>
    <xf numFmtId="2" fontId="28" fillId="0" borderId="0" xfId="0" applyNumberFormat="1" applyFont="1"/>
    <xf numFmtId="0" fontId="0" fillId="0" borderId="0" xfId="1" applyNumberFormat="1" applyFont="1" applyBorder="1" applyAlignment="1"/>
    <xf numFmtId="0" fontId="0" fillId="0" borderId="1" xfId="0" applyBorder="1" applyAlignment="1">
      <alignment horizontal="right"/>
    </xf>
    <xf numFmtId="3" fontId="0" fillId="0" borderId="1" xfId="0" applyNumberFormat="1" applyBorder="1" applyAlignment="1">
      <alignment horizontal="right"/>
    </xf>
    <xf numFmtId="0" fontId="0" fillId="0" borderId="1" xfId="1" applyNumberFormat="1" applyFont="1" applyBorder="1" applyAlignment="1"/>
    <xf numFmtId="2" fontId="0" fillId="0" borderId="1" xfId="0" applyNumberFormat="1" applyBorder="1"/>
    <xf numFmtId="9" fontId="26" fillId="0" borderId="1" xfId="1" applyFont="1" applyBorder="1" applyAlignment="1"/>
    <xf numFmtId="0" fontId="12" fillId="0" borderId="1" xfId="0" applyFont="1" applyBorder="1" applyAlignment="1">
      <alignment wrapText="1"/>
    </xf>
    <xf numFmtId="0" fontId="12" fillId="0" borderId="1" xfId="0" applyFont="1" applyBorder="1" applyAlignment="1">
      <alignment horizontal="right" wrapText="1" indent="1"/>
    </xf>
    <xf numFmtId="9" fontId="0" fillId="0" borderId="1" xfId="1" applyFont="1" applyBorder="1"/>
    <xf numFmtId="1" fontId="0" fillId="0" borderId="1" xfId="1" applyNumberFormat="1" applyFont="1" applyBorder="1" applyAlignment="1"/>
    <xf numFmtId="167" fontId="18" fillId="0" borderId="1" xfId="0" applyNumberFormat="1" applyFont="1" applyBorder="1" applyAlignment="1">
      <alignment horizontal="right"/>
    </xf>
    <xf numFmtId="1" fontId="5" fillId="0" borderId="1" xfId="0" applyNumberFormat="1" applyFont="1" applyBorder="1" applyAlignment="1">
      <alignment horizontal="right" indent="1"/>
    </xf>
    <xf numFmtId="10" fontId="0" fillId="0" borderId="1" xfId="1" applyNumberFormat="1" applyFont="1" applyBorder="1"/>
    <xf numFmtId="164" fontId="0" fillId="0" borderId="1" xfId="1" applyNumberFormat="1" applyFont="1" applyBorder="1"/>
    <xf numFmtId="10" fontId="0" fillId="0" borderId="1" xfId="0" applyNumberFormat="1" applyBorder="1"/>
    <xf numFmtId="1" fontId="0" fillId="0" borderId="1" xfId="0" applyNumberFormat="1" applyBorder="1" applyAlignment="1">
      <alignment horizontal="right" indent="1"/>
    </xf>
    <xf numFmtId="164" fontId="22" fillId="0" borderId="1" xfId="0" applyNumberFormat="1" applyFont="1" applyBorder="1" applyAlignment="1">
      <alignment horizontal="right"/>
    </xf>
    <xf numFmtId="9" fontId="22" fillId="0" borderId="1" xfId="1" applyFont="1" applyBorder="1"/>
    <xf numFmtId="168" fontId="22" fillId="0" borderId="1" xfId="0" applyNumberFormat="1" applyFont="1" applyBorder="1"/>
    <xf numFmtId="9" fontId="22" fillId="0" borderId="1" xfId="0" applyNumberFormat="1" applyFont="1" applyBorder="1"/>
    <xf numFmtId="1" fontId="22" fillId="0" borderId="1" xfId="0" applyNumberFormat="1" applyFont="1" applyBorder="1"/>
    <xf numFmtId="168" fontId="0" fillId="0" borderId="1" xfId="0" applyNumberFormat="1" applyBorder="1"/>
    <xf numFmtId="0" fontId="0" fillId="3" borderId="5" xfId="0" applyFill="1" applyBorder="1" applyAlignment="1">
      <alignment vertical="center"/>
    </xf>
    <xf numFmtId="0" fontId="0" fillId="3" borderId="6" xfId="0" applyFill="1" applyBorder="1" applyAlignment="1">
      <alignment vertical="center"/>
    </xf>
    <xf numFmtId="2" fontId="0" fillId="0" borderId="7" xfId="0" applyNumberFormat="1" applyBorder="1"/>
    <xf numFmtId="2" fontId="8" fillId="0" borderId="0" xfId="0" applyNumberFormat="1" applyFont="1" applyFill="1" applyBorder="1"/>
    <xf numFmtId="3" fontId="26" fillId="0" borderId="1" xfId="0" applyNumberFormat="1" applyFont="1" applyFill="1" applyBorder="1" applyAlignment="1">
      <alignment vertical="center" wrapText="1"/>
    </xf>
    <xf numFmtId="0" fontId="0" fillId="0" borderId="0" xfId="0" applyFill="1" applyBorder="1"/>
    <xf numFmtId="0" fontId="0" fillId="0" borderId="0" xfId="0" applyFill="1" applyBorder="1" applyAlignment="1">
      <alignment vertical="center" wrapText="1"/>
    </xf>
    <xf numFmtId="0" fontId="0" fillId="0" borderId="27" xfId="0" applyFill="1" applyBorder="1" applyAlignment="1">
      <alignment horizontal="center" vertical="center" wrapText="1"/>
    </xf>
    <xf numFmtId="2" fontId="8" fillId="0" borderId="0" xfId="0" applyNumberFormat="1" applyFont="1" applyBorder="1" applyAlignment="1">
      <alignment horizontal="center"/>
    </xf>
    <xf numFmtId="1" fontId="0" fillId="0" borderId="0" xfId="0" applyNumberFormat="1" applyBorder="1"/>
    <xf numFmtId="164" fontId="8" fillId="0" borderId="0" xfId="0" applyNumberFormat="1" applyFont="1" applyBorder="1" applyAlignment="1">
      <alignment horizontal="center"/>
    </xf>
    <xf numFmtId="1" fontId="8" fillId="0" borderId="0" xfId="0" applyNumberFormat="1" applyFont="1" applyBorder="1" applyAlignment="1">
      <alignment horizontal="center"/>
    </xf>
    <xf numFmtId="1" fontId="0" fillId="0" borderId="0" xfId="0" applyNumberFormat="1" applyBorder="1" applyAlignment="1">
      <alignment wrapText="1"/>
    </xf>
    <xf numFmtId="2" fontId="8" fillId="0" borderId="0" xfId="0" applyNumberFormat="1" applyFont="1" applyBorder="1" applyAlignment="1">
      <alignment vertical="center"/>
    </xf>
    <xf numFmtId="0" fontId="0" fillId="0" borderId="0" xfId="0" applyFill="1" applyBorder="1" applyAlignment="1">
      <alignment horizontal="center"/>
    </xf>
    <xf numFmtId="0" fontId="28" fillId="0" borderId="5" xfId="0" applyFont="1" applyFill="1" applyBorder="1"/>
    <xf numFmtId="2" fontId="28" fillId="0" borderId="5" xfId="0" applyNumberFormat="1" applyFont="1" applyBorder="1" applyAlignment="1">
      <alignment vertical="center"/>
    </xf>
    <xf numFmtId="0" fontId="0" fillId="0" borderId="0" xfId="0" applyBorder="1" applyAlignment="1">
      <alignment horizontal="left"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0" fillId="0" borderId="0" xfId="0" applyAlignment="1">
      <alignment vertical="center"/>
    </xf>
    <xf numFmtId="0" fontId="0" fillId="0" borderId="0" xfId="0" applyFill="1" applyBorder="1" applyAlignment="1">
      <alignment horizontal="left" vertical="center"/>
    </xf>
    <xf numFmtId="0" fontId="0" fillId="0" borderId="1" xfId="0" applyFill="1" applyBorder="1" applyAlignment="1">
      <alignment horizontal="left" vertical="center"/>
    </xf>
    <xf numFmtId="0" fontId="0" fillId="0" borderId="1" xfId="0" applyFill="1" applyBorder="1" applyAlignment="1">
      <alignment vertical="center"/>
    </xf>
    <xf numFmtId="0" fontId="22" fillId="0" borderId="1" xfId="0" applyFont="1" applyBorder="1"/>
    <xf numFmtId="0" fontId="29" fillId="0" borderId="1" xfId="0" applyFont="1" applyBorder="1"/>
    <xf numFmtId="0" fontId="22" fillId="0" borderId="1" xfId="0" applyFont="1" applyBorder="1" applyAlignment="1">
      <alignment horizontal="center" vertical="center"/>
    </xf>
    <xf numFmtId="0" fontId="22" fillId="0" borderId="1" xfId="0" applyFont="1" applyFill="1" applyBorder="1" applyAlignment="1">
      <alignment horizontal="left" vertical="center" wrapText="1"/>
    </xf>
    <xf numFmtId="0" fontId="22" fillId="0" borderId="1" xfId="0" applyFont="1" applyBorder="1" applyAlignment="1">
      <alignment vertical="center" wrapText="1"/>
    </xf>
    <xf numFmtId="0" fontId="22" fillId="0" borderId="1" xfId="0" applyFont="1" applyFill="1" applyBorder="1" applyAlignment="1">
      <alignment vertical="center" wrapText="1"/>
    </xf>
    <xf numFmtId="0" fontId="22" fillId="0" borderId="1" xfId="0" applyFont="1" applyFill="1" applyBorder="1" applyAlignment="1">
      <alignment horizontal="left" vertical="center"/>
    </xf>
    <xf numFmtId="0" fontId="22" fillId="0" borderId="1" xfId="0" applyFont="1" applyFill="1" applyBorder="1" applyAlignment="1">
      <alignment vertical="center"/>
    </xf>
    <xf numFmtId="0" fontId="8" fillId="0" borderId="1" xfId="0" applyFont="1" applyBorder="1" applyAlignment="1">
      <alignment horizontal="left" vertical="top"/>
    </xf>
    <xf numFmtId="0" fontId="0" fillId="0" borderId="1" xfId="0"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30" fillId="0"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0" fontId="8"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8" fillId="0" borderId="1" xfId="0" applyFont="1" applyBorder="1" applyAlignment="1">
      <alignment horizontal="left" vertical="center"/>
    </xf>
    <xf numFmtId="0" fontId="22" fillId="0" borderId="0" xfId="0" applyFont="1" applyFill="1" applyBorder="1" applyAlignment="1">
      <alignment horizontal="left" vertical="center" wrapText="1"/>
    </xf>
    <xf numFmtId="0" fontId="0" fillId="0" borderId="3" xfId="0" applyFill="1" applyBorder="1" applyAlignment="1">
      <alignment horizontal="left" vertical="center" wrapText="1"/>
    </xf>
    <xf numFmtId="9" fontId="18" fillId="0" borderId="9" xfId="1" applyFont="1" applyBorder="1" applyAlignment="1">
      <alignment horizontal="right"/>
    </xf>
    <xf numFmtId="9" fontId="18" fillId="0" borderId="10" xfId="1" applyFont="1" applyBorder="1" applyAlignment="1">
      <alignment horizontal="right"/>
    </xf>
    <xf numFmtId="0" fontId="3" fillId="0" borderId="2" xfId="0" applyFont="1" applyFill="1" applyBorder="1" applyAlignment="1">
      <alignment horizontal="right" vertical="center" wrapText="1"/>
    </xf>
    <xf numFmtId="3" fontId="21" fillId="0" borderId="2" xfId="0" applyNumberFormat="1" applyFont="1" applyBorder="1" applyAlignment="1">
      <alignment horizontal="right" wrapText="1"/>
    </xf>
    <xf numFmtId="1" fontId="3" fillId="0" borderId="2" xfId="0" applyNumberFormat="1" applyFont="1" applyBorder="1" applyAlignment="1">
      <alignment horizontal="right"/>
    </xf>
    <xf numFmtId="0" fontId="0" fillId="0" borderId="26" xfId="0" applyFill="1" applyBorder="1" applyAlignment="1">
      <alignment horizontal="center" vertical="center" wrapText="1"/>
    </xf>
    <xf numFmtId="168" fontId="0" fillId="0" borderId="26" xfId="1" applyNumberFormat="1" applyFont="1" applyBorder="1" applyAlignment="1"/>
    <xf numFmtId="0" fontId="28" fillId="0" borderId="16" xfId="0" applyFont="1" applyBorder="1" applyAlignment="1">
      <alignment horizontal="right"/>
    </xf>
    <xf numFmtId="2" fontId="19" fillId="0" borderId="17" xfId="0" applyNumberFormat="1" applyFont="1" applyBorder="1"/>
    <xf numFmtId="0" fontId="3" fillId="0" borderId="22" xfId="0" applyFont="1" applyFill="1" applyBorder="1" applyAlignment="1">
      <alignment horizontal="right" vertical="center" wrapText="1"/>
    </xf>
    <xf numFmtId="168" fontId="3" fillId="0" borderId="22" xfId="1" applyNumberFormat="1" applyFont="1" applyBorder="1" applyAlignment="1">
      <alignment horizontal="right"/>
    </xf>
    <xf numFmtId="3" fontId="21" fillId="0" borderId="27" xfId="0" applyNumberFormat="1" applyFont="1" applyBorder="1" applyAlignment="1">
      <alignment horizontal="right" vertical="center" wrapText="1"/>
    </xf>
    <xf numFmtId="1" fontId="0" fillId="0" borderId="27" xfId="0" applyNumberFormat="1" applyBorder="1" applyAlignment="1"/>
    <xf numFmtId="1" fontId="26" fillId="0" borderId="27" xfId="0" applyNumberFormat="1" applyFont="1" applyBorder="1" applyAlignment="1">
      <alignment horizontal="right"/>
    </xf>
    <xf numFmtId="168" fontId="3" fillId="0" borderId="23" xfId="1" applyNumberFormat="1" applyFont="1" applyBorder="1" applyAlignment="1">
      <alignment horizontal="right"/>
    </xf>
    <xf numFmtId="1" fontId="0" fillId="0" borderId="28" xfId="0" applyNumberFormat="1" applyBorder="1" applyAlignment="1"/>
    <xf numFmtId="2" fontId="0" fillId="0" borderId="3" xfId="0" applyNumberFormat="1" applyBorder="1"/>
    <xf numFmtId="2" fontId="0" fillId="0" borderId="9" xfId="0" applyNumberFormat="1" applyBorder="1"/>
    <xf numFmtId="0" fontId="8" fillId="0" borderId="0" xfId="0" applyFont="1" applyBorder="1"/>
    <xf numFmtId="2" fontId="0" fillId="7" borderId="0" xfId="0" applyNumberFormat="1" applyFill="1" applyBorder="1" applyAlignment="1">
      <alignment wrapText="1"/>
    </xf>
    <xf numFmtId="0" fontId="22" fillId="0" borderId="0" xfId="0" applyFont="1" applyFill="1" applyBorder="1" applyAlignment="1">
      <alignment horizontal="left" vertical="center"/>
    </xf>
    <xf numFmtId="164" fontId="8" fillId="0" borderId="0" xfId="0" applyNumberFormat="1" applyFont="1" applyFill="1" applyBorder="1"/>
    <xf numFmtId="2" fontId="19" fillId="0" borderId="0" xfId="0" applyNumberFormat="1" applyFont="1" applyBorder="1" applyAlignment="1">
      <alignment horizontal="right"/>
    </xf>
    <xf numFmtId="166" fontId="0" fillId="0" borderId="0" xfId="0" applyNumberFormat="1" applyBorder="1"/>
    <xf numFmtId="0" fontId="0" fillId="7" borderId="10" xfId="0" applyFill="1" applyBorder="1" applyAlignment="1">
      <alignment horizontal="center" vertical="center" wrapText="1"/>
    </xf>
    <xf numFmtId="0" fontId="3" fillId="7" borderId="10" xfId="0" applyFont="1" applyFill="1" applyBorder="1" applyAlignment="1">
      <alignment vertical="center" wrapText="1"/>
    </xf>
    <xf numFmtId="0" fontId="31"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9" fillId="0" borderId="2" xfId="0" applyFont="1" applyBorder="1" applyAlignment="1">
      <alignment horizontal="right" wrapText="1"/>
    </xf>
    <xf numFmtId="0" fontId="9" fillId="0" borderId="4" xfId="0" applyFont="1" applyBorder="1" applyAlignment="1">
      <alignment horizontal="right" wrapText="1"/>
    </xf>
    <xf numFmtId="2" fontId="0" fillId="0" borderId="0" xfId="0" pivotButton="1" applyNumberFormat="1"/>
    <xf numFmtId="2" fontId="0" fillId="0" borderId="0" xfId="0" applyNumberFormat="1" applyAlignment="1">
      <alignment horizontal="left"/>
    </xf>
    <xf numFmtId="0" fontId="32" fillId="0" borderId="0" xfId="0" applyFont="1"/>
    <xf numFmtId="0" fontId="0" fillId="6" borderId="0" xfId="0" applyFill="1" applyBorder="1"/>
    <xf numFmtId="0" fontId="0" fillId="0" borderId="0" xfId="0" applyAlignment="1"/>
    <xf numFmtId="1" fontId="0" fillId="6" borderId="0" xfId="0" applyNumberFormat="1" applyFill="1" applyBorder="1"/>
    <xf numFmtId="2" fontId="19" fillId="6" borderId="0" xfId="0" applyNumberFormat="1" applyFont="1" applyFill="1" applyAlignment="1">
      <alignment horizontal="left"/>
    </xf>
    <xf numFmtId="2" fontId="0" fillId="8" borderId="0" xfId="0" applyNumberFormat="1" applyFont="1" applyFill="1" applyBorder="1"/>
    <xf numFmtId="2" fontId="0" fillId="6" borderId="0" xfId="0" applyNumberFormat="1" applyFont="1" applyFill="1" applyBorder="1"/>
    <xf numFmtId="0" fontId="35" fillId="6" borderId="0" xfId="0" applyFont="1" applyFill="1" applyBorder="1" applyAlignment="1">
      <alignment vertical="center" wrapText="1"/>
    </xf>
    <xf numFmtId="0" fontId="33" fillId="6" borderId="0" xfId="0" applyFont="1" applyFill="1" applyBorder="1" applyAlignment="1">
      <alignment horizontal="center" wrapText="1"/>
    </xf>
    <xf numFmtId="0" fontId="32" fillId="6" borderId="0" xfId="0" applyFont="1" applyFill="1"/>
    <xf numFmtId="0" fontId="37" fillId="0" borderId="0" xfId="0" applyFont="1"/>
    <xf numFmtId="2" fontId="36" fillId="0" borderId="0" xfId="0" applyNumberFormat="1" applyFont="1" applyBorder="1" applyAlignment="1">
      <alignment horizontal="center"/>
    </xf>
    <xf numFmtId="2" fontId="28" fillId="0" borderId="0" xfId="0" applyNumberFormat="1" applyFont="1" applyAlignment="1">
      <alignment horizontal="right"/>
    </xf>
    <xf numFmtId="2" fontId="0" fillId="0" borderId="0" xfId="0" applyNumberFormat="1" applyAlignment="1">
      <alignment horizontal="left" indent="1"/>
    </xf>
    <xf numFmtId="0" fontId="34" fillId="6" borderId="0" xfId="0" applyFont="1" applyFill="1" applyAlignme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2" fontId="0" fillId="6" borderId="0" xfId="0" applyNumberFormat="1" applyFill="1"/>
    <xf numFmtId="164" fontId="0" fillId="0" borderId="0" xfId="0" applyNumberFormat="1" applyAlignment="1">
      <alignment horizontal="left" indent="2"/>
    </xf>
    <xf numFmtId="164" fontId="0" fillId="0" borderId="0" xfId="0" applyNumberFormat="1" applyAlignment="1">
      <alignment horizontal="left"/>
    </xf>
    <xf numFmtId="164" fontId="0" fillId="6" borderId="0" xfId="0" applyNumberFormat="1" applyFill="1" applyBorder="1" applyAlignment="1">
      <alignment horizontal="left"/>
    </xf>
    <xf numFmtId="2" fontId="0" fillId="0" borderId="0" xfId="0" applyNumberFormat="1" applyAlignment="1"/>
    <xf numFmtId="164" fontId="0" fillId="0" borderId="0" xfId="0" applyNumberFormat="1" applyBorder="1" applyAlignment="1">
      <alignment horizontal="left"/>
    </xf>
    <xf numFmtId="9" fontId="0" fillId="0" borderId="0" xfId="1" applyFont="1"/>
    <xf numFmtId="9" fontId="0" fillId="0" borderId="0" xfId="1" applyFont="1" applyAlignment="1">
      <alignment horizontal="left"/>
    </xf>
    <xf numFmtId="0" fontId="35" fillId="0" borderId="0" xfId="0" applyFont="1" applyFill="1" applyBorder="1" applyAlignment="1">
      <alignment horizontal="right" vertical="center" wrapText="1"/>
    </xf>
    <xf numFmtId="0" fontId="38" fillId="0" borderId="0" xfId="0" applyFont="1" applyFill="1" applyBorder="1" applyAlignment="1">
      <alignment horizontal="right" vertical="center" wrapText="1"/>
    </xf>
    <xf numFmtId="0" fontId="35" fillId="0" borderId="0" xfId="0" applyFont="1" applyAlignment="1">
      <alignment horizontal="right"/>
    </xf>
    <xf numFmtId="1" fontId="8" fillId="0" borderId="0" xfId="0" applyNumberFormat="1" applyFont="1"/>
    <xf numFmtId="0" fontId="39" fillId="0" borderId="0" xfId="0" applyFont="1"/>
    <xf numFmtId="0" fontId="40" fillId="0" borderId="0" xfId="0" applyFont="1"/>
    <xf numFmtId="0" fontId="41" fillId="0" borderId="0" xfId="0" applyFont="1" applyAlignment="1">
      <alignment horizontal="left"/>
    </xf>
    <xf numFmtId="0" fontId="40" fillId="6" borderId="0" xfId="0" applyFont="1" applyFill="1"/>
    <xf numFmtId="0" fontId="42" fillId="0" borderId="0" xfId="0" applyFont="1" applyAlignment="1">
      <alignment horizontal="center"/>
    </xf>
    <xf numFmtId="0" fontId="43" fillId="0" borderId="0" xfId="0" applyFont="1"/>
    <xf numFmtId="0" fontId="44" fillId="0" borderId="0" xfId="0" applyFont="1" applyAlignment="1">
      <alignment horizontal="right"/>
    </xf>
    <xf numFmtId="0" fontId="44" fillId="0" borderId="0" xfId="0" applyFont="1" applyAlignment="1">
      <alignment horizontal="center" vertical="center"/>
    </xf>
    <xf numFmtId="0" fontId="45" fillId="0" borderId="0" xfId="0" applyFont="1"/>
    <xf numFmtId="0" fontId="46" fillId="0" borderId="0" xfId="0" applyFont="1" applyFill="1" applyBorder="1" applyAlignment="1">
      <alignment horizontal="right"/>
    </xf>
    <xf numFmtId="0" fontId="47" fillId="0" borderId="0" xfId="0" applyFont="1" applyFill="1" applyBorder="1" applyAlignment="1">
      <alignment horizontal="center" vertical="center" wrapText="1"/>
    </xf>
    <xf numFmtId="2" fontId="47" fillId="0" borderId="0" xfId="0" applyNumberFormat="1" applyFont="1" applyBorder="1" applyAlignment="1">
      <alignment horizontal="center"/>
    </xf>
    <xf numFmtId="0" fontId="44" fillId="0" borderId="0" xfId="0" applyFont="1" applyAlignment="1">
      <alignment horizontal="center"/>
    </xf>
    <xf numFmtId="1" fontId="48" fillId="0" borderId="0" xfId="0" applyNumberFormat="1" applyFont="1"/>
    <xf numFmtId="0" fontId="49" fillId="0" borderId="0" xfId="0" applyFont="1" applyBorder="1" applyAlignment="1">
      <alignment horizontal="right"/>
    </xf>
    <xf numFmtId="0" fontId="47" fillId="0" borderId="0" xfId="0" applyFont="1" applyAlignment="1">
      <alignment horizontal="center"/>
    </xf>
    <xf numFmtId="0" fontId="50" fillId="0" borderId="0" xfId="0" applyFont="1" applyAlignment="1">
      <alignment horizontal="center"/>
    </xf>
    <xf numFmtId="164" fontId="50" fillId="0" borderId="0" xfId="0" applyNumberFormat="1" applyFont="1" applyBorder="1" applyAlignment="1">
      <alignment horizontal="center"/>
    </xf>
    <xf numFmtId="0" fontId="44" fillId="0" borderId="0" xfId="0" applyFont="1" applyAlignment="1">
      <alignment horizontal="left"/>
    </xf>
    <xf numFmtId="1" fontId="51" fillId="6" borderId="0" xfId="0" applyNumberFormat="1" applyFont="1" applyFill="1" applyBorder="1"/>
    <xf numFmtId="0" fontId="51" fillId="0" borderId="0" xfId="0" applyFont="1" applyBorder="1" applyAlignment="1">
      <alignment horizontal="center" vertical="center"/>
    </xf>
    <xf numFmtId="1" fontId="51" fillId="0" borderId="0" xfId="0" applyNumberFormat="1" applyFont="1" applyBorder="1" applyAlignment="1">
      <alignment horizontal="left"/>
    </xf>
    <xf numFmtId="0" fontId="51" fillId="6" borderId="0" xfId="0" applyFont="1" applyFill="1" applyBorder="1"/>
    <xf numFmtId="0" fontId="51" fillId="0" borderId="0" xfId="0" applyFont="1" applyBorder="1"/>
    <xf numFmtId="0" fontId="51" fillId="0" borderId="0" xfId="0" applyFont="1"/>
    <xf numFmtId="1" fontId="51" fillId="0" borderId="0" xfId="0" applyNumberFormat="1" applyFont="1"/>
    <xf numFmtId="0" fontId="51" fillId="0" borderId="0" xfId="0" applyFont="1" applyAlignment="1">
      <alignment horizontal="center" vertical="center"/>
    </xf>
    <xf numFmtId="1" fontId="51" fillId="0" borderId="0" xfId="0" applyNumberFormat="1" applyFont="1" applyAlignment="1">
      <alignment horizontal="left"/>
    </xf>
    <xf numFmtId="0" fontId="52" fillId="0" borderId="0" xfId="0" applyFont="1"/>
    <xf numFmtId="0" fontId="53" fillId="0" borderId="0" xfId="0" applyFont="1"/>
    <xf numFmtId="0" fontId="54" fillId="0" borderId="0" xfId="0" applyFont="1" applyAlignment="1">
      <alignment horizontal="center"/>
    </xf>
    <xf numFmtId="0" fontId="55" fillId="0" borderId="0" xfId="0" applyFont="1"/>
    <xf numFmtId="1" fontId="56" fillId="0" borderId="0" xfId="0" applyNumberFormat="1" applyFont="1" applyBorder="1" applyAlignment="1">
      <alignment horizontal="center"/>
    </xf>
    <xf numFmtId="0" fontId="57" fillId="6" borderId="0" xfId="0" applyFont="1" applyFill="1" applyBorder="1"/>
    <xf numFmtId="1" fontId="58" fillId="0" borderId="0" xfId="0" applyNumberFormat="1" applyFont="1"/>
    <xf numFmtId="2" fontId="59" fillId="0" borderId="0" xfId="0" applyNumberFormat="1" applyFont="1" applyAlignment="1">
      <alignment horizontal="right"/>
    </xf>
    <xf numFmtId="0" fontId="6" fillId="3" borderId="0" xfId="0" applyFont="1" applyFill="1" applyBorder="1" applyAlignment="1">
      <alignment horizontal="center" vertical="center"/>
    </xf>
    <xf numFmtId="0" fontId="0" fillId="0" borderId="0" xfId="0" applyAlignment="1">
      <alignment horizontal="center" wrapText="1"/>
    </xf>
    <xf numFmtId="0" fontId="0" fillId="0" borderId="5" xfId="0" applyFill="1" applyBorder="1" applyAlignment="1">
      <alignment horizontal="center" vertical="center"/>
    </xf>
    <xf numFmtId="0" fontId="6" fillId="0" borderId="0" xfId="0" applyFont="1" applyFill="1" applyBorder="1" applyAlignment="1">
      <alignment horizontal="center" vertical="center"/>
    </xf>
    <xf numFmtId="9" fontId="0" fillId="0" borderId="0" xfId="1" applyFont="1" applyFill="1" applyBorder="1"/>
    <xf numFmtId="0" fontId="2" fillId="0" borderId="0" xfId="0" applyFont="1"/>
    <xf numFmtId="2" fontId="2" fillId="0" borderId="1" xfId="0" applyNumberFormat="1" applyFont="1" applyBorder="1" applyAlignment="1">
      <alignment horizontal="right"/>
    </xf>
    <xf numFmtId="166" fontId="2" fillId="0" borderId="1" xfId="0" applyNumberFormat="1" applyFont="1" applyBorder="1" applyAlignment="1">
      <alignment horizontal="right"/>
    </xf>
    <xf numFmtId="0" fontId="8" fillId="0" borderId="1" xfId="0" applyFont="1" applyBorder="1" applyAlignment="1">
      <alignment horizontal="right"/>
    </xf>
    <xf numFmtId="1" fontId="2" fillId="0" borderId="1" xfId="0" applyNumberFormat="1" applyFont="1" applyBorder="1" applyAlignment="1">
      <alignment horizontal="right"/>
    </xf>
    <xf numFmtId="164" fontId="2" fillId="0" borderId="1" xfId="0" applyNumberFormat="1" applyFont="1" applyBorder="1" applyAlignment="1">
      <alignment horizontal="right"/>
    </xf>
    <xf numFmtId="2" fontId="0" fillId="0" borderId="7" xfId="0" applyNumberFormat="1" applyFill="1" applyBorder="1"/>
    <xf numFmtId="2" fontId="0" fillId="0" borderId="8" xfId="0" applyNumberFormat="1" applyFill="1" applyBorder="1"/>
    <xf numFmtId="164" fontId="0" fillId="0" borderId="0" xfId="0" applyNumberFormat="1" applyFill="1"/>
    <xf numFmtId="166" fontId="0" fillId="0" borderId="0" xfId="0" applyNumberFormat="1" applyFill="1"/>
    <xf numFmtId="2" fontId="0" fillId="0" borderId="0" xfId="0" applyNumberFormat="1" applyFill="1"/>
    <xf numFmtId="0" fontId="0" fillId="0" borderId="1" xfId="0" applyFill="1" applyBorder="1"/>
    <xf numFmtId="0" fontId="31" fillId="0" borderId="1" xfId="0" applyFont="1" applyFill="1" applyBorder="1" applyAlignment="1">
      <alignment horizontal="center" vertical="center" wrapText="1"/>
    </xf>
    <xf numFmtId="0" fontId="9" fillId="0" borderId="1" xfId="0" applyFont="1" applyFill="1" applyBorder="1" applyAlignment="1">
      <alignment horizontal="left" wrapText="1"/>
    </xf>
    <xf numFmtId="2" fontId="9" fillId="0" borderId="1" xfId="0" applyNumberFormat="1" applyFont="1" applyFill="1" applyBorder="1" applyAlignment="1">
      <alignment horizontal="left" wrapText="1"/>
    </xf>
    <xf numFmtId="2" fontId="0" fillId="0" borderId="1" xfId="0" applyNumberFormat="1" applyFill="1" applyBorder="1"/>
    <xf numFmtId="9" fontId="16" fillId="0" borderId="1" xfId="0" applyNumberFormat="1" applyFont="1" applyFill="1" applyBorder="1"/>
    <xf numFmtId="164" fontId="16" fillId="0" borderId="1" xfId="0" applyNumberFormat="1" applyFont="1" applyFill="1" applyBorder="1"/>
    <xf numFmtId="1" fontId="16" fillId="0" borderId="1" xfId="0" applyNumberFormat="1" applyFont="1" applyFill="1" applyBorder="1"/>
    <xf numFmtId="164" fontId="16" fillId="0" borderId="1" xfId="0" applyNumberFormat="1" applyFont="1" applyFill="1" applyBorder="1" applyAlignment="1">
      <alignment horizontal="center"/>
    </xf>
    <xf numFmtId="1" fontId="60" fillId="0" borderId="1" xfId="0" applyNumberFormat="1" applyFont="1" applyFill="1" applyBorder="1" applyAlignment="1">
      <alignment horizontal="center"/>
    </xf>
    <xf numFmtId="9" fontId="16" fillId="0" borderId="1" xfId="1" applyFont="1" applyFill="1" applyBorder="1" applyAlignment="1">
      <alignment horizontal="center"/>
    </xf>
    <xf numFmtId="9" fontId="16" fillId="0" borderId="1" xfId="1" applyFont="1" applyFill="1" applyBorder="1"/>
    <xf numFmtId="10" fontId="16" fillId="0" borderId="1" xfId="0" applyNumberFormat="1" applyFont="1" applyFill="1" applyBorder="1"/>
    <xf numFmtId="9" fontId="61" fillId="0" borderId="1" xfId="1" applyFont="1" applyFill="1" applyBorder="1" applyAlignment="1">
      <alignment horizontal="center"/>
    </xf>
    <xf numFmtId="1" fontId="16" fillId="0" borderId="1" xfId="0" applyNumberFormat="1" applyFont="1" applyFill="1" applyBorder="1" applyAlignment="1">
      <alignment horizontal="center"/>
    </xf>
    <xf numFmtId="2" fontId="64" fillId="0" borderId="1" xfId="0" applyNumberFormat="1" applyFont="1" applyFill="1" applyBorder="1"/>
    <xf numFmtId="0" fontId="63" fillId="9" borderId="1" xfId="0" applyFont="1" applyFill="1" applyBorder="1" applyAlignment="1">
      <alignment horizontal="left" wrapText="1"/>
    </xf>
    <xf numFmtId="2" fontId="64" fillId="9" borderId="1" xfId="0" applyNumberFormat="1" applyFont="1" applyFill="1" applyBorder="1"/>
    <xf numFmtId="164" fontId="64" fillId="9" borderId="1" xfId="0" applyNumberFormat="1" applyFont="1" applyFill="1" applyBorder="1"/>
    <xf numFmtId="166" fontId="64" fillId="9" borderId="1" xfId="0" applyNumberFormat="1" applyFont="1" applyFill="1" applyBorder="1"/>
    <xf numFmtId="0" fontId="63" fillId="0" borderId="0" xfId="0" applyFont="1" applyFill="1" applyBorder="1" applyAlignment="1">
      <alignment horizontal="left" wrapText="1"/>
    </xf>
    <xf numFmtId="2" fontId="63" fillId="0" borderId="0" xfId="0" applyNumberFormat="1" applyFont="1" applyFill="1" applyBorder="1" applyAlignment="1">
      <alignment horizontal="right" wrapText="1"/>
    </xf>
    <xf numFmtId="2" fontId="63" fillId="0" borderId="7" xfId="0" applyNumberFormat="1" applyFont="1" applyFill="1" applyBorder="1" applyAlignment="1">
      <alignment horizontal="right" wrapText="1"/>
    </xf>
    <xf numFmtId="2" fontId="63" fillId="0" borderId="8" xfId="0" applyNumberFormat="1" applyFont="1" applyFill="1" applyBorder="1" applyAlignment="1">
      <alignment horizontal="right" wrapText="1"/>
    </xf>
    <xf numFmtId="2" fontId="8" fillId="0" borderId="1" xfId="0" applyNumberFormat="1" applyFont="1" applyFill="1" applyBorder="1"/>
    <xf numFmtId="0" fontId="0" fillId="9" borderId="1" xfId="0" applyFill="1" applyBorder="1"/>
    <xf numFmtId="0" fontId="62" fillId="9" borderId="1" xfId="0" applyFont="1" applyFill="1" applyBorder="1" applyAlignment="1">
      <alignment horizontal="left"/>
    </xf>
    <xf numFmtId="1" fontId="64" fillId="9" borderId="1" xfId="0" applyNumberFormat="1" applyFont="1" applyFill="1" applyBorder="1"/>
    <xf numFmtId="0" fontId="65" fillId="9" borderId="1" xfId="0" applyFont="1" applyFill="1" applyBorder="1" applyAlignment="1">
      <alignment horizontal="left" wrapText="1"/>
    </xf>
    <xf numFmtId="2" fontId="65" fillId="9" borderId="1" xfId="0" applyNumberFormat="1" applyFont="1" applyFill="1" applyBorder="1" applyAlignment="1">
      <alignment horizontal="right" wrapText="1"/>
    </xf>
    <xf numFmtId="0" fontId="66" fillId="0" borderId="1" xfId="0" applyFont="1" applyBorder="1" applyAlignment="1">
      <alignment horizontal="right"/>
    </xf>
    <xf numFmtId="0" fontId="66" fillId="0" borderId="1" xfId="0" applyFont="1" applyFill="1" applyBorder="1" applyAlignment="1">
      <alignment horizontal="right"/>
    </xf>
    <xf numFmtId="0" fontId="67" fillId="0" borderId="1" xfId="0" applyFont="1" applyBorder="1" applyAlignment="1">
      <alignment horizontal="right" wrapText="1"/>
    </xf>
    <xf numFmtId="1" fontId="0" fillId="0" borderId="1" xfId="0" applyNumberFormat="1" applyBorder="1"/>
    <xf numFmtId="2" fontId="8" fillId="0" borderId="1" xfId="0" applyNumberFormat="1" applyFont="1" applyBorder="1"/>
    <xf numFmtId="0" fontId="28" fillId="0" borderId="0" xfId="0" applyFont="1" applyFill="1" applyBorder="1"/>
    <xf numFmtId="2" fontId="28" fillId="0" borderId="0" xfId="0" applyNumberFormat="1" applyFont="1" applyBorder="1" applyAlignment="1">
      <alignment vertical="center"/>
    </xf>
    <xf numFmtId="2" fontId="2" fillId="0" borderId="0" xfId="0" applyNumberFormat="1" applyFont="1" applyBorder="1" applyAlignment="1">
      <alignment vertical="center"/>
    </xf>
    <xf numFmtId="2" fontId="2" fillId="0" borderId="0" xfId="0" applyNumberFormat="1" applyFont="1"/>
    <xf numFmtId="0" fontId="17" fillId="0" borderId="0" xfId="0" applyFont="1" applyBorder="1"/>
    <xf numFmtId="0" fontId="17" fillId="0" borderId="0" xfId="0" applyFont="1" applyFill="1" applyBorder="1"/>
    <xf numFmtId="0" fontId="68" fillId="7" borderId="1" xfId="0" applyFont="1" applyFill="1" applyBorder="1" applyAlignment="1">
      <alignment horizontal="center" vertical="center" wrapText="1"/>
    </xf>
    <xf numFmtId="2" fontId="71" fillId="7" borderId="1" xfId="0" applyNumberFormat="1" applyFont="1" applyFill="1" applyBorder="1"/>
    <xf numFmtId="2" fontId="72" fillId="7" borderId="1" xfId="0" applyNumberFormat="1" applyFont="1" applyFill="1" applyBorder="1" applyAlignment="1">
      <alignment horizontal="right" wrapText="1"/>
    </xf>
    <xf numFmtId="2" fontId="69" fillId="7" borderId="1" xfId="1" applyNumberFormat="1" applyFont="1" applyFill="1" applyBorder="1"/>
    <xf numFmtId="2" fontId="70" fillId="7" borderId="1" xfId="0" applyNumberFormat="1" applyFont="1" applyFill="1" applyBorder="1" applyAlignment="1">
      <alignment horizontal="left"/>
    </xf>
    <xf numFmtId="2" fontId="73" fillId="0" borderId="1" xfId="0" applyNumberFormat="1" applyFont="1" applyFill="1" applyBorder="1"/>
    <xf numFmtId="2" fontId="74" fillId="0" borderId="1" xfId="0" applyNumberFormat="1" applyFont="1" applyFill="1" applyBorder="1"/>
    <xf numFmtId="0" fontId="74" fillId="0" borderId="1" xfId="0" applyFont="1" applyFill="1" applyBorder="1" applyAlignment="1">
      <alignment wrapText="1"/>
    </xf>
    <xf numFmtId="0" fontId="17" fillId="0" borderId="1" xfId="0" applyFont="1" applyBorder="1" applyAlignment="1"/>
    <xf numFmtId="0" fontId="17" fillId="0" borderId="1" xfId="0" applyFont="1" applyFill="1" applyBorder="1" applyAlignment="1"/>
    <xf numFmtId="0" fontId="8" fillId="0" borderId="1" xfId="0" applyFont="1" applyBorder="1" applyAlignment="1"/>
    <xf numFmtId="0" fontId="66" fillId="0" borderId="1" xfId="0" applyFont="1" applyFill="1" applyBorder="1" applyAlignment="1"/>
    <xf numFmtId="0" fontId="66" fillId="0" borderId="1" xfId="0" applyFont="1" applyBorder="1" applyAlignment="1"/>
    <xf numFmtId="0" fontId="8" fillId="0" borderId="1" xfId="0" applyFont="1" applyFill="1" applyBorder="1" applyAlignment="1">
      <alignment wrapText="1"/>
    </xf>
    <xf numFmtId="0" fontId="66" fillId="9" borderId="1" xfId="0" applyFont="1" applyFill="1" applyBorder="1"/>
    <xf numFmtId="0" fontId="17" fillId="9" borderId="1" xfId="0" applyFont="1" applyFill="1" applyBorder="1"/>
    <xf numFmtId="0" fontId="63" fillId="9" borderId="1" xfId="0" applyFont="1" applyFill="1" applyBorder="1" applyAlignment="1">
      <alignment vertical="center" wrapText="1"/>
    </xf>
    <xf numFmtId="0" fontId="66" fillId="9" borderId="1" xfId="0" applyFont="1" applyFill="1" applyBorder="1" applyAlignment="1">
      <alignment vertical="center"/>
    </xf>
    <xf numFmtId="0" fontId="75" fillId="9" borderId="1" xfId="0" applyFont="1" applyFill="1" applyBorder="1"/>
    <xf numFmtId="2" fontId="66" fillId="9" borderId="1" xfId="0" applyNumberFormat="1" applyFont="1" applyFill="1" applyBorder="1"/>
    <xf numFmtId="2" fontId="65" fillId="0" borderId="1" xfId="0" applyNumberFormat="1" applyFont="1" applyFill="1" applyBorder="1" applyAlignment="1">
      <alignment horizontal="right" wrapText="1"/>
    </xf>
    <xf numFmtId="0" fontId="63" fillId="9" borderId="0" xfId="0" applyFont="1" applyFill="1" applyBorder="1" applyAlignment="1">
      <alignment horizontal="left" wrapText="1"/>
    </xf>
    <xf numFmtId="0" fontId="76" fillId="0" borderId="29" xfId="0" applyFont="1" applyBorder="1" applyAlignment="1">
      <alignment horizontal="center" vertical="center" wrapText="1"/>
    </xf>
    <xf numFmtId="0" fontId="76" fillId="0" borderId="29" xfId="0" applyFont="1" applyBorder="1" applyAlignment="1">
      <alignment horizontal="left" vertical="center" wrapText="1" indent="1"/>
    </xf>
    <xf numFmtId="0" fontId="77" fillId="0" borderId="1" xfId="0" applyFont="1" applyFill="1" applyBorder="1" applyAlignment="1">
      <alignment horizontal="left" vertical="center" wrapText="1" indent="1"/>
    </xf>
    <xf numFmtId="0" fontId="76" fillId="0" borderId="0" xfId="0" applyFont="1" applyBorder="1" applyAlignment="1">
      <alignment horizontal="left" vertical="center" wrapText="1" indent="1"/>
    </xf>
    <xf numFmtId="0" fontId="76" fillId="0" borderId="0" xfId="0" applyFont="1" applyBorder="1" applyAlignment="1">
      <alignment horizontal="center" vertical="center" wrapText="1"/>
    </xf>
    <xf numFmtId="0" fontId="77" fillId="0" borderId="1" xfId="0" applyFont="1" applyFill="1" applyBorder="1" applyAlignment="1">
      <alignment horizontal="left" vertical="center" wrapText="1"/>
    </xf>
    <xf numFmtId="0" fontId="75" fillId="0" borderId="1" xfId="0" applyFont="1" applyBorder="1" applyAlignment="1">
      <alignment horizontal="left"/>
    </xf>
    <xf numFmtId="164" fontId="0" fillId="0" borderId="1" xfId="0" applyNumberFormat="1" applyBorder="1" applyAlignment="1">
      <alignment horizontal="left"/>
    </xf>
    <xf numFmtId="2" fontId="0" fillId="0" borderId="1" xfId="0" applyNumberFormat="1" applyBorder="1" applyAlignment="1">
      <alignment horizontal="left"/>
    </xf>
    <xf numFmtId="0" fontId="17" fillId="9" borderId="1" xfId="0" applyFont="1" applyFill="1" applyBorder="1" applyAlignment="1">
      <alignment vertical="center"/>
    </xf>
    <xf numFmtId="2" fontId="17" fillId="9" borderId="1" xfId="0" applyNumberFormat="1" applyFont="1" applyFill="1" applyBorder="1"/>
    <xf numFmtId="0" fontId="78" fillId="0" borderId="0" xfId="0" applyFont="1" applyAlignment="1">
      <alignment horizontal="right"/>
    </xf>
    <xf numFmtId="0" fontId="66" fillId="0" borderId="0" xfId="0" applyFont="1"/>
    <xf numFmtId="2" fontId="0" fillId="6" borderId="0" xfId="0" applyNumberFormat="1" applyFill="1" applyBorder="1" applyAlignment="1">
      <alignment horizontal="left"/>
    </xf>
    <xf numFmtId="2" fontId="0" fillId="0" borderId="0" xfId="0" applyNumberFormat="1" applyAlignment="1">
      <alignment horizontal="left" indent="2"/>
    </xf>
    <xf numFmtId="0" fontId="79" fillId="0" borderId="0" xfId="0" applyFont="1"/>
    <xf numFmtId="164" fontId="79" fillId="0" borderId="0" xfId="0" applyNumberFormat="1" applyFont="1"/>
    <xf numFmtId="2" fontId="8" fillId="0" borderId="0" xfId="0" applyNumberFormat="1" applyFont="1" applyBorder="1"/>
    <xf numFmtId="0" fontId="8" fillId="0" borderId="1" xfId="0" applyFont="1" applyBorder="1"/>
    <xf numFmtId="2" fontId="1" fillId="0" borderId="1" xfId="0" applyNumberFormat="1" applyFont="1" applyBorder="1"/>
    <xf numFmtId="0" fontId="8" fillId="0" borderId="2" xfId="0" applyFont="1" applyFill="1" applyBorder="1" applyAlignment="1">
      <alignment wrapText="1"/>
    </xf>
    <xf numFmtId="2" fontId="8" fillId="0" borderId="2" xfId="0" applyNumberFormat="1" applyFont="1" applyFill="1" applyBorder="1"/>
    <xf numFmtId="0" fontId="66" fillId="9" borderId="2" xfId="0" applyFont="1" applyFill="1" applyBorder="1"/>
    <xf numFmtId="2" fontId="66" fillId="9" borderId="2" xfId="0" applyNumberFormat="1" applyFont="1" applyFill="1" applyBorder="1"/>
    <xf numFmtId="0" fontId="9" fillId="0" borderId="26" xfId="0" applyFont="1" applyFill="1" applyBorder="1" applyAlignment="1">
      <alignment horizontal="left" wrapText="1"/>
    </xf>
    <xf numFmtId="0" fontId="8" fillId="0" borderId="0" xfId="0" applyFont="1" applyFill="1" applyBorder="1" applyAlignment="1">
      <alignment wrapText="1"/>
    </xf>
    <xf numFmtId="0" fontId="26" fillId="0" borderId="0" xfId="0" applyFont="1" applyFill="1" applyBorder="1" applyAlignment="1"/>
    <xf numFmtId="164" fontId="0" fillId="0" borderId="0" xfId="0" applyNumberFormat="1" applyFill="1" applyBorder="1"/>
    <xf numFmtId="1" fontId="0" fillId="0" borderId="0" xfId="0" applyNumberFormat="1" applyFill="1" applyBorder="1"/>
    <xf numFmtId="0" fontId="11" fillId="0" borderId="0" xfId="0" applyFont="1" applyBorder="1"/>
    <xf numFmtId="0" fontId="11" fillId="0" borderId="0" xfId="0" applyFont="1" applyFill="1" applyBorder="1"/>
    <xf numFmtId="2" fontId="17" fillId="0" borderId="0" xfId="0" applyNumberFormat="1" applyFont="1" applyFill="1" applyBorder="1" applyAlignment="1">
      <alignment horizontal="left" wrapText="1"/>
    </xf>
    <xf numFmtId="0" fontId="17" fillId="0" borderId="0" xfId="0" applyFont="1" applyBorder="1" applyAlignment="1">
      <alignment wrapText="1"/>
    </xf>
    <xf numFmtId="1" fontId="16" fillId="0" borderId="0" xfId="0" applyNumberFormat="1" applyFont="1" applyFill="1" applyBorder="1"/>
    <xf numFmtId="0" fontId="9" fillId="0" borderId="0" xfId="0" applyFont="1" applyFill="1" applyBorder="1" applyAlignment="1">
      <alignment horizontal="right" wrapText="1"/>
    </xf>
    <xf numFmtId="0" fontId="8" fillId="0" borderId="0" xfId="0" applyFont="1" applyBorder="1" applyAlignment="1">
      <alignment horizontal="right"/>
    </xf>
    <xf numFmtId="0" fontId="0" fillId="0" borderId="3" xfId="0" applyFill="1" applyBorder="1" applyAlignment="1">
      <alignment horizontal="center"/>
    </xf>
    <xf numFmtId="0" fontId="0" fillId="0" borderId="10" xfId="0" applyFill="1" applyBorder="1" applyAlignment="1">
      <alignment horizontal="center"/>
    </xf>
    <xf numFmtId="0" fontId="0" fillId="0" borderId="1" xfId="0" applyFill="1" applyBorder="1" applyAlignment="1">
      <alignment horizontal="center" vertical="center" wrapText="1"/>
    </xf>
    <xf numFmtId="0" fontId="3" fillId="0" borderId="1" xfId="0" applyFont="1" applyFill="1" applyBorder="1" applyAlignment="1">
      <alignment horizontal="center" vertical="center" wrapText="1"/>
    </xf>
    <xf numFmtId="0" fontId="22" fillId="0" borderId="0" xfId="0" applyFont="1" applyFill="1" applyBorder="1" applyAlignment="1">
      <alignment horizontal="left" vertical="center" wrapText="1"/>
    </xf>
    <xf numFmtId="0" fontId="22" fillId="0" borderId="0" xfId="0" applyFont="1" applyFill="1" applyBorder="1" applyAlignment="1">
      <alignment horizontal="left" vertical="center"/>
    </xf>
    <xf numFmtId="0" fontId="2" fillId="0" borderId="1" xfId="0" applyFont="1" applyFill="1" applyBorder="1" applyAlignment="1">
      <alignment horizontal="center" vertical="center"/>
    </xf>
    <xf numFmtId="0" fontId="3" fillId="0" borderId="1" xfId="0" applyFont="1" applyFill="1" applyBorder="1" applyAlignment="1">
      <alignment horizontal="center" vertical="center"/>
    </xf>
    <xf numFmtId="0" fontId="0" fillId="0" borderId="3" xfId="0" applyFill="1" applyBorder="1" applyAlignment="1">
      <alignment horizontal="center" vertical="center" wrapText="1"/>
    </xf>
    <xf numFmtId="0" fontId="0" fillId="0" borderId="10" xfId="0" applyFill="1" applyBorder="1" applyAlignment="1">
      <alignment horizontal="center" vertical="center" wrapText="1"/>
    </xf>
    <xf numFmtId="0" fontId="6" fillId="3" borderId="0" xfId="0" applyFont="1" applyFill="1" applyBorder="1" applyAlignment="1">
      <alignment horizontal="center" vertical="center"/>
    </xf>
    <xf numFmtId="0" fontId="0" fillId="0" borderId="0" xfId="0" applyAlignment="1">
      <alignment horizontal="center" wrapText="1"/>
    </xf>
    <xf numFmtId="0" fontId="22" fillId="0" borderId="1" xfId="0" applyFont="1" applyBorder="1" applyAlignment="1">
      <alignment horizontal="left" vertical="center" wrapText="1"/>
    </xf>
    <xf numFmtId="0" fontId="22" fillId="0" borderId="1" xfId="0" applyFont="1" applyFill="1" applyBorder="1" applyAlignment="1">
      <alignment horizontal="left" vertical="center"/>
    </xf>
    <xf numFmtId="0" fontId="22" fillId="0" borderId="1" xfId="0" applyFont="1" applyBorder="1" applyAlignment="1">
      <alignment horizontal="center" vertical="center"/>
    </xf>
    <xf numFmtId="0" fontId="22" fillId="0" borderId="1" xfId="0" applyFont="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cellXfs>
  <cellStyles count="4">
    <cellStyle name="Normal" xfId="0" builtinId="0"/>
    <cellStyle name="Percent" xfId="1" builtinId="5"/>
    <cellStyle name="Обычный 3" xfId="3" xr:uid="{00000000-0005-0000-0000-000001000000}"/>
    <cellStyle name="Обычный 6" xfId="2" xr:uid="{00000000-0005-0000-0000-000002000000}"/>
  </cellStyles>
  <dxfs count="25">
    <dxf>
      <numFmt numFmtId="2" formatCode="0.00"/>
      <border diagonalUp="0" diagonalDown="0">
        <left style="thin">
          <color indexed="64"/>
        </left>
        <right style="thin">
          <color indexed="64"/>
        </right>
        <top style="thin">
          <color indexed="64"/>
        </top>
        <bottom/>
        <vertical/>
        <horizontal/>
      </border>
    </dxf>
    <dxf>
      <numFmt numFmtId="2" formatCode="0.00"/>
      <border diagonalUp="0" diagonalDown="0">
        <left style="thin">
          <color indexed="64"/>
        </left>
        <right style="thin">
          <color indexed="64"/>
        </right>
        <top style="thin">
          <color indexed="64"/>
        </top>
        <bottom/>
        <vertical/>
        <horizontal/>
      </border>
    </dxf>
    <dxf>
      <numFmt numFmtId="2" formatCode="0.00"/>
      <border diagonalUp="0" diagonalDown="0">
        <left style="thin">
          <color indexed="64"/>
        </left>
        <right style="thin">
          <color indexed="64"/>
        </right>
        <top style="thin">
          <color indexed="64"/>
        </top>
        <bottom/>
        <vertical/>
        <horizontal/>
      </border>
    </dxf>
    <dxf>
      <numFmt numFmtId="2" formatCode="0.00"/>
      <border diagonalUp="0" diagonalDown="0">
        <left style="thin">
          <color indexed="64"/>
        </left>
        <right style="thin">
          <color indexed="64"/>
        </right>
        <top style="thin">
          <color indexed="64"/>
        </top>
        <bottom/>
        <vertical/>
        <horizontal/>
      </border>
    </dxf>
    <dxf>
      <numFmt numFmtId="2" formatCode="0.00"/>
      <border diagonalUp="0" diagonalDown="0">
        <left style="thin">
          <color indexed="64"/>
        </left>
        <right style="thin">
          <color indexed="64"/>
        </right>
        <top style="thin">
          <color indexed="64"/>
        </top>
        <bottom/>
        <vertical/>
        <horizontal/>
      </border>
    </dxf>
    <dxf>
      <numFmt numFmtId="2" formatCode="0.00"/>
    </dxf>
    <dxf>
      <numFmt numFmtId="2" formatCode="0.00"/>
      <border diagonalUp="0" diagonalDown="0">
        <left style="thin">
          <color indexed="64"/>
        </left>
        <right style="thin">
          <color indexed="64"/>
        </right>
        <top style="thin">
          <color indexed="64"/>
        </top>
        <bottom/>
        <vertical/>
        <horizontal/>
      </border>
    </dxf>
    <dxf>
      <numFmt numFmtId="2" formatCode="0.00"/>
      <border diagonalUp="0" diagonalDown="0">
        <left style="thin">
          <color indexed="64"/>
        </left>
        <right style="thin">
          <color indexed="64"/>
        </right>
        <top style="thin">
          <color indexed="64"/>
        </top>
        <bottom/>
        <vertical/>
        <horizontal/>
      </border>
    </dxf>
    <dxf>
      <numFmt numFmtId="2" formatCode="0.00"/>
      <border diagonalUp="0" diagonalDown="0">
        <left style="thin">
          <color indexed="64"/>
        </left>
        <right style="thin">
          <color indexed="64"/>
        </right>
        <top style="thin">
          <color indexed="64"/>
        </top>
        <bottom/>
        <vertical/>
        <horizontal/>
      </border>
    </dxf>
    <dxf>
      <numFmt numFmtId="2" formatCode="0.00"/>
    </dxf>
    <dxf>
      <numFmt numFmtId="2" formatCode="0.00"/>
      <border diagonalUp="0" diagonalDown="0">
        <left style="thin">
          <color indexed="64"/>
        </left>
        <right style="thin">
          <color indexed="64"/>
        </right>
        <top style="thin">
          <color indexed="64"/>
        </top>
        <bottom/>
        <vertical/>
        <horizontal/>
      </border>
    </dxf>
    <dxf>
      <numFmt numFmtId="2" formatCode="0.00"/>
      <border diagonalUp="0" diagonalDown="0">
        <left style="thin">
          <color indexed="64"/>
        </left>
        <right style="thin">
          <color indexed="64"/>
        </right>
        <top style="thin">
          <color indexed="64"/>
        </top>
        <bottom/>
        <vertical/>
        <horizontal/>
      </border>
    </dxf>
    <dxf>
      <numFmt numFmtId="2" formatCode="0.00"/>
      <border diagonalUp="0" diagonalDown="0">
        <left style="thin">
          <color indexed="64"/>
        </left>
        <right style="thin">
          <color indexed="64"/>
        </right>
        <top style="thin">
          <color indexed="64"/>
        </top>
        <bottom/>
        <vertical/>
        <horizontal/>
      </border>
    </dxf>
    <dxf>
      <numFmt numFmtId="2" formatCode="0.00"/>
      <border diagonalUp="0" diagonalDown="0">
        <left style="thin">
          <color indexed="64"/>
        </left>
        <right style="thin">
          <color indexed="64"/>
        </right>
        <top style="thin">
          <color indexed="64"/>
        </top>
        <bottom/>
        <vertical/>
        <horizontal/>
      </border>
    </dxf>
    <dxf>
      <numFmt numFmtId="2" formatCode="0.00"/>
    </dxf>
    <dxf>
      <numFmt numFmtId="2" formatCode="0.00"/>
      <border diagonalUp="0" diagonalDown="0">
        <left/>
        <right style="thin">
          <color indexed="64"/>
        </right>
        <top/>
        <bottom/>
        <vertical/>
        <horizontal/>
      </border>
    </dxf>
    <dxf>
      <numFmt numFmtId="2" formatCode="0.00"/>
      <border diagonalUp="0" diagonalDown="0">
        <left style="thin">
          <color indexed="64"/>
        </left>
        <right/>
        <top/>
        <bottom/>
        <vertical/>
        <horizontal/>
      </border>
    </dxf>
    <dxf>
      <font>
        <b val="0"/>
        <i val="0"/>
        <strike val="0"/>
        <condense val="0"/>
        <extend val="0"/>
        <outline val="0"/>
        <shadow val="0"/>
        <u val="none"/>
        <vertAlign val="baseline"/>
        <sz val="10"/>
        <color auto="1"/>
        <name val="Times New Roman"/>
        <scheme val="none"/>
      </font>
      <alignment horizontal="left" vertical="bottom"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Times New Roman"/>
        <scheme val="none"/>
      </font>
      <alignment horizontal="left" vertical="bottom" textRotation="0" wrapText="1" indent="0" justifyLastLine="0" shrinkToFit="0" readingOrder="0"/>
      <border diagonalUp="0" diagonalDown="0">
        <left style="thin">
          <color indexed="64"/>
        </left>
        <right/>
        <top style="thin">
          <color indexed="64"/>
        </top>
        <bottom style="thin">
          <color indexed="64"/>
        </bottom>
        <vertical/>
        <horizontal/>
      </border>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9933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radarChart>
        <c:radarStyle val="marker"/>
        <c:varyColors val="0"/>
        <c:ser>
          <c:idx val="1"/>
          <c:order val="0"/>
          <c:tx>
            <c:strRef>
              <c:f>Дашборд_сравнение!$B$11</c:f>
              <c:strCache>
                <c:ptCount val="1"/>
                <c:pt idx="0">
                  <c:v>Рязанская</c:v>
                </c:pt>
              </c:strCache>
            </c:strRef>
          </c:tx>
          <c:spPr>
            <a:ln w="34925" cap="rnd">
              <a:solidFill>
                <a:schemeClr val="accent4">
                  <a:lumMod val="60000"/>
                  <a:lumOff val="40000"/>
                </a:schemeClr>
              </a:solidFill>
              <a:round/>
            </a:ln>
            <a:effectLst>
              <a:outerShdw blurRad="57150" dist="19050" dir="5400000" algn="ctr" rotWithShape="0">
                <a:srgbClr val="000000">
                  <a:alpha val="63000"/>
                </a:srgbClr>
              </a:outerShdw>
            </a:effectLst>
          </c:spPr>
          <c:marker>
            <c:symbol val="none"/>
          </c:marker>
          <c:cat>
            <c:strRef>
              <c:f>Дашборд_сравнение!$C$20:$C$26</c:f>
              <c:strCache>
                <c:ptCount val="7"/>
                <c:pt idx="0">
                  <c:v>злоупотребление алкоголем</c:v>
                </c:pt>
                <c:pt idx="1">
                  <c:v>тяжелое материальное положение</c:v>
                </c:pt>
                <c:pt idx="2">
                  <c:v>заболевание/инвалидность родителя</c:v>
                </c:pt>
                <c:pt idx="3">
                  <c:v>заболевание/инвалидность ребенка</c:v>
                </c:pt>
                <c:pt idx="4">
                  <c:v>миграция (БД)</c:v>
                </c:pt>
                <c:pt idx="5">
                  <c:v>неполная семья</c:v>
                </c:pt>
                <c:pt idx="6">
                  <c:v>многодетная семья</c:v>
                </c:pt>
              </c:strCache>
            </c:strRef>
          </c:cat>
          <c:val>
            <c:numRef>
              <c:f>Таблица_сравнение!$F$14:$F$20</c:f>
              <c:numCache>
                <c:formatCode>0</c:formatCode>
                <c:ptCount val="7"/>
                <c:pt idx="0">
                  <c:v>27.604767541874665</c:v>
                </c:pt>
                <c:pt idx="1">
                  <c:v>91.383897185524191</c:v>
                </c:pt>
                <c:pt idx="2">
                  <c:v>27.868586145380714</c:v>
                </c:pt>
                <c:pt idx="3">
                  <c:v>0</c:v>
                </c:pt>
                <c:pt idx="4">
                  <c:v>1.3673783831852289</c:v>
                </c:pt>
                <c:pt idx="5">
                  <c:v>86.135576844480866</c:v>
                </c:pt>
                <c:pt idx="6">
                  <c:v>43.755757269512529</c:v>
                </c:pt>
              </c:numCache>
            </c:numRef>
          </c:val>
          <c:extLst>
            <c:ext xmlns:c16="http://schemas.microsoft.com/office/drawing/2014/chart" uri="{C3380CC4-5D6E-409C-BE32-E72D297353CC}">
              <c16:uniqueId val="{00000001-14D6-4653-9821-4A2B0C573E87}"/>
            </c:ext>
          </c:extLst>
        </c:ser>
        <c:ser>
          <c:idx val="2"/>
          <c:order val="1"/>
          <c:tx>
            <c:strRef>
              <c:f>Дашборд_сравнение!$B$14</c:f>
              <c:strCache>
                <c:ptCount val="1"/>
                <c:pt idx="0">
                  <c:v>Новосибирская</c:v>
                </c:pt>
              </c:strCache>
            </c:strRef>
          </c:tx>
          <c:spPr>
            <a:ln w="34925" cap="rnd">
              <a:solidFill>
                <a:schemeClr val="accent2">
                  <a:lumMod val="75000"/>
                </a:schemeClr>
              </a:solidFill>
              <a:round/>
            </a:ln>
            <a:effectLst>
              <a:outerShdw blurRad="63500" sx="102000" sy="102000" algn="ctr" rotWithShape="0">
                <a:prstClr val="black">
                  <a:alpha val="40000"/>
                </a:prstClr>
              </a:outerShdw>
            </a:effectLst>
          </c:spPr>
          <c:marker>
            <c:symbol val="none"/>
          </c:marker>
          <c:cat>
            <c:strRef>
              <c:f>Дашборд_сравнение!$C$20:$C$26</c:f>
              <c:strCache>
                <c:ptCount val="7"/>
                <c:pt idx="0">
                  <c:v>злоупотребление алкоголем</c:v>
                </c:pt>
                <c:pt idx="1">
                  <c:v>тяжелое материальное положение</c:v>
                </c:pt>
                <c:pt idx="2">
                  <c:v>заболевание/инвалидность родителя</c:v>
                </c:pt>
                <c:pt idx="3">
                  <c:v>заболевание/инвалидность ребенка</c:v>
                </c:pt>
                <c:pt idx="4">
                  <c:v>миграция (БД)</c:v>
                </c:pt>
                <c:pt idx="5">
                  <c:v>неполная семья</c:v>
                </c:pt>
                <c:pt idx="6">
                  <c:v>многодетная семья</c:v>
                </c:pt>
              </c:strCache>
            </c:strRef>
          </c:cat>
          <c:val>
            <c:numRef>
              <c:f>Таблица_сравнение!$E$14:$E$20</c:f>
              <c:numCache>
                <c:formatCode>0</c:formatCode>
                <c:ptCount val="7"/>
                <c:pt idx="0">
                  <c:v>27.604767541874665</c:v>
                </c:pt>
                <c:pt idx="1">
                  <c:v>91.383897185524191</c:v>
                </c:pt>
                <c:pt idx="2">
                  <c:v>27.868586145380714</c:v>
                </c:pt>
                <c:pt idx="3">
                  <c:v>0</c:v>
                </c:pt>
                <c:pt idx="4">
                  <c:v>1.3673783831852289</c:v>
                </c:pt>
                <c:pt idx="5">
                  <c:v>86.135576844480866</c:v>
                </c:pt>
                <c:pt idx="6">
                  <c:v>43.755757269512529</c:v>
                </c:pt>
              </c:numCache>
            </c:numRef>
          </c:val>
          <c:extLst>
            <c:ext xmlns:c16="http://schemas.microsoft.com/office/drawing/2014/chart" uri="{C3380CC4-5D6E-409C-BE32-E72D297353CC}">
              <c16:uniqueId val="{00000002-14D6-4653-9821-4A2B0C573E87}"/>
            </c:ext>
          </c:extLst>
        </c:ser>
        <c:dLbls>
          <c:showLegendKey val="0"/>
          <c:showVal val="0"/>
          <c:showCatName val="0"/>
          <c:showSerName val="0"/>
          <c:showPercent val="0"/>
          <c:showBubbleSize val="0"/>
        </c:dLbls>
        <c:axId val="99767040"/>
        <c:axId val="99768576"/>
      </c:radarChart>
      <c:catAx>
        <c:axId val="997670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1">
                    <a:lumMod val="50000"/>
                  </a:schemeClr>
                </a:solidFill>
                <a:latin typeface="+mn-lt"/>
                <a:ea typeface="+mn-ea"/>
                <a:cs typeface="+mn-cs"/>
              </a:defRPr>
            </a:pPr>
            <a:endParaRPr lang="ru-RU"/>
          </a:p>
        </c:txPr>
        <c:crossAx val="99768576"/>
        <c:crosses val="autoZero"/>
        <c:auto val="1"/>
        <c:lblAlgn val="ctr"/>
        <c:lblOffset val="100"/>
        <c:noMultiLvlLbl val="0"/>
      </c:catAx>
      <c:valAx>
        <c:axId val="99768576"/>
        <c:scaling>
          <c:orientation val="minMax"/>
          <c:max val="100"/>
        </c:scaling>
        <c:delete val="0"/>
        <c:axPos val="l"/>
        <c:majorGridlines>
          <c:spPr>
            <a:ln w="9525" cap="flat" cmpd="sng" algn="ctr">
              <a:solidFill>
                <a:schemeClr val="accent1">
                  <a:lumMod val="75000"/>
                  <a:alpha val="31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60000"/>
                    <a:lumOff val="40000"/>
                  </a:schemeClr>
                </a:solidFill>
                <a:latin typeface="+mn-lt"/>
                <a:ea typeface="+mn-ea"/>
                <a:cs typeface="+mn-cs"/>
              </a:defRPr>
            </a:pPr>
            <a:endParaRPr lang="ru-RU"/>
          </a:p>
        </c:txPr>
        <c:crossAx val="99767040"/>
        <c:crosses val="autoZero"/>
        <c:crossBetween val="between"/>
        <c:majorUnit val="25"/>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u-RU"/>
    </a:p>
  </c:txPr>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ru-RU" b="1">
                <a:solidFill>
                  <a:schemeClr val="accent5">
                    <a:lumMod val="50000"/>
                  </a:schemeClr>
                </a:solidFill>
              </a:rPr>
              <a:t>РИСК</a:t>
            </a:r>
            <a:r>
              <a:rPr lang="ru-RU" b="1" baseline="0">
                <a:solidFill>
                  <a:schemeClr val="accent5">
                    <a:lumMod val="50000"/>
                  </a:schemeClr>
                </a:solidFill>
              </a:rPr>
              <a:t> : МАСШТАБ</a:t>
            </a:r>
            <a:endParaRPr lang="en-US" b="1">
              <a:solidFill>
                <a:schemeClr val="accent5">
                  <a:lumMod val="50000"/>
                </a:schemeClr>
              </a:solidFill>
            </a:endParaRPr>
          </a:p>
        </c:rich>
      </c:tx>
      <c:layout>
        <c:manualLayout>
          <c:xMode val="edge"/>
          <c:yMode val="edge"/>
          <c:x val="0.34640974330921798"/>
          <c:y val="0.1658030411639503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ru-RU"/>
        </a:p>
      </c:txPr>
    </c:title>
    <c:autoTitleDeleted val="0"/>
    <c:plotArea>
      <c:layout/>
      <c:barChart>
        <c:barDir val="bar"/>
        <c:grouping val="percentStacked"/>
        <c:varyColors val="0"/>
        <c:ser>
          <c:idx val="0"/>
          <c:order val="0"/>
          <c:spPr>
            <a:solidFill>
              <a:srgbClr val="FF7C80">
                <a:alpha val="55000"/>
              </a:srgbClr>
            </a:solidFill>
            <a:ln>
              <a:noFill/>
            </a:ln>
            <a:effectLst/>
          </c:spPr>
          <c:invertIfNegative val="0"/>
          <c:cat>
            <c:numRef>
              <c:f>Таблица_сравнение__!$J$17:$K$17</c:f>
              <c:numCache>
                <c:formatCode>0.0</c:formatCode>
                <c:ptCount val="2"/>
                <c:pt idx="0" formatCode="General">
                  <c:v>0</c:v>
                </c:pt>
                <c:pt idx="1">
                  <c:v>0</c:v>
                </c:pt>
              </c:numCache>
            </c:numRef>
          </c:cat>
          <c:val>
            <c:numRef>
              <c:f>(Дашборд_сравнение!$E$18,Дашборд_сравнение!$F$18)</c:f>
              <c:numCache>
                <c:formatCode>0</c:formatCode>
                <c:ptCount val="2"/>
                <c:pt idx="0">
                  <c:v>32.513852543679008</c:v>
                </c:pt>
                <c:pt idx="1">
                  <c:v>32.513852543679008</c:v>
                </c:pt>
              </c:numCache>
            </c:numRef>
          </c:val>
          <c:extLst>
            <c:ext xmlns:c16="http://schemas.microsoft.com/office/drawing/2014/chart" uri="{C3380CC4-5D6E-409C-BE32-E72D297353CC}">
              <c16:uniqueId val="{00000000-0DF6-4CB5-9A4C-E727B4B00242}"/>
            </c:ext>
          </c:extLst>
        </c:ser>
        <c:ser>
          <c:idx val="1"/>
          <c:order val="1"/>
          <c:spPr>
            <a:solidFill>
              <a:schemeClr val="accent2">
                <a:lumMod val="60000"/>
                <a:lumOff val="40000"/>
                <a:alpha val="63000"/>
              </a:schemeClr>
            </a:solidFill>
            <a:ln>
              <a:noFill/>
            </a:ln>
            <a:effectLst/>
          </c:spPr>
          <c:invertIfNegative val="0"/>
          <c:cat>
            <c:numRef>
              <c:f>Таблица_сравнение__!$J$17:$K$17</c:f>
              <c:numCache>
                <c:formatCode>0.0</c:formatCode>
                <c:ptCount val="2"/>
                <c:pt idx="0" formatCode="General">
                  <c:v>0</c:v>
                </c:pt>
                <c:pt idx="1">
                  <c:v>0</c:v>
                </c:pt>
              </c:numCache>
            </c:numRef>
          </c:cat>
          <c:val>
            <c:numRef>
              <c:f>(Дашборд_сравнение!$E$28,Дашборд_сравнение!$F$28)</c:f>
              <c:numCache>
                <c:formatCode>0</c:formatCode>
                <c:ptCount val="2"/>
                <c:pt idx="0">
                  <c:v>31.335563095676783</c:v>
                </c:pt>
                <c:pt idx="1">
                  <c:v>31.335563095676783</c:v>
                </c:pt>
              </c:numCache>
            </c:numRef>
          </c:val>
          <c:extLst>
            <c:ext xmlns:c16="http://schemas.microsoft.com/office/drawing/2014/chart" uri="{C3380CC4-5D6E-409C-BE32-E72D297353CC}">
              <c16:uniqueId val="{00000001-0DF6-4CB5-9A4C-E727B4B00242}"/>
            </c:ext>
          </c:extLst>
        </c:ser>
        <c:dLbls>
          <c:showLegendKey val="0"/>
          <c:showVal val="0"/>
          <c:showCatName val="0"/>
          <c:showSerName val="0"/>
          <c:showPercent val="0"/>
          <c:showBubbleSize val="0"/>
        </c:dLbls>
        <c:gapWidth val="168"/>
        <c:overlap val="100"/>
        <c:axId val="99802496"/>
        <c:axId val="101713024"/>
      </c:barChart>
      <c:catAx>
        <c:axId val="99802496"/>
        <c:scaling>
          <c:orientation val="minMax"/>
        </c:scaling>
        <c:delete val="1"/>
        <c:axPos val="l"/>
        <c:numFmt formatCode="General" sourceLinked="1"/>
        <c:majorTickMark val="none"/>
        <c:minorTickMark val="none"/>
        <c:tickLblPos val="nextTo"/>
        <c:crossAx val="101713024"/>
        <c:crosses val="autoZero"/>
        <c:auto val="0"/>
        <c:lblAlgn val="ctr"/>
        <c:lblOffset val="100"/>
        <c:noMultiLvlLbl val="0"/>
      </c:catAx>
      <c:valAx>
        <c:axId val="101713024"/>
        <c:scaling>
          <c:orientation val="minMax"/>
        </c:scaling>
        <c:delete val="1"/>
        <c:axPos val="b"/>
        <c:numFmt formatCode="0%" sourceLinked="1"/>
        <c:majorTickMark val="none"/>
        <c:minorTickMark val="none"/>
        <c:tickLblPos val="none"/>
        <c:crossAx val="9980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u-RU"/>
    </a:p>
  </c:txPr>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radarChart>
        <c:radarStyle val="filled"/>
        <c:varyColors val="0"/>
        <c:ser>
          <c:idx val="0"/>
          <c:order val="0"/>
          <c:spPr>
            <a:solidFill>
              <a:srgbClr val="C00000">
                <a:alpha val="20000"/>
              </a:srgbClr>
            </a:solidFill>
            <a:ln w="50800">
              <a:solidFill>
                <a:srgbClr val="C00000">
                  <a:alpha val="43000"/>
                </a:srgbClr>
              </a:solidFill>
            </a:ln>
            <a:effectLst/>
          </c:spPr>
          <c:dLbls>
            <c:delete val="1"/>
          </c:dLbls>
          <c:cat>
            <c:strRef>
              <c:f>Дашборд!$C$20:$C$26</c:f>
              <c:strCache>
                <c:ptCount val="7"/>
                <c:pt idx="0">
                  <c:v>злоупотребление алкоголем</c:v>
                </c:pt>
                <c:pt idx="1">
                  <c:v>тяжелое материальное положение</c:v>
                </c:pt>
                <c:pt idx="2">
                  <c:v>заболевание/инвалидность родителя</c:v>
                </c:pt>
                <c:pt idx="3">
                  <c:v>заболевание/инвалидность ребенка</c:v>
                </c:pt>
                <c:pt idx="4">
                  <c:v>миграция (БД)</c:v>
                </c:pt>
                <c:pt idx="5">
                  <c:v>неполная семья</c:v>
                </c:pt>
                <c:pt idx="6">
                  <c:v>многодетная семья</c:v>
                </c:pt>
              </c:strCache>
            </c:strRef>
          </c:cat>
          <c:val>
            <c:numRef>
              <c:f>Дашборд!$D$20:$D$26</c:f>
              <c:numCache>
                <c:formatCode>0</c:formatCode>
                <c:ptCount val="7"/>
                <c:pt idx="0">
                  <c:v>66.602170474434573</c:v>
                </c:pt>
                <c:pt idx="1">
                  <c:v>91.350000317347167</c:v>
                </c:pt>
                <c:pt idx="2">
                  <c:v>85.844063174681011</c:v>
                </c:pt>
                <c:pt idx="3">
                  <c:v>60.524410890233874</c:v>
                </c:pt>
                <c:pt idx="4">
                  <c:v>18.51325460276972</c:v>
                </c:pt>
                <c:pt idx="5">
                  <c:v>67.867478338978046</c:v>
                </c:pt>
                <c:pt idx="6">
                  <c:v>29.436457487219904</c:v>
                </c:pt>
              </c:numCache>
            </c:numRef>
          </c:val>
          <c:extLst>
            <c:ext xmlns:c16="http://schemas.microsoft.com/office/drawing/2014/chart" uri="{C3380CC4-5D6E-409C-BE32-E72D297353CC}">
              <c16:uniqueId val="{00000000-BD5E-4A90-AE68-EE481184194C}"/>
            </c:ext>
          </c:extLst>
        </c:ser>
        <c:dLbls>
          <c:showLegendKey val="0"/>
          <c:showVal val="1"/>
          <c:showCatName val="0"/>
          <c:showSerName val="0"/>
          <c:showPercent val="0"/>
          <c:showBubbleSize val="0"/>
        </c:dLbls>
        <c:axId val="103482880"/>
        <c:axId val="103484416"/>
      </c:radarChart>
      <c:catAx>
        <c:axId val="10348288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1200" b="0" i="0" u="none" strike="noStrike" kern="1200" baseline="0">
                <a:ln w="0">
                  <a:solidFill>
                    <a:schemeClr val="tx1">
                      <a:alpha val="29000"/>
                    </a:schemeClr>
                  </a:solidFill>
                </a:ln>
                <a:solidFill>
                  <a:schemeClr val="accent1">
                    <a:lumMod val="50000"/>
                  </a:schemeClr>
                </a:solidFill>
                <a:latin typeface="+mn-lt"/>
                <a:ea typeface="+mn-ea"/>
                <a:cs typeface="+mn-cs"/>
              </a:defRPr>
            </a:pPr>
            <a:endParaRPr lang="ru-RU"/>
          </a:p>
        </c:txPr>
        <c:crossAx val="103484416"/>
        <c:crosses val="autoZero"/>
        <c:auto val="1"/>
        <c:lblAlgn val="ctr"/>
        <c:lblOffset val="100"/>
        <c:noMultiLvlLbl val="0"/>
      </c:catAx>
      <c:valAx>
        <c:axId val="103484416"/>
        <c:scaling>
          <c:orientation val="minMax"/>
          <c:max val="100"/>
        </c:scaling>
        <c:delete val="0"/>
        <c:axPos val="l"/>
        <c:majorGridlines>
          <c:spPr>
            <a:ln w="9525" cap="flat" cmpd="sng" algn="ctr">
              <a:solidFill>
                <a:schemeClr val="accent1">
                  <a:lumMod val="60000"/>
                  <a:lumOff val="40000"/>
                  <a:alpha val="67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ru-RU"/>
          </a:p>
        </c:txPr>
        <c:crossAx val="103482880"/>
        <c:crosses val="autoZero"/>
        <c:crossBetween val="between"/>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u-RU"/>
    </a:p>
  </c:txPr>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2-E6A7-4710-9F23-98E211971E3A}"/>
              </c:ext>
            </c:extLst>
          </c:dPt>
          <c:dPt>
            <c:idx val="1"/>
            <c:invertIfNegative val="0"/>
            <c:bubble3D val="0"/>
            <c:spPr>
              <a:solidFill>
                <a:srgbClr val="FF7C80"/>
              </a:solidFill>
              <a:ln>
                <a:noFill/>
              </a:ln>
              <a:effectLst/>
            </c:spPr>
            <c:extLst>
              <c:ext xmlns:c16="http://schemas.microsoft.com/office/drawing/2014/chart" uri="{C3380CC4-5D6E-409C-BE32-E72D297353CC}">
                <c16:uniqueId val="{00000001-E6A7-4710-9F23-98E211971E3A}"/>
              </c:ext>
            </c:extLst>
          </c:dPt>
          <c:cat>
            <c:strRef>
              <c:f>Таблица!$D$22:$D$23</c:f>
              <c:strCache>
                <c:ptCount val="2"/>
                <c:pt idx="0">
                  <c:v>маштаб</c:v>
                </c:pt>
                <c:pt idx="1">
                  <c:v>риск социального сиротства</c:v>
                </c:pt>
              </c:strCache>
            </c:strRef>
          </c:cat>
          <c:val>
            <c:numRef>
              <c:f>Таблица!$E$22:$E$23</c:f>
              <c:numCache>
                <c:formatCode>0.00</c:formatCode>
                <c:ptCount val="2"/>
                <c:pt idx="0">
                  <c:v>0.336422391683047</c:v>
                </c:pt>
                <c:pt idx="1">
                  <c:v>0.60358472040534883</c:v>
                </c:pt>
              </c:numCache>
            </c:numRef>
          </c:val>
          <c:extLst>
            <c:ext xmlns:c16="http://schemas.microsoft.com/office/drawing/2014/chart" uri="{C3380CC4-5D6E-409C-BE32-E72D297353CC}">
              <c16:uniqueId val="{00000000-E6A7-4710-9F23-98E211971E3A}"/>
            </c:ext>
          </c:extLst>
        </c:ser>
        <c:dLbls>
          <c:showLegendKey val="0"/>
          <c:showVal val="0"/>
          <c:showCatName val="0"/>
          <c:showSerName val="0"/>
          <c:showPercent val="0"/>
          <c:showBubbleSize val="0"/>
        </c:dLbls>
        <c:gapWidth val="150"/>
        <c:overlap val="100"/>
        <c:axId val="103711488"/>
        <c:axId val="103713024"/>
      </c:barChart>
      <c:catAx>
        <c:axId val="10371148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Bahnschrift" panose="020B0502040204020203" pitchFamily="34" charset="0"/>
                <a:ea typeface="+mn-ea"/>
                <a:cs typeface="+mn-cs"/>
              </a:defRPr>
            </a:pPr>
            <a:endParaRPr lang="ru-RU"/>
          </a:p>
        </c:txPr>
        <c:crossAx val="103713024"/>
        <c:crosses val="autoZero"/>
        <c:auto val="1"/>
        <c:lblAlgn val="ctr"/>
        <c:lblOffset val="100"/>
        <c:noMultiLvlLbl val="0"/>
      </c:catAx>
      <c:valAx>
        <c:axId val="10371302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1">
                    <a:lumMod val="50000"/>
                  </a:schemeClr>
                </a:solidFill>
                <a:latin typeface="+mn-lt"/>
                <a:ea typeface="+mn-ea"/>
                <a:cs typeface="+mn-cs"/>
              </a:defRPr>
            </a:pPr>
            <a:endParaRPr lang="ru-RU"/>
          </a:p>
        </c:txPr>
        <c:crossAx val="103711488"/>
        <c:crosses val="autoZero"/>
        <c:crossBetween val="between"/>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ru-RU"/>
    </a:p>
  </c:txPr>
  <c:printSettings>
    <c:headerFooter/>
    <c:pageMargins b="0.75000000000000033" l="0.70000000000000029" r="0.70000000000000029" t="0.75000000000000033" header="0.30000000000000016" footer="0.30000000000000016"/>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57727</xdr:colOff>
      <xdr:row>0</xdr:row>
      <xdr:rowOff>23573</xdr:rowOff>
    </xdr:from>
    <xdr:to>
      <xdr:col>17</xdr:col>
      <xdr:colOff>597472</xdr:colOff>
      <xdr:row>38</xdr:row>
      <xdr:rowOff>115456</xdr:rowOff>
    </xdr:to>
    <xdr:sp macro="" textlink="">
      <xdr:nvSpPr>
        <xdr:cNvPr id="4" name="Half Frame 28">
          <a:extLst>
            <a:ext uri="{FF2B5EF4-FFF2-40B4-BE49-F238E27FC236}">
              <a16:creationId xmlns:a16="http://schemas.microsoft.com/office/drawing/2014/main" id="{24FE06CB-CA8D-4CE1-9BE2-513DD5AD6ED2}"/>
            </a:ext>
          </a:extLst>
        </xdr:cNvPr>
        <xdr:cNvSpPr/>
      </xdr:nvSpPr>
      <xdr:spPr>
        <a:xfrm flipH="1">
          <a:off x="57727" y="23573"/>
          <a:ext cx="11404018" cy="7769610"/>
        </a:xfrm>
        <a:prstGeom prst="halfFrame">
          <a:avLst>
            <a:gd name="adj1" fmla="val 879"/>
            <a:gd name="adj2" fmla="val 958"/>
          </a:avLst>
        </a:prstGeom>
        <a:solidFill>
          <a:schemeClr val="accent5">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50000"/>
              </a:schemeClr>
            </a:solidFill>
          </a:endParaRPr>
        </a:p>
      </xdr:txBody>
    </xdr:sp>
    <xdr:clientData/>
  </xdr:twoCellAnchor>
  <xdr:twoCellAnchor>
    <xdr:from>
      <xdr:col>0</xdr:col>
      <xdr:colOff>0</xdr:colOff>
      <xdr:row>0</xdr:row>
      <xdr:rowOff>69273</xdr:rowOff>
    </xdr:from>
    <xdr:to>
      <xdr:col>17</xdr:col>
      <xdr:colOff>588817</xdr:colOff>
      <xdr:row>39</xdr:row>
      <xdr:rowOff>1412</xdr:rowOff>
    </xdr:to>
    <xdr:sp macro="" textlink="">
      <xdr:nvSpPr>
        <xdr:cNvPr id="5" name="Half Frame 28">
          <a:extLst>
            <a:ext uri="{FF2B5EF4-FFF2-40B4-BE49-F238E27FC236}">
              <a16:creationId xmlns:a16="http://schemas.microsoft.com/office/drawing/2014/main" id="{0BC654E7-FD7B-4C13-A468-16CEF5A8BB0D}"/>
            </a:ext>
          </a:extLst>
        </xdr:cNvPr>
        <xdr:cNvSpPr/>
      </xdr:nvSpPr>
      <xdr:spPr>
        <a:xfrm rot="10800000" flipH="1">
          <a:off x="0" y="69273"/>
          <a:ext cx="11453090" cy="7794594"/>
        </a:xfrm>
        <a:prstGeom prst="halfFrame">
          <a:avLst>
            <a:gd name="adj1" fmla="val 728"/>
            <a:gd name="adj2" fmla="val 958"/>
          </a:avLst>
        </a:prstGeom>
        <a:solidFill>
          <a:schemeClr val="accent1">
            <a:lumMod val="7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lumMod val="75000"/>
              </a:schemeClr>
            </a:solidFill>
          </a:endParaRPr>
        </a:p>
      </xdr:txBody>
    </xdr:sp>
    <xdr:clientData/>
  </xdr:twoCellAnchor>
  <xdr:twoCellAnchor>
    <xdr:from>
      <xdr:col>2</xdr:col>
      <xdr:colOff>2348675</xdr:colOff>
      <xdr:row>4</xdr:row>
      <xdr:rowOff>160806</xdr:rowOff>
    </xdr:from>
    <xdr:to>
      <xdr:col>14</xdr:col>
      <xdr:colOff>290471</xdr:colOff>
      <xdr:row>4</xdr:row>
      <xdr:rowOff>160806</xdr:rowOff>
    </xdr:to>
    <xdr:cxnSp macro="">
      <xdr:nvCxnSpPr>
        <xdr:cNvPr id="6" name="Straight Connector 5">
          <a:extLst>
            <a:ext uri="{FF2B5EF4-FFF2-40B4-BE49-F238E27FC236}">
              <a16:creationId xmlns:a16="http://schemas.microsoft.com/office/drawing/2014/main" id="{E27F1EFE-A129-47C2-94E8-CD46F1FB8EFD}"/>
            </a:ext>
          </a:extLst>
        </xdr:cNvPr>
        <xdr:cNvCxnSpPr/>
      </xdr:nvCxnSpPr>
      <xdr:spPr>
        <a:xfrm>
          <a:off x="3313875" y="897406"/>
          <a:ext cx="4590246" cy="0"/>
        </a:xfrm>
        <a:prstGeom prst="line">
          <a:avLst/>
        </a:prstGeom>
        <a:ln>
          <a:solidFill>
            <a:schemeClr val="accent5">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236924</xdr:colOff>
      <xdr:row>28</xdr:row>
      <xdr:rowOff>0</xdr:rowOff>
    </xdr:from>
    <xdr:to>
      <xdr:col>6</xdr:col>
      <xdr:colOff>46181</xdr:colOff>
      <xdr:row>28</xdr:row>
      <xdr:rowOff>9071</xdr:rowOff>
    </xdr:to>
    <xdr:cxnSp macro="">
      <xdr:nvCxnSpPr>
        <xdr:cNvPr id="7" name="Straight Connector 6">
          <a:extLst>
            <a:ext uri="{FF2B5EF4-FFF2-40B4-BE49-F238E27FC236}">
              <a16:creationId xmlns:a16="http://schemas.microsoft.com/office/drawing/2014/main" id="{6A7B08DF-9B71-406A-8E6E-6B2598FEB288}"/>
            </a:ext>
          </a:extLst>
        </xdr:cNvPr>
        <xdr:cNvCxnSpPr/>
      </xdr:nvCxnSpPr>
      <xdr:spPr>
        <a:xfrm flipV="1">
          <a:off x="1206742" y="5691909"/>
          <a:ext cx="4415894" cy="9071"/>
        </a:xfrm>
        <a:prstGeom prst="line">
          <a:avLst/>
        </a:prstGeom>
        <a:ln>
          <a:solidFill>
            <a:schemeClr val="accent5">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4791</xdr:colOff>
      <xdr:row>3</xdr:row>
      <xdr:rowOff>51081</xdr:rowOff>
    </xdr:from>
    <xdr:to>
      <xdr:col>15</xdr:col>
      <xdr:colOff>23090</xdr:colOff>
      <xdr:row>6</xdr:row>
      <xdr:rowOff>127000</xdr:rowOff>
    </xdr:to>
    <xdr:sp macro="" textlink="">
      <xdr:nvSpPr>
        <xdr:cNvPr id="8" name="TextBox 7">
          <a:extLst>
            <a:ext uri="{FF2B5EF4-FFF2-40B4-BE49-F238E27FC236}">
              <a16:creationId xmlns:a16="http://schemas.microsoft.com/office/drawing/2014/main" id="{004E4256-31C7-443A-AD2A-58F059333ADE}"/>
            </a:ext>
          </a:extLst>
        </xdr:cNvPr>
        <xdr:cNvSpPr txBox="1"/>
      </xdr:nvSpPr>
      <xdr:spPr>
        <a:xfrm>
          <a:off x="3410700" y="605263"/>
          <a:ext cx="6252845" cy="630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600" b="1">
              <a:solidFill>
                <a:schemeClr val="accent5">
                  <a:lumMod val="50000"/>
                </a:schemeClr>
              </a:solidFill>
              <a:latin typeface="Bahnschrift" panose="020B0502040204020203" pitchFamily="34" charset="0"/>
            </a:rPr>
            <a:t>Профиль</a:t>
          </a:r>
          <a:r>
            <a:rPr lang="ru-RU" sz="1600" b="1" baseline="0">
              <a:solidFill>
                <a:schemeClr val="accent5">
                  <a:lumMod val="50000"/>
                </a:schemeClr>
              </a:solidFill>
              <a:latin typeface="Bahnschrift" panose="020B0502040204020203" pitchFamily="34" charset="0"/>
            </a:rPr>
            <a:t> риска социального сиротства в двух регионах</a:t>
          </a:r>
          <a:endParaRPr lang="en-US" sz="1600" b="1">
            <a:solidFill>
              <a:schemeClr val="accent5">
                <a:lumMod val="50000"/>
              </a:schemeClr>
            </a:solidFill>
            <a:latin typeface="Bahnschrift" panose="020B0502040204020203" pitchFamily="34" charset="0"/>
          </a:endParaRPr>
        </a:p>
      </xdr:txBody>
    </xdr:sp>
    <xdr:clientData/>
  </xdr:twoCellAnchor>
  <xdr:twoCellAnchor>
    <xdr:from>
      <xdr:col>2</xdr:col>
      <xdr:colOff>269875</xdr:colOff>
      <xdr:row>18</xdr:row>
      <xdr:rowOff>10143</xdr:rowOff>
    </xdr:from>
    <xdr:to>
      <xdr:col>6</xdr:col>
      <xdr:colOff>4329</xdr:colOff>
      <xdr:row>18</xdr:row>
      <xdr:rowOff>10143</xdr:rowOff>
    </xdr:to>
    <xdr:cxnSp macro="">
      <xdr:nvCxnSpPr>
        <xdr:cNvPr id="9" name="Straight Connector 8">
          <a:extLst>
            <a:ext uri="{FF2B5EF4-FFF2-40B4-BE49-F238E27FC236}">
              <a16:creationId xmlns:a16="http://schemas.microsoft.com/office/drawing/2014/main" id="{DEAE8E76-993C-45EF-9DD0-2860310FDA0D}"/>
            </a:ext>
          </a:extLst>
        </xdr:cNvPr>
        <xdr:cNvCxnSpPr/>
      </xdr:nvCxnSpPr>
      <xdr:spPr>
        <a:xfrm>
          <a:off x="1222375" y="3486768"/>
          <a:ext cx="4417579" cy="0"/>
        </a:xfrm>
        <a:prstGeom prst="line">
          <a:avLst/>
        </a:prstGeom>
        <a:ln>
          <a:solidFill>
            <a:schemeClr val="accent5">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404091</xdr:colOff>
      <xdr:row>15</xdr:row>
      <xdr:rowOff>30062</xdr:rowOff>
    </xdr:from>
    <xdr:to>
      <xdr:col>6</xdr:col>
      <xdr:colOff>138545</xdr:colOff>
      <xdr:row>15</xdr:row>
      <xdr:rowOff>57728</xdr:rowOff>
    </xdr:to>
    <xdr:cxnSp macro="">
      <xdr:nvCxnSpPr>
        <xdr:cNvPr id="10" name="Straight Connector 9">
          <a:extLst>
            <a:ext uri="{FF2B5EF4-FFF2-40B4-BE49-F238E27FC236}">
              <a16:creationId xmlns:a16="http://schemas.microsoft.com/office/drawing/2014/main" id="{D70453CE-1197-4046-B2EE-84CC0F8B417F}"/>
            </a:ext>
          </a:extLst>
        </xdr:cNvPr>
        <xdr:cNvCxnSpPr/>
      </xdr:nvCxnSpPr>
      <xdr:spPr>
        <a:xfrm>
          <a:off x="762000" y="2800971"/>
          <a:ext cx="4953000" cy="27666"/>
        </a:xfrm>
        <a:prstGeom prst="line">
          <a:avLst/>
        </a:prstGeom>
        <a:ln>
          <a:solidFill>
            <a:schemeClr val="accent5">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1385543</xdr:colOff>
      <xdr:row>24</xdr:row>
      <xdr:rowOff>182517</xdr:rowOff>
    </xdr:from>
    <xdr:to>
      <xdr:col>22</xdr:col>
      <xdr:colOff>1442693</xdr:colOff>
      <xdr:row>25</xdr:row>
      <xdr:rowOff>52902</xdr:rowOff>
    </xdr:to>
    <xdr:sp macro="" textlink="">
      <xdr:nvSpPr>
        <xdr:cNvPr id="14" name="Oval 13">
          <a:extLst>
            <a:ext uri="{FF2B5EF4-FFF2-40B4-BE49-F238E27FC236}">
              <a16:creationId xmlns:a16="http://schemas.microsoft.com/office/drawing/2014/main" id="{6FC20FD9-6F5B-4526-8C78-BC6DAFFF278C}"/>
            </a:ext>
          </a:extLst>
        </xdr:cNvPr>
        <xdr:cNvSpPr/>
      </xdr:nvSpPr>
      <xdr:spPr>
        <a:xfrm>
          <a:off x="966443" y="2392317"/>
          <a:ext cx="0" cy="54535"/>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704273</xdr:colOff>
      <xdr:row>17</xdr:row>
      <xdr:rowOff>121606</xdr:rowOff>
    </xdr:from>
    <xdr:to>
      <xdr:col>17</xdr:col>
      <xdr:colOff>308841</xdr:colOff>
      <xdr:row>35</xdr:row>
      <xdr:rowOff>69273</xdr:rowOff>
    </xdr:to>
    <xdr:graphicFrame macro="">
      <xdr:nvGraphicFramePr>
        <xdr:cNvPr id="18" name="Chart 17">
          <a:extLst>
            <a:ext uri="{FF2B5EF4-FFF2-40B4-BE49-F238E27FC236}">
              <a16:creationId xmlns:a16="http://schemas.microsoft.com/office/drawing/2014/main" id="{9CB28BCE-4162-4E78-AD7A-B90EDDFCB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277093</xdr:colOff>
      <xdr:row>6</xdr:row>
      <xdr:rowOff>34635</xdr:rowOff>
    </xdr:from>
    <xdr:to>
      <xdr:col>6</xdr:col>
      <xdr:colOff>173183</xdr:colOff>
      <xdr:row>16</xdr:row>
      <xdr:rowOff>23092</xdr:rowOff>
    </xdr:to>
    <xdr:graphicFrame macro="">
      <xdr:nvGraphicFramePr>
        <xdr:cNvPr id="27" name="Chart 26">
          <a:extLst>
            <a:ext uri="{FF2B5EF4-FFF2-40B4-BE49-F238E27FC236}">
              <a16:creationId xmlns:a16="http://schemas.microsoft.com/office/drawing/2014/main" id="{91948B47-3B79-4D2F-8655-EBD3107D8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95249</xdr:colOff>
      <xdr:row>7</xdr:row>
      <xdr:rowOff>95251</xdr:rowOff>
    </xdr:from>
    <xdr:to>
      <xdr:col>16</xdr:col>
      <xdr:colOff>396874</xdr:colOff>
      <xdr:row>14</xdr:row>
      <xdr:rowOff>127001</xdr:rowOff>
    </xdr:to>
    <mc:AlternateContent xmlns:mc="http://schemas.openxmlformats.org/markup-compatibility/2006" xmlns:a14="http://schemas.microsoft.com/office/drawing/2010/main">
      <mc:Choice Requires="a14">
        <xdr:graphicFrame macro="">
          <xdr:nvGraphicFramePr>
            <xdr:cNvPr id="13" name="РЕГИОН 1">
              <a:extLst>
                <a:ext uri="{FF2B5EF4-FFF2-40B4-BE49-F238E27FC236}">
                  <a16:creationId xmlns:a16="http://schemas.microsoft.com/office/drawing/2014/main" id="{A1C687C9-FEA7-4A0C-8934-0C710D9C052C}"/>
                </a:ext>
              </a:extLst>
            </xdr:cNvPr>
            <xdr:cNvGraphicFramePr/>
          </xdr:nvGraphicFramePr>
          <xdr:xfrm>
            <a:off x="0" y="0"/>
            <a:ext cx="0" cy="0"/>
          </xdr:xfrm>
          <a:graphic>
            <a:graphicData uri="http://schemas.microsoft.com/office/drawing/2010/slicer">
              <sle:slicer xmlns:sle="http://schemas.microsoft.com/office/drawing/2010/slicer" name="РЕГИОН 1"/>
            </a:graphicData>
          </a:graphic>
        </xdr:graphicFrame>
      </mc:Choice>
      <mc:Fallback xmlns="">
        <xdr:sp macro="" textlink="">
          <xdr:nvSpPr>
            <xdr:cNvPr id="0" name=""/>
            <xdr:cNvSpPr>
              <a:spLocks noTextEdit="1"/>
            </xdr:cNvSpPr>
          </xdr:nvSpPr>
          <xdr:spPr>
            <a:xfrm>
              <a:off x="7553613" y="1388342"/>
              <a:ext cx="3084079" cy="1324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1837471</xdr:colOff>
      <xdr:row>16</xdr:row>
      <xdr:rowOff>53058</xdr:rowOff>
    </xdr:from>
    <xdr:to>
      <xdr:col>17</xdr:col>
      <xdr:colOff>602540</xdr:colOff>
      <xdr:row>38</xdr:row>
      <xdr:rowOff>0</xdr:rowOff>
    </xdr:to>
    <xdr:graphicFrame macro="">
      <xdr:nvGraphicFramePr>
        <xdr:cNvPr id="13" name="Chart 12">
          <a:extLst>
            <a:ext uri="{FF2B5EF4-FFF2-40B4-BE49-F238E27FC236}">
              <a16:creationId xmlns:a16="http://schemas.microsoft.com/office/drawing/2014/main" id="{8A6B0EC7-74E1-4240-A68D-99D4C5EE15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57725</xdr:colOff>
      <xdr:row>0</xdr:row>
      <xdr:rowOff>23573</xdr:rowOff>
    </xdr:from>
    <xdr:to>
      <xdr:col>17</xdr:col>
      <xdr:colOff>597470</xdr:colOff>
      <xdr:row>38</xdr:row>
      <xdr:rowOff>127000</xdr:rowOff>
    </xdr:to>
    <xdr:sp macro="" textlink="">
      <xdr:nvSpPr>
        <xdr:cNvPr id="20" name="Half Frame 28">
          <a:extLst>
            <a:ext uri="{FF2B5EF4-FFF2-40B4-BE49-F238E27FC236}">
              <a16:creationId xmlns:a16="http://schemas.microsoft.com/office/drawing/2014/main" id="{DAEB9E53-A0D7-424A-BB03-FDE19B2D889B}"/>
            </a:ext>
          </a:extLst>
        </xdr:cNvPr>
        <xdr:cNvSpPr/>
      </xdr:nvSpPr>
      <xdr:spPr>
        <a:xfrm flipH="1">
          <a:off x="57725" y="23573"/>
          <a:ext cx="10284109" cy="7192336"/>
        </a:xfrm>
        <a:prstGeom prst="halfFrame">
          <a:avLst>
            <a:gd name="adj1" fmla="val 879"/>
            <a:gd name="adj2" fmla="val 958"/>
          </a:avLst>
        </a:prstGeom>
        <a:solidFill>
          <a:schemeClr val="accent1">
            <a:lumMod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0</xdr:colOff>
      <xdr:row>0</xdr:row>
      <xdr:rowOff>80818</xdr:rowOff>
    </xdr:from>
    <xdr:to>
      <xdr:col>17</xdr:col>
      <xdr:colOff>554181</xdr:colOff>
      <xdr:row>39</xdr:row>
      <xdr:rowOff>1413</xdr:rowOff>
    </xdr:to>
    <xdr:sp macro="" textlink="">
      <xdr:nvSpPr>
        <xdr:cNvPr id="22" name="Half Frame 28">
          <a:extLst>
            <a:ext uri="{FF2B5EF4-FFF2-40B4-BE49-F238E27FC236}">
              <a16:creationId xmlns:a16="http://schemas.microsoft.com/office/drawing/2014/main" id="{F5510CD5-5358-42F8-9813-6C7AB554A03E}"/>
            </a:ext>
          </a:extLst>
        </xdr:cNvPr>
        <xdr:cNvSpPr/>
      </xdr:nvSpPr>
      <xdr:spPr>
        <a:xfrm rot="10800000" flipH="1">
          <a:off x="0" y="80818"/>
          <a:ext cx="10251538" cy="7087024"/>
        </a:xfrm>
        <a:prstGeom prst="halfFrame">
          <a:avLst>
            <a:gd name="adj1" fmla="val 826"/>
            <a:gd name="adj2" fmla="val 1223"/>
          </a:avLst>
        </a:prstGeom>
        <a:solidFill>
          <a:schemeClr val="accent1">
            <a:lumMod val="7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xdr:col>
      <xdr:colOff>2348675</xdr:colOff>
      <xdr:row>4</xdr:row>
      <xdr:rowOff>160806</xdr:rowOff>
    </xdr:from>
    <xdr:to>
      <xdr:col>14</xdr:col>
      <xdr:colOff>290471</xdr:colOff>
      <xdr:row>4</xdr:row>
      <xdr:rowOff>160806</xdr:rowOff>
    </xdr:to>
    <xdr:cxnSp macro="">
      <xdr:nvCxnSpPr>
        <xdr:cNvPr id="25" name="Straight Connector 24">
          <a:extLst>
            <a:ext uri="{FF2B5EF4-FFF2-40B4-BE49-F238E27FC236}">
              <a16:creationId xmlns:a16="http://schemas.microsoft.com/office/drawing/2014/main" id="{11DDE3B6-E9B4-4600-8D29-257A554DA370}"/>
            </a:ext>
          </a:extLst>
        </xdr:cNvPr>
        <xdr:cNvCxnSpPr/>
      </xdr:nvCxnSpPr>
      <xdr:spPr>
        <a:xfrm>
          <a:off x="3337461" y="886520"/>
          <a:ext cx="4790724" cy="0"/>
        </a:xfrm>
        <a:prstGeom prst="line">
          <a:avLst/>
        </a:prstGeom>
        <a:ln>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236924</xdr:colOff>
      <xdr:row>28</xdr:row>
      <xdr:rowOff>9071</xdr:rowOff>
    </xdr:from>
    <xdr:to>
      <xdr:col>4</xdr:col>
      <xdr:colOff>37353</xdr:colOff>
      <xdr:row>28</xdr:row>
      <xdr:rowOff>9071</xdr:rowOff>
    </xdr:to>
    <xdr:cxnSp macro="">
      <xdr:nvCxnSpPr>
        <xdr:cNvPr id="26" name="Straight Connector 25">
          <a:extLst>
            <a:ext uri="{FF2B5EF4-FFF2-40B4-BE49-F238E27FC236}">
              <a16:creationId xmlns:a16="http://schemas.microsoft.com/office/drawing/2014/main" id="{922A03DA-F828-4940-BA91-444CCE6F6C67}"/>
            </a:ext>
          </a:extLst>
        </xdr:cNvPr>
        <xdr:cNvCxnSpPr/>
      </xdr:nvCxnSpPr>
      <xdr:spPr>
        <a:xfrm>
          <a:off x="1206742" y="5250707"/>
          <a:ext cx="2698338" cy="0"/>
        </a:xfrm>
        <a:prstGeom prst="line">
          <a:avLst/>
        </a:prstGeom>
        <a:ln>
          <a:solidFill>
            <a:schemeClr val="accent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4791</xdr:colOff>
      <xdr:row>3</xdr:row>
      <xdr:rowOff>51081</xdr:rowOff>
    </xdr:from>
    <xdr:to>
      <xdr:col>14</xdr:col>
      <xdr:colOff>762000</xdr:colOff>
      <xdr:row>6</xdr:row>
      <xdr:rowOff>5722</xdr:rowOff>
    </xdr:to>
    <xdr:sp macro="" textlink="">
      <xdr:nvSpPr>
        <xdr:cNvPr id="28" name="TextBox 27">
          <a:extLst>
            <a:ext uri="{FF2B5EF4-FFF2-40B4-BE49-F238E27FC236}">
              <a16:creationId xmlns:a16="http://schemas.microsoft.com/office/drawing/2014/main" id="{00810269-EF25-499A-AABD-CD2D43D7407F}"/>
            </a:ext>
          </a:extLst>
        </xdr:cNvPr>
        <xdr:cNvSpPr txBox="1"/>
      </xdr:nvSpPr>
      <xdr:spPr>
        <a:xfrm>
          <a:off x="3410700" y="605263"/>
          <a:ext cx="5063664" cy="508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600" b="1">
              <a:solidFill>
                <a:schemeClr val="accent1">
                  <a:lumMod val="50000"/>
                </a:schemeClr>
              </a:solidFill>
              <a:latin typeface="Bahnschrift" panose="020B0502040204020203" pitchFamily="34" charset="0"/>
            </a:rPr>
            <a:t>Профиль</a:t>
          </a:r>
          <a:r>
            <a:rPr lang="ru-RU" sz="1600" b="1" baseline="0">
              <a:solidFill>
                <a:schemeClr val="accent1">
                  <a:lumMod val="50000"/>
                </a:schemeClr>
              </a:solidFill>
              <a:latin typeface="Bahnschrift" panose="020B0502040204020203" pitchFamily="34" charset="0"/>
            </a:rPr>
            <a:t> риска социального сиротства в регионе</a:t>
          </a:r>
          <a:endParaRPr lang="en-US" sz="1600" b="1">
            <a:solidFill>
              <a:schemeClr val="accent1">
                <a:lumMod val="50000"/>
              </a:schemeClr>
            </a:solidFill>
            <a:latin typeface="Bahnschrift" panose="020B0502040204020203" pitchFamily="34" charset="0"/>
          </a:endParaRPr>
        </a:p>
      </xdr:txBody>
    </xdr:sp>
    <xdr:clientData/>
  </xdr:twoCellAnchor>
  <xdr:twoCellAnchor>
    <xdr:from>
      <xdr:col>2</xdr:col>
      <xdr:colOff>254000</xdr:colOff>
      <xdr:row>18</xdr:row>
      <xdr:rowOff>170543</xdr:rowOff>
    </xdr:from>
    <xdr:to>
      <xdr:col>4</xdr:col>
      <xdr:colOff>7262</xdr:colOff>
      <xdr:row>18</xdr:row>
      <xdr:rowOff>170543</xdr:rowOff>
    </xdr:to>
    <xdr:cxnSp macro="">
      <xdr:nvCxnSpPr>
        <xdr:cNvPr id="33" name="Straight Connector 32">
          <a:extLst>
            <a:ext uri="{FF2B5EF4-FFF2-40B4-BE49-F238E27FC236}">
              <a16:creationId xmlns:a16="http://schemas.microsoft.com/office/drawing/2014/main" id="{FCD5591F-807D-4F35-B9B4-37CE30ABB87D}"/>
            </a:ext>
          </a:extLst>
        </xdr:cNvPr>
        <xdr:cNvCxnSpPr/>
      </xdr:nvCxnSpPr>
      <xdr:spPr>
        <a:xfrm>
          <a:off x="1215571" y="3481614"/>
          <a:ext cx="2719620" cy="0"/>
        </a:xfrm>
        <a:prstGeom prst="line">
          <a:avLst/>
        </a:prstGeom>
        <a:ln>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50694</xdr:colOff>
      <xdr:row>7</xdr:row>
      <xdr:rowOff>172723</xdr:rowOff>
    </xdr:from>
    <xdr:to>
      <xdr:col>8</xdr:col>
      <xdr:colOff>170951</xdr:colOff>
      <xdr:row>14</xdr:row>
      <xdr:rowOff>136072</xdr:rowOff>
    </xdr:to>
    <xdr:graphicFrame macro="">
      <xdr:nvGraphicFramePr>
        <xdr:cNvPr id="48" name="Chart 47">
          <a:extLst>
            <a:ext uri="{FF2B5EF4-FFF2-40B4-BE49-F238E27FC236}">
              <a16:creationId xmlns:a16="http://schemas.microsoft.com/office/drawing/2014/main" id="{D822D754-2678-4D79-BB88-C3D834840E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760297</xdr:colOff>
      <xdr:row>12</xdr:row>
      <xdr:rowOff>182391</xdr:rowOff>
    </xdr:from>
    <xdr:to>
      <xdr:col>8</xdr:col>
      <xdr:colOff>20330</xdr:colOff>
      <xdr:row>13</xdr:row>
      <xdr:rowOff>3590</xdr:rowOff>
    </xdr:to>
    <xdr:cxnSp macro="">
      <xdr:nvCxnSpPr>
        <xdr:cNvPr id="52" name="Straight Connector 51">
          <a:extLst>
            <a:ext uri="{FF2B5EF4-FFF2-40B4-BE49-F238E27FC236}">
              <a16:creationId xmlns:a16="http://schemas.microsoft.com/office/drawing/2014/main" id="{76C143F0-672A-45CB-9B75-58CE02E81254}"/>
            </a:ext>
          </a:extLst>
        </xdr:cNvPr>
        <xdr:cNvCxnSpPr>
          <a:cxnSpLocks/>
        </xdr:cNvCxnSpPr>
      </xdr:nvCxnSpPr>
      <xdr:spPr>
        <a:xfrm flipH="1" flipV="1">
          <a:off x="1731473" y="2423567"/>
          <a:ext cx="3585504" cy="7964"/>
        </a:xfrm>
        <a:prstGeom prst="line">
          <a:avLst/>
        </a:prstGeom>
        <a:ln>
          <a:solidFill>
            <a:schemeClr val="accent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1385543</xdr:colOff>
      <xdr:row>12</xdr:row>
      <xdr:rowOff>182517</xdr:rowOff>
    </xdr:from>
    <xdr:to>
      <xdr:col>1</xdr:col>
      <xdr:colOff>1442693</xdr:colOff>
      <xdr:row>13</xdr:row>
      <xdr:rowOff>52902</xdr:rowOff>
    </xdr:to>
    <xdr:sp macro="" textlink="">
      <xdr:nvSpPr>
        <xdr:cNvPr id="56" name="Oval 55">
          <a:extLst>
            <a:ext uri="{FF2B5EF4-FFF2-40B4-BE49-F238E27FC236}">
              <a16:creationId xmlns:a16="http://schemas.microsoft.com/office/drawing/2014/main" id="{CF4A7A82-2FD9-49AE-A4B0-3B7F56243EF5}"/>
            </a:ext>
          </a:extLst>
        </xdr:cNvPr>
        <xdr:cNvSpPr/>
      </xdr:nvSpPr>
      <xdr:spPr>
        <a:xfrm>
          <a:off x="1744131" y="2244399"/>
          <a:ext cx="57150" cy="5715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201449</xdr:colOff>
      <xdr:row>12</xdr:row>
      <xdr:rowOff>166415</xdr:rowOff>
    </xdr:from>
    <xdr:to>
      <xdr:col>8</xdr:col>
      <xdr:colOff>39414</xdr:colOff>
      <xdr:row>13</xdr:row>
      <xdr:rowOff>43794</xdr:rowOff>
    </xdr:to>
    <xdr:sp macro="" textlink="">
      <xdr:nvSpPr>
        <xdr:cNvPr id="8" name="Oval 7">
          <a:extLst>
            <a:ext uri="{FF2B5EF4-FFF2-40B4-BE49-F238E27FC236}">
              <a16:creationId xmlns:a16="http://schemas.microsoft.com/office/drawing/2014/main" id="{C953B679-C5B3-4C4E-8114-5C1059DD0AA4}"/>
            </a:ext>
          </a:extLst>
        </xdr:cNvPr>
        <xdr:cNvSpPr/>
      </xdr:nvSpPr>
      <xdr:spPr>
        <a:xfrm>
          <a:off x="5316483" y="2202794"/>
          <a:ext cx="61310" cy="61310"/>
        </a:xfrm>
        <a:prstGeom prst="ellips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756745</xdr:colOff>
      <xdr:row>12</xdr:row>
      <xdr:rowOff>165539</xdr:rowOff>
    </xdr:from>
    <xdr:to>
      <xdr:col>2</xdr:col>
      <xdr:colOff>818055</xdr:colOff>
      <xdr:row>13</xdr:row>
      <xdr:rowOff>42918</xdr:rowOff>
    </xdr:to>
    <xdr:sp macro="" textlink="">
      <xdr:nvSpPr>
        <xdr:cNvPr id="24" name="Oval 23">
          <a:extLst>
            <a:ext uri="{FF2B5EF4-FFF2-40B4-BE49-F238E27FC236}">
              <a16:creationId xmlns:a16="http://schemas.microsoft.com/office/drawing/2014/main" id="{7558AA04-9548-4799-B74F-7A8E4D0DCF84}"/>
            </a:ext>
          </a:extLst>
        </xdr:cNvPr>
        <xdr:cNvSpPr/>
      </xdr:nvSpPr>
      <xdr:spPr>
        <a:xfrm>
          <a:off x="1742090" y="2201918"/>
          <a:ext cx="61310" cy="61310"/>
        </a:xfrm>
        <a:prstGeom prst="ellipse">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461817</xdr:colOff>
      <xdr:row>7</xdr:row>
      <xdr:rowOff>138548</xdr:rowOff>
    </xdr:from>
    <xdr:to>
      <xdr:col>16</xdr:col>
      <xdr:colOff>311727</xdr:colOff>
      <xdr:row>16</xdr:row>
      <xdr:rowOff>127001</xdr:rowOff>
    </xdr:to>
    <mc:AlternateContent xmlns:mc="http://schemas.openxmlformats.org/markup-compatibility/2006" xmlns:a14="http://schemas.microsoft.com/office/drawing/2010/main">
      <mc:Choice Requires="a14">
        <xdr:graphicFrame macro="">
          <xdr:nvGraphicFramePr>
            <xdr:cNvPr id="15" name="РЕГИОН">
              <a:extLst>
                <a:ext uri="{FF2B5EF4-FFF2-40B4-BE49-F238E27FC236}">
                  <a16:creationId xmlns:a16="http://schemas.microsoft.com/office/drawing/2014/main" id="{C4B69014-F627-4C78-886F-58533515BB60}"/>
                </a:ext>
              </a:extLst>
            </xdr:cNvPr>
            <xdr:cNvGraphicFramePr/>
          </xdr:nvGraphicFramePr>
          <xdr:xfrm>
            <a:off x="0" y="0"/>
            <a:ext cx="0" cy="0"/>
          </xdr:xfrm>
          <a:graphic>
            <a:graphicData uri="http://schemas.microsoft.com/office/drawing/2010/slicer">
              <sle:slicer xmlns:sle="http://schemas.microsoft.com/office/drawing/2010/slicer" name="РЕГИОН"/>
            </a:graphicData>
          </a:graphic>
        </xdr:graphicFrame>
      </mc:Choice>
      <mc:Fallback xmlns="">
        <xdr:sp macro="" textlink="">
          <xdr:nvSpPr>
            <xdr:cNvPr id="0" name=""/>
            <xdr:cNvSpPr>
              <a:spLocks noTextEdit="1"/>
            </xdr:cNvSpPr>
          </xdr:nvSpPr>
          <xdr:spPr>
            <a:xfrm>
              <a:off x="6269181" y="1431639"/>
              <a:ext cx="3244273" cy="1650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112059</xdr:colOff>
      <xdr:row>13</xdr:row>
      <xdr:rowOff>59765</xdr:rowOff>
    </xdr:from>
    <xdr:to>
      <xdr:col>9</xdr:col>
      <xdr:colOff>112058</xdr:colOff>
      <xdr:row>14</xdr:row>
      <xdr:rowOff>134470</xdr:rowOff>
    </xdr:to>
    <xdr:sp macro="" textlink="">
      <xdr:nvSpPr>
        <xdr:cNvPr id="2" name="TextBox 1">
          <a:extLst>
            <a:ext uri="{FF2B5EF4-FFF2-40B4-BE49-F238E27FC236}">
              <a16:creationId xmlns:a16="http://schemas.microsoft.com/office/drawing/2014/main" id="{38AD7193-35D6-48C4-BD1A-CD1BD537A50B}"/>
            </a:ext>
          </a:extLst>
        </xdr:cNvPr>
        <xdr:cNvSpPr txBox="1"/>
      </xdr:nvSpPr>
      <xdr:spPr>
        <a:xfrm>
          <a:off x="5184588" y="2487706"/>
          <a:ext cx="463176" cy="26147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100" b="1">
              <a:solidFill>
                <a:schemeClr val="accent5">
                  <a:lumMod val="50000"/>
                </a:schemeClr>
              </a:solidFill>
            </a:rPr>
            <a:t>100</a:t>
          </a:r>
          <a:endParaRPr lang="en-US" sz="1100" b="1">
            <a:solidFill>
              <a:schemeClr val="accent5">
                <a:lumMod val="50000"/>
              </a:schemeClr>
            </a:solidFill>
          </a:endParaRPr>
        </a:p>
      </xdr:txBody>
    </xdr:sp>
    <xdr:clientData/>
  </xdr:twoCellAnchor>
  <xdr:twoCellAnchor>
    <xdr:from>
      <xdr:col>2</xdr:col>
      <xdr:colOff>2398064</xdr:colOff>
      <xdr:row>13</xdr:row>
      <xdr:rowOff>14942</xdr:rowOff>
    </xdr:from>
    <xdr:to>
      <xdr:col>3</xdr:col>
      <xdr:colOff>328706</xdr:colOff>
      <xdr:row>14</xdr:row>
      <xdr:rowOff>22413</xdr:rowOff>
    </xdr:to>
    <xdr:sp macro="" textlink="">
      <xdr:nvSpPr>
        <xdr:cNvPr id="17" name="TextBox 16">
          <a:extLst>
            <a:ext uri="{FF2B5EF4-FFF2-40B4-BE49-F238E27FC236}">
              <a16:creationId xmlns:a16="http://schemas.microsoft.com/office/drawing/2014/main" id="{3E9E14D5-EF24-47F1-9261-88DA888F3311}"/>
            </a:ext>
          </a:extLst>
        </xdr:cNvPr>
        <xdr:cNvSpPr txBox="1"/>
      </xdr:nvSpPr>
      <xdr:spPr>
        <a:xfrm>
          <a:off x="3369240" y="2442883"/>
          <a:ext cx="366054" cy="19423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ru-RU" sz="1100" b="1">
              <a:solidFill>
                <a:schemeClr val="accent5">
                  <a:lumMod val="50000"/>
                </a:schemeClr>
              </a:solidFill>
            </a:rPr>
            <a:t>50</a:t>
          </a:r>
          <a:endParaRPr lang="en-US" sz="1100" b="1">
            <a:solidFill>
              <a:schemeClr val="accent5">
                <a:lumMod val="50000"/>
              </a:schemeClr>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048;&#1075;&#1086;&#1088;&#1100;/YandexDisk/01.%20&#1055;&#1088;&#1086;&#1075;&#1088;&#1072;&#1084;&#1084;&#1085;&#1099;&#1081;%20&#1086;&#1090;&#1076;&#1077;&#1083;/01.%20&#1055;&#1088;&#1086;&#1077;&#1082;&#1090;&#1099;/01.%20&#1055;&#1088;&#1086;&#1092;&#1080;&#1083;&#1072;&#1082;&#1090;&#1080;&#1082;&#1072;%200-4/03.%20&#1040;&#1085;&#1072;&#1083;&#1080;&#1090;&#1080;&#1082;&#1072;/&#1042;&#1085;&#1091;&#1090;&#1088;&#1077;&#1085;&#1085;&#1103;&#1103;%20&#1072;&#1085;&#1072;&#1083;&#1080;&#1090;&#1080;&#1082;&#1072;/&#1050;&#1086;&#1083;&#1080;&#1095;&#1077;&#1089;&#1090;&#1074;&#1077;&#1085;&#1085;&#1072;&#1103;/&#1056;&#1048;&#1050;%20+%20&#1076;&#1077;&#1084;&#108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1048;&#1075;&#1086;&#1088;&#1100;/YandexDisk/01.%20&#1055;&#1088;&#1086;&#1075;&#1088;&#1072;&#1084;&#1084;&#1085;&#1099;&#1081;%20&#1086;&#1090;&#1076;&#1077;&#1083;/01.%20&#1055;&#1088;&#1086;&#1077;&#1082;&#1090;&#1099;/01.%20&#1055;&#1088;&#1086;&#1092;&#1080;&#1083;&#1072;&#1082;&#1090;&#1080;&#1082;&#1072;%200-4/03.%20&#1040;&#1085;&#1072;&#1083;&#1080;&#1090;&#1080;&#1082;&#1072;/&#1042;&#1085;&#1091;&#1090;&#1088;&#1077;&#1085;&#1085;&#1103;&#1103;%20&#1072;&#1085;&#1072;&#1083;&#1080;&#1090;&#1080;&#1082;&#1072;/&#1050;&#1086;&#1083;&#1080;&#1095;&#1077;&#1089;&#1090;&#1074;&#1077;&#1085;&#1085;&#1072;&#1103;/&#1050;&#1044;&#1053;-1_&#1057;&#1074;&#1086;&#1076;%20+%20&#1042;&#1056;&#105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1048;&#1075;&#1086;&#1088;&#1100;/YandexDisk/01.%20&#1055;&#1088;&#1086;&#1075;&#1088;&#1072;&#1084;&#1084;&#1085;&#1099;&#1081;%20&#1086;&#1090;&#1076;&#1077;&#1083;/01.%20&#1055;&#1088;&#1086;&#1077;&#1082;&#1090;&#1099;/01.%20&#1055;&#1088;&#1086;&#1092;&#1080;&#1083;&#1072;&#1082;&#1090;&#1080;&#1082;&#1072;%200-4/03.%20&#1040;&#1085;&#1072;&#1083;&#1080;&#1090;&#1080;&#1082;&#1072;/&#1042;&#1085;&#1091;&#1090;&#1088;&#1077;&#1085;&#1085;&#1103;&#1103;%20&#1072;&#1085;&#1072;&#1083;&#1080;&#1090;&#1080;&#1082;&#1072;/&#1050;&#1086;&#1083;&#1080;&#1095;&#1077;&#1089;&#1090;&#1074;&#1077;&#1085;&#1085;&#1072;&#1103;/&#1052;&#1042;&#1044;_&#1084;&#1080;&#1075;&#1088;&#1072;&#1094;&#1080;&#110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1048;&#1075;&#1086;&#1088;&#1100;/Desktop/&#1048;&#1089;&#1090;&#1086;&#1095;&#1085;&#1080;&#1082;&#1080;/&#1042;&#1089;&#1077;%20&#1043;&#1047;_&#1076;&#1077;&#1090;&#1080;_&#1092;&#1086;&#1088;&#1084;&#1072;%2030_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0"/>
      <sheetName val="P22 и 24"/>
      <sheetName val="P38-39"/>
      <sheetName val="P27"/>
      <sheetName val="Sheet1"/>
      <sheetName val="раздел 5"/>
      <sheetName val="раздел 3"/>
      <sheetName val="раздел 1"/>
      <sheetName val="Сбор демографии_поля"/>
      <sheetName val="Сбор_РИК_поля"/>
      <sheetName val="Демо+РИК_Разделы 1,3"/>
      <sheetName val="РИК_Раздел 5_Обстоятельства"/>
      <sheetName val="РИК_Рязань_Раздел5"/>
      <sheetName val="РИК_Рязань_Раздел3"/>
      <sheetName val="РИК_Рязань_Раздел1"/>
      <sheetName val="Белгород_демо"/>
      <sheetName val="P61"/>
      <sheetName val="Инфографика_Рязань_не годится"/>
      <sheetName val="Куда передала опека"/>
      <sheetName val="Различия в данных"/>
      <sheetName val="P40,46"/>
      <sheetName val="P21-26"/>
      <sheetName val="P48"/>
      <sheetName val="P59-63"/>
      <sheetName val="P53-54"/>
      <sheetName val="P22-24 Регионы"/>
      <sheetName val="P32-34 Регионы"/>
      <sheetName val="023_2018 (1)"/>
      <sheetName val="023_2018 (2)"/>
      <sheetName val="023_2018 (3)"/>
      <sheetName val="023_2018 (4)"/>
      <sheetName val="023_2018 (5)"/>
      <sheetName val="023_2018 (6)"/>
      <sheetName val="023_2019 (1)"/>
      <sheetName val="023_2019 (2)"/>
      <sheetName val="023_2019 (3)"/>
      <sheetName val="023_2019 (4)"/>
      <sheetName val="023_2019 (5)"/>
      <sheetName val="023_2019 (6)"/>
      <sheetName val="023_2020 (1)"/>
      <sheetName val="023_2020 (2)"/>
      <sheetName val="023_2020 (3)"/>
      <sheetName val="023_2020 (4)"/>
      <sheetName val="023_2020 (5)"/>
      <sheetName val="023_2020 (6)"/>
      <sheetName val="023_2021 (1)"/>
      <sheetName val="023_2021 (2)"/>
      <sheetName val="023_2021 (3)"/>
      <sheetName val="023_2021 (4)"/>
      <sheetName val="023_2021 (5)"/>
      <sheetName val="023_2021 (6)"/>
      <sheetName val="025_2018 (1)"/>
      <sheetName val="025_2018 (2)"/>
      <sheetName val="025_2018 (3)"/>
      <sheetName val="025_2018 (4)"/>
      <sheetName val="025_2018 (5)"/>
      <sheetName val="025_2018 (6)"/>
      <sheetName val="025_2019 (1)"/>
      <sheetName val="025_2019 (2)"/>
      <sheetName val="025_2019 (3)"/>
      <sheetName val="025_2019 (4)"/>
      <sheetName val="025_2019 (5)"/>
      <sheetName val="025_2019 (6)"/>
      <sheetName val="025_2020 (1)"/>
      <sheetName val="025_2020 (2)"/>
      <sheetName val="025_2020 (3)"/>
      <sheetName val="025_2020 (4)"/>
      <sheetName val="025_2020 (5)"/>
      <sheetName val="025_2020 (6)"/>
      <sheetName val="025_2021 (1)"/>
      <sheetName val="025_2021 (2)"/>
      <sheetName val="025_2021 (3)"/>
      <sheetName val="025_2021 (4)"/>
      <sheetName val="025_2021 (5)"/>
      <sheetName val="025_2021 (6)"/>
      <sheetName val="026_2018 (1)"/>
      <sheetName val="026_2018 (2)"/>
      <sheetName val="026_2018 (3)"/>
      <sheetName val="026_2018 (4)"/>
      <sheetName val="026_2018 (5)"/>
      <sheetName val="026_2018 (6)"/>
      <sheetName val="026_2019 (1)"/>
      <sheetName val="026_2019 (2)"/>
      <sheetName val="026_2019 (3)"/>
      <sheetName val="026_2019 (4)"/>
      <sheetName val="026_2019 (5)"/>
      <sheetName val="026_2019 (6)"/>
      <sheetName val="026_2020 (1)"/>
      <sheetName val="026_2020 (2)"/>
      <sheetName val="026_2020 (3)"/>
      <sheetName val="026_2020 (4)"/>
      <sheetName val="026_2020 (5)"/>
      <sheetName val="026_2020 (6)"/>
      <sheetName val="026_2021 (1)"/>
      <sheetName val="026_2021 (2)"/>
      <sheetName val="026_2021 (3)"/>
      <sheetName val="026_2021 (4)"/>
      <sheetName val="026_2021 (5)"/>
      <sheetName val="026_2021 (6)"/>
      <sheetName val="036_2018 (1)"/>
      <sheetName val="036_2018 (2)"/>
      <sheetName val="036_2018 (3)"/>
      <sheetName val="036_2018 (4)"/>
      <sheetName val="036_2018 (5)"/>
      <sheetName val="036_2018 (6)"/>
      <sheetName val="036_2019 (1)"/>
      <sheetName val="036_2019 (2)"/>
      <sheetName val="036_2019 (3)"/>
      <sheetName val="036_2019 (4)"/>
      <sheetName val="036_2019 (5)"/>
      <sheetName val="036_2019 (6)"/>
      <sheetName val="036_2020 (1)"/>
      <sheetName val="036_2020 (2)"/>
      <sheetName val="036_2020 (3)"/>
      <sheetName val="036_2020 (4)"/>
      <sheetName val="036_2020 (5)"/>
      <sheetName val="036_2020 (6)"/>
      <sheetName val="036_2021 (1)"/>
      <sheetName val="036_2021 (2)"/>
      <sheetName val="036_2021 (3)"/>
      <sheetName val="036_2021 (4)"/>
      <sheetName val="036_2021 (5)"/>
      <sheetName val="036_2021 (6)"/>
      <sheetName val="039_2018 (1)"/>
      <sheetName val="039_2018 (2)"/>
      <sheetName val="039_2018 (3)"/>
      <sheetName val="039_2018 (4)"/>
      <sheetName val="039_2018 (5)"/>
      <sheetName val="039_2018 (6)"/>
      <sheetName val="039_2019 (1)"/>
      <sheetName val="039_2019 (2)"/>
      <sheetName val="039_2019 (3)"/>
      <sheetName val="039_2019 (4)"/>
      <sheetName val="039_2019 (5)"/>
      <sheetName val="039_2019 (6)"/>
      <sheetName val="039_2020 (1)"/>
      <sheetName val="039_2020 (2)"/>
      <sheetName val="039_2020 (3)"/>
      <sheetName val="039_2020 (4)"/>
      <sheetName val="039_2020 (5)"/>
      <sheetName val="039_2020 (6)"/>
      <sheetName val="039_2021 (1)"/>
      <sheetName val="039_2021 (2)"/>
      <sheetName val="039_2021 (3)"/>
      <sheetName val="039_2021 (4)"/>
      <sheetName val="039_2021 (5)"/>
      <sheetName val="039_2021 (6)"/>
      <sheetName val="050_2018 (1)"/>
      <sheetName val="050_2018 (2)"/>
      <sheetName val="050_2018 (3)"/>
      <sheetName val="050_2018 (4)"/>
      <sheetName val="050_2018 (5)"/>
      <sheetName val="050_2018 (6)"/>
      <sheetName val="050_2019 (1)"/>
      <sheetName val="050_2019 (2)"/>
      <sheetName val="050_2019 (3)"/>
      <sheetName val="050_2019 (4)"/>
      <sheetName val="050_2019 (5)"/>
      <sheetName val="050_2019 (6)"/>
      <sheetName val="050_2020 (1)"/>
      <sheetName val="050_2020 (2)"/>
      <sheetName val="050_2020 (3)"/>
      <sheetName val="050_2020 (4)"/>
      <sheetName val="050_2020 (5)"/>
      <sheetName val="050_2020 (6)"/>
      <sheetName val="050_2021 (1)"/>
      <sheetName val="050_2021 (2)"/>
      <sheetName val="050_2021 (3)"/>
      <sheetName val="050_2021 (4)"/>
      <sheetName val="050_2021 (5)"/>
      <sheetName val="050_2021 (6)"/>
      <sheetName val="052_2018 (1)"/>
      <sheetName val="052_2018 (2)"/>
      <sheetName val="052_2018 (3)"/>
      <sheetName val="052_2018 (4)"/>
      <sheetName val="052_2018 (5)"/>
      <sheetName val="052_2018 (6)"/>
      <sheetName val="052_2019 (1)"/>
      <sheetName val="052_2019 (2)"/>
      <sheetName val="052_2019 (3)"/>
      <sheetName val="052_2019 (4)"/>
      <sheetName val="052_2019 (5)"/>
      <sheetName val="052_2019 (6)"/>
      <sheetName val="052_2020 (1)"/>
      <sheetName val="052_2020 (2)"/>
      <sheetName val="052_2020 (3)"/>
      <sheetName val="052_2020 (4)"/>
      <sheetName val="052_2020 (5)"/>
      <sheetName val="052_2020 (6)"/>
      <sheetName val="052_2021 (1)"/>
      <sheetName val="052_2021 (2)"/>
      <sheetName val="052_2021 (3)"/>
      <sheetName val="052_2021 (4)"/>
      <sheetName val="052_2021 (5)"/>
      <sheetName val="052_2021 (6)"/>
      <sheetName val="054_2018 (1)"/>
      <sheetName val="054_2018 (2)"/>
      <sheetName val="054_2018 (3)"/>
      <sheetName val="054_2018 (4)"/>
      <sheetName val="054_2018 (5)"/>
      <sheetName val="054_2018 (6)"/>
      <sheetName val="054_2019 (1)"/>
      <sheetName val="054_2019 (2)"/>
      <sheetName val="054_2019 (3)"/>
      <sheetName val="054_2019 (4)"/>
      <sheetName val="054_2019 (5)"/>
      <sheetName val="054_2019 (6)"/>
      <sheetName val="054_2020 (1)"/>
      <sheetName val="054_2020 (2)"/>
      <sheetName val="054_2020 (3)"/>
      <sheetName val="054_2020 (4)"/>
      <sheetName val="054_2020 (5)"/>
      <sheetName val="054_2020 (6)"/>
      <sheetName val="054_2021 (1)"/>
      <sheetName val="054_2021 (2)"/>
      <sheetName val="054_2021 (3)"/>
      <sheetName val="054_2021 (4)"/>
      <sheetName val="054_2021 (5)"/>
      <sheetName val="054_2021 (6)"/>
      <sheetName val="058_2018 (1)"/>
      <sheetName val="058_2018 (2)"/>
      <sheetName val="058_2018 (3)"/>
      <sheetName val="058_2018 (4)"/>
      <sheetName val="058_2018 (5)"/>
      <sheetName val="058_2018 (6)"/>
      <sheetName val="058_2019 (1)"/>
      <sheetName val="058_2019 (2)"/>
      <sheetName val="058_2019 (3)"/>
      <sheetName val="058_2019 (4)"/>
      <sheetName val="058_2019 (5)"/>
      <sheetName val="058_2019 (6)"/>
      <sheetName val="058_2020 (1)"/>
      <sheetName val="058_2020 (2)"/>
      <sheetName val="058_2020 (3)"/>
      <sheetName val="058_2020 (4)"/>
      <sheetName val="058_2020 (5)"/>
      <sheetName val="058_2020 (6)"/>
      <sheetName val="058_2021 (1)"/>
      <sheetName val="058_2021 (2)"/>
      <sheetName val="058_2021 (3)"/>
      <sheetName val="058_2021 (4)"/>
      <sheetName val="058_2021 (5)"/>
      <sheetName val="058_2021 (6)"/>
      <sheetName val="059_2018 (1)"/>
      <sheetName val="059_2018 (2)"/>
      <sheetName val="059_2018 (3)"/>
      <sheetName val="059_2018 (4)"/>
      <sheetName val="059_2018 (5)"/>
      <sheetName val="059_2018 (6)"/>
      <sheetName val="059_2019 (1)"/>
      <sheetName val="059_2019 (2)"/>
      <sheetName val="059_2019 (3)"/>
      <sheetName val="059_2019 (4)"/>
      <sheetName val="059_2019 (5)"/>
      <sheetName val="059_2019 (6)"/>
      <sheetName val="059_2020 (1)"/>
      <sheetName val="059_2020 (2)"/>
      <sheetName val="059_2020 (3)"/>
      <sheetName val="059_2020 (4)"/>
      <sheetName val="059_2020 (5)"/>
      <sheetName val="059_2020 (6)"/>
      <sheetName val="059_2021 (1)"/>
      <sheetName val="059_2021 (2)"/>
      <sheetName val="059_2021 (3)"/>
      <sheetName val="059_2021 (4)"/>
      <sheetName val="059_2021 (5)"/>
      <sheetName val="059_2021 (6)"/>
      <sheetName val="071_2018 (1)"/>
      <sheetName val="071_2018 (2)"/>
      <sheetName val="071_2018 (3)"/>
      <sheetName val="071_2018 (4)"/>
      <sheetName val="071_2018 (5)"/>
      <sheetName val="071_2018 (6)"/>
      <sheetName val="071_2019 (1)"/>
      <sheetName val="071_2019 (2)"/>
      <sheetName val="071_2019 (3)"/>
      <sheetName val="071_2019 (4)"/>
      <sheetName val="071_2019 (5)"/>
      <sheetName val="071_2019 (6)"/>
      <sheetName val="071_2020 (1)"/>
      <sheetName val="071_2020 (2)"/>
      <sheetName val="071_2020 (3)"/>
      <sheetName val="071_2020 (4)"/>
      <sheetName val="071_2020 (5)"/>
      <sheetName val="071_2020 (6)"/>
      <sheetName val="071_2021 (1)"/>
      <sheetName val="071_2021 (2)"/>
      <sheetName val="071_2021 (3)"/>
      <sheetName val="071_2021 (4)"/>
      <sheetName val="071_2021 (5)"/>
      <sheetName val="071_2021 (6)"/>
      <sheetName val="072_2018 (1)"/>
      <sheetName val="072_2018 (2)"/>
      <sheetName val="072_2018 (3)"/>
      <sheetName val="072_2018 (4)"/>
      <sheetName val="072_2018 (5)"/>
      <sheetName val="072_2018 (6)"/>
      <sheetName val="072_2019 (1)"/>
      <sheetName val="072_2019 (2)"/>
      <sheetName val="072_2019 (3)"/>
      <sheetName val="072_2019 (4)"/>
      <sheetName val="072_2019 (5)"/>
      <sheetName val="072_2019 (6)"/>
      <sheetName val="072_2020 (1)"/>
      <sheetName val="072_2020 (2)"/>
      <sheetName val="072_2020 (3)"/>
      <sheetName val="072_2020 (4)"/>
      <sheetName val="072_2020 (5)"/>
      <sheetName val="072_2020 (6)"/>
      <sheetName val="072_2021 (1)"/>
      <sheetName val="072_2021 (2)"/>
      <sheetName val="072_2021 (3)"/>
      <sheetName val="072_2021 (4)"/>
      <sheetName val="072_2021 (5)"/>
      <sheetName val="072_2021 (6)"/>
      <sheetName val="023_2016-Раздел 1"/>
      <sheetName val="023_2016-Раздел 2"/>
      <sheetName val="023_2016-Раздел 3"/>
      <sheetName val="023_2016-Раздел 4"/>
      <sheetName val="023_2016-Раздел 5"/>
      <sheetName val="023_2016-Spravochnik"/>
      <sheetName val="025_2016-Раздел 1"/>
      <sheetName val="025_2016-Раздел 2"/>
      <sheetName val="025_2016-Раздел 3"/>
      <sheetName val="025_2016-Раздел 4"/>
      <sheetName val="025_2016-Раздел 5"/>
      <sheetName val="025_2016-Spravochnik"/>
      <sheetName val="026_2016-Раздел 1"/>
      <sheetName val="026_2016-Раздел 2"/>
      <sheetName val="026_2016-Раздел 3"/>
      <sheetName val="026_2016-Раздел 4"/>
      <sheetName val="026_2016-Раздел 5"/>
      <sheetName val="026_2016-Spravochnik"/>
      <sheetName val="036_2016-Раздел 1"/>
      <sheetName val="036_2016-Раздел 2"/>
      <sheetName val="036_2016-Раздел 3"/>
      <sheetName val="036_2016-Раздел 4"/>
      <sheetName val="036_2016-Раздел 5"/>
      <sheetName val="036_2016-Spravochnik"/>
      <sheetName val="039_2016-Раздел 1"/>
      <sheetName val="039_2016-Раздел 2"/>
      <sheetName val="039_2016-Раздел 3"/>
      <sheetName val="039_2016-Раздел 4"/>
      <sheetName val="039_2016-Раздел 5"/>
      <sheetName val="039_2016-Spravochnik"/>
      <sheetName val="050_2016-Раздел 1"/>
      <sheetName val="050_2016-Раздел 2"/>
      <sheetName val="050_2016-Раздел 3"/>
      <sheetName val="050_2016-Раздел 4"/>
      <sheetName val="050_2016-Раздел 5"/>
      <sheetName val="050_2016-Spravochnik"/>
      <sheetName val="052_2016-Раздел 1"/>
      <sheetName val="052_2016-Раздел 2"/>
      <sheetName val="052_2016-Раздел 3"/>
      <sheetName val="052_2016-Раздел 4"/>
      <sheetName val="052_2016-Раздел 5"/>
      <sheetName val="052_2016-Spravochnik"/>
      <sheetName val="054_2016-Раздел 1"/>
      <sheetName val="054_2016-Раздел 2"/>
      <sheetName val="054_2016-Раздел 3"/>
      <sheetName val="054_2016-Раздел 4"/>
      <sheetName val="054_2016-Раздел 5"/>
      <sheetName val="054_2016-Spravochnik"/>
      <sheetName val="058_2016-Раздел 1"/>
      <sheetName val="058_2016-Раздел 2"/>
      <sheetName val="058_2016-Раздел 3"/>
      <sheetName val="058_2016-Раздел 4"/>
      <sheetName val="058_2016-Раздел 5"/>
      <sheetName val="058_2016-Spravochnik"/>
      <sheetName val="059_2016-Раздел 1"/>
      <sheetName val="059_2016-Раздел 2"/>
      <sheetName val="059_2016-Раздел 3"/>
      <sheetName val="059_2016-Раздел 4"/>
      <sheetName val="059_2016-Раздел 5"/>
      <sheetName val="059_2016-Spravochnik"/>
      <sheetName val="071_2016-Раздел 1"/>
      <sheetName val="071_2016-Раздел 2"/>
      <sheetName val="071_2016-Раздел 3"/>
      <sheetName val="071_2016-Раздел 4"/>
      <sheetName val="071_2016-Раздел 5"/>
      <sheetName val="071_2016-Spravochnik"/>
      <sheetName val="072_2016-Раздел 1"/>
      <sheetName val="072_2016-Раздел 2"/>
      <sheetName val="072_2016-Раздел 3"/>
      <sheetName val="072_2016-Раздел 4"/>
      <sheetName val="072_2016-Раздел 5"/>
      <sheetName val="072_2016-Spravochnik"/>
      <sheetName val="023_2017-Раздел 1"/>
      <sheetName val="023_2017-Раздел 2"/>
      <sheetName val="023_2017-Раздел 3"/>
      <sheetName val="023_2017-Раздел 4"/>
      <sheetName val="023_2017-Раздел 5"/>
      <sheetName val="023_2017-Spravochnik"/>
      <sheetName val="025_2017-Раздел 1"/>
      <sheetName val="025_2017-Раздел 2"/>
      <sheetName val="025_2017-Раздел 3"/>
      <sheetName val="025_2017-Раздел 4"/>
      <sheetName val="025_2017-Раздел 5"/>
      <sheetName val="025_2017-Spravochnik"/>
      <sheetName val="026_2017-Раздел 1"/>
      <sheetName val="026_2017-Раздел 2"/>
      <sheetName val="026_2017-Раздел 3"/>
      <sheetName val="026_2017-Раздел 4"/>
      <sheetName val="026_2017-Раздел 5"/>
      <sheetName val="026_2017-Spravochnik"/>
      <sheetName val="036_2017-Раздел 1"/>
      <sheetName val="036_2017-Раздел 2"/>
      <sheetName val="036_2017-Раздел 3"/>
      <sheetName val="036_2017-Раздел 4"/>
      <sheetName val="036_2017-Раздел 5"/>
      <sheetName val="036_2017-Spravochnik"/>
      <sheetName val="039_2017-Раздел 1"/>
      <sheetName val="039_2017-Раздел 2"/>
      <sheetName val="039_2017-Раздел 3"/>
      <sheetName val="039_2017-Раздел 4"/>
      <sheetName val="039_2017-Раздел 5"/>
      <sheetName val="039_2017-Spravochnik"/>
      <sheetName val="050_2017-Раздел 1"/>
      <sheetName val="050_2017-Раздел 2"/>
      <sheetName val="050_2017-Раздел 3"/>
      <sheetName val="050_2017-Раздел 4"/>
      <sheetName val="050_2017-Раздел 5"/>
      <sheetName val="050_2017-Spravochnik"/>
      <sheetName val="052_2017-Раздел 1"/>
      <sheetName val="052_2017-Раздел 2"/>
      <sheetName val="052_2017-Раздел 3"/>
      <sheetName val="052_2017-Раздел 4"/>
      <sheetName val="052_2017-Раздел 5"/>
      <sheetName val="052_2017-Spravochnik"/>
      <sheetName val="054_2017-Раздел 1"/>
      <sheetName val="054_2017-Раздел 2"/>
      <sheetName val="054_2017-Раздел 3"/>
      <sheetName val="054_2017-Раздел 4"/>
      <sheetName val="054_2017-Раздел 5"/>
      <sheetName val="054_2017-Spravochnik"/>
      <sheetName val="058_2017-Раздел 1"/>
      <sheetName val="058_2017-Раздел 2"/>
      <sheetName val="058_2017-Раздел 3"/>
      <sheetName val="058_2017-Раздел 4"/>
      <sheetName val="058_2017-Раздел 5"/>
      <sheetName val="058_2017-Spravochnik"/>
      <sheetName val="059_2017-Раздел 1"/>
      <sheetName val="059_2017-Раздел 2"/>
      <sheetName val="059_2017-Раздел 3"/>
      <sheetName val="059_2017-Раздел 4"/>
      <sheetName val="059_2017-Раздел 5"/>
      <sheetName val="059_2017-Spravochnik"/>
      <sheetName val="071_2017-Раздел 1"/>
      <sheetName val="071_2017-Раздел 2"/>
      <sheetName val="071_2017-Раздел 3"/>
      <sheetName val="071_2017-Раздел 4"/>
      <sheetName val="071_2017-Раздел 5"/>
      <sheetName val="071_2017-Spravochnik"/>
      <sheetName val="072_2017-Раздел 1"/>
      <sheetName val="072_2017-Раздел 2"/>
      <sheetName val="072_2017-Раздел 3"/>
      <sheetName val="072_2017-Раздел 4"/>
      <sheetName val="072_2017-Раздел 5"/>
      <sheetName val="072_2017-Spravochnik"/>
      <sheetName val="РФ_2016-Раздел 1"/>
      <sheetName val="РФ_2016-Раздел 2"/>
      <sheetName val="РФ_2016-Раздел 3"/>
      <sheetName val="РФ_2016-Раздел 4"/>
      <sheetName val="РФ_2016-Раздел 5"/>
      <sheetName val="РФ_2016-Spravochnik"/>
      <sheetName val="РФ_2017-Раздел 1"/>
      <sheetName val="РФ_2017-Раздел 2"/>
      <sheetName val="РФ_2017-Раздел 3"/>
      <sheetName val="РФ_2017-Раздел 4"/>
      <sheetName val="РФ_2017-Раздел 5"/>
      <sheetName val="РФ_2017-Spravochnik"/>
      <sheetName val="РИК_РФ(1)_2018"/>
      <sheetName val="РИК_РФ(2)_2018"/>
      <sheetName val="РИК_РФ(3)_2018"/>
      <sheetName val="РИК_РФ(4)_2018"/>
      <sheetName val="РИК_РФ(5)_2018"/>
      <sheetName val="РИК_РФ(6)_2018"/>
      <sheetName val="РИК_РФ(1)_2019"/>
      <sheetName val="РИК_РФ(2)_2019"/>
      <sheetName val="РИК_РФ(3)_2019"/>
      <sheetName val="РИК_РФ(4)_2019"/>
      <sheetName val="РИК_РФ(5)_2019"/>
      <sheetName val="РИК_РФ(6)_2019"/>
      <sheetName val="РИК_РФ(1)_2020"/>
      <sheetName val="РИК_РФ(2)_2020"/>
      <sheetName val="РИК_РФ(3)_2020"/>
      <sheetName val="РИК_РФ(4)_2020"/>
      <sheetName val="РИК_РФ(5)_2020"/>
      <sheetName val="РИК_РФ(6)_2020"/>
      <sheetName val="РИК_РФ(1)_2021"/>
      <sheetName val="РИК_РФ(2)_2021"/>
      <sheetName val="РИК_РФ(3)_2021"/>
      <sheetName val="РИК_РФ(4)_2021"/>
      <sheetName val="РИК_РФ(5)_2021"/>
      <sheetName val="РИК_РФ(6)_2021"/>
      <sheetName val="Регионы-Краснодарский край (_01"/>
      <sheetName val="Регионы-Воронежская область _02"/>
      <sheetName val="Регионы-Калининградская обла_03"/>
      <sheetName val="Регионы-Московская область (_04"/>
      <sheetName val="Регионы-Нижегородская област_05"/>
      <sheetName val="Регионы-Новосибирская област_06"/>
      <sheetName val="Регионы-Пензенская область (_07"/>
      <sheetName val="Регионы-Пермский край (ПФО)"/>
      <sheetName val="Регионы-Приморский край (ДФО)"/>
      <sheetName val="Регионы-Ставропольский край _08"/>
      <sheetName val="Регионы-Тульская область (ЦФО)"/>
      <sheetName val="Регионы-Рязанская область"/>
      <sheetName val="Регионы-Тюменская область (УФО)"/>
      <sheetName val="Демо_31_2016"/>
      <sheetName val="Демо_31_2017"/>
      <sheetName val="Демо_31_2018"/>
      <sheetName val="Демо_31_2019"/>
      <sheetName val="Демо_31_2020"/>
      <sheetName val="Демо_31_2021"/>
      <sheetName val="Демо_31_2022"/>
      <sheetName val="031_2016-Титульный лист"/>
      <sheetName val="031_2016-Раздел 1"/>
      <sheetName val="031_2016-Раздел 2"/>
      <sheetName val="031_2016-Раздел 3"/>
      <sheetName val="031_2016-Раздел 4"/>
      <sheetName val="031_2016-Раздел 5"/>
      <sheetName val="031_2016-Spravochnik"/>
      <sheetName val="031_2017-Титульный лист"/>
      <sheetName val="031_2017-Раздел 1"/>
      <sheetName val="031_2017-Раздел 2"/>
      <sheetName val="031_2017-Раздел 3"/>
      <sheetName val="031_2017-Раздел 4"/>
      <sheetName val="031_2017-Раздел 5"/>
      <sheetName val="031_2017-Spravochnik"/>
      <sheetName val="031_2018-Титульный лист"/>
      <sheetName val="031_2018-Раздел 1"/>
      <sheetName val="031_2018-Раздел 2"/>
      <sheetName val="031_2018-Раздел 3"/>
      <sheetName val="031_2018-Раздел 4"/>
      <sheetName val="031_2018-Раздел 5"/>
      <sheetName val="031_2018-Spravochnik"/>
      <sheetName val="031_2019-Титульный лист"/>
      <sheetName val="031_2019-Раздел 1"/>
      <sheetName val="031_2019-Раздел 2"/>
      <sheetName val="031_2019-Раздел 3"/>
      <sheetName val="031_2019-Раздел 4"/>
      <sheetName val="031_2019-Раздел 5"/>
      <sheetName val="031_2019-Spravochnik"/>
      <sheetName val="031_2020-Титульный лист"/>
      <sheetName val="031_2020-Раздел 1"/>
      <sheetName val="031_2020-Раздел 2"/>
      <sheetName val="031_2020-Раздел 3"/>
      <sheetName val="031_2020-Раздел 4"/>
      <sheetName val="031_2020-Раздел 5"/>
      <sheetName val="031_2020-Spravochnik"/>
      <sheetName val="031_2021-Титульный лист"/>
      <sheetName val="031_2021-Раздел 1"/>
      <sheetName val="031_2021-Раздел 2"/>
      <sheetName val="031_2021-Раздел 3"/>
      <sheetName val="031_2021-Раздел 4"/>
      <sheetName val="031_2021-Раздел 5"/>
      <sheetName val="031_2021-Spravochnik"/>
      <sheetName val="Численность_детей-инвалидов__01"/>
      <sheetName val="062_2016-Титульный лист"/>
      <sheetName val="062_2016-Раздел 1"/>
      <sheetName val="062_2016-Раздел 2"/>
      <sheetName val="062_2016-Раздел 3"/>
      <sheetName val="062_2016-Раздел 4"/>
      <sheetName val="062_2016-Раздел 5"/>
      <sheetName val="062_2016-Spravochnik"/>
      <sheetName val="062_2017-Титульный лист"/>
      <sheetName val="062_2017-Раздел 1"/>
      <sheetName val="062_2017-Раздел 2"/>
      <sheetName val="062_2017-Раздел 3"/>
      <sheetName val="062_2017-Раздел 4"/>
      <sheetName val="062_2017-Раздел 5"/>
      <sheetName val="062_2017-Spravochnik"/>
      <sheetName val="062_2018-Титульный лист"/>
      <sheetName val="062_2018-Раздел 1"/>
      <sheetName val="062_2018-Раздел 2"/>
      <sheetName val="062_2018-Раздел 3"/>
      <sheetName val="062_2018-Раздел 4"/>
      <sheetName val="062_2018-Раздел 5"/>
      <sheetName val="062_2018-Spravochnik"/>
      <sheetName val="062_2019-Титульный лист"/>
      <sheetName val="062_2019-Раздел 1"/>
      <sheetName val="062_2019-Раздел 2"/>
      <sheetName val="062_2019-Раздел 3"/>
      <sheetName val="062_2019-Раздел 4"/>
      <sheetName val="062_2019-Раздел 5"/>
      <sheetName val="062_2019-Spravochnik"/>
      <sheetName val="062_2020-Титульный лист"/>
      <sheetName val="062_2020-Раздел 1"/>
      <sheetName val="062_2020-Раздел 2"/>
      <sheetName val="062_2020-Раздел 3"/>
      <sheetName val="062_2020-Раздел 4"/>
      <sheetName val="062_2020-Раздел 5"/>
      <sheetName val="062_2020-Spravochnik"/>
      <sheetName val="062_2021-Титульный лист"/>
      <sheetName val="062_2021-Раздел 1"/>
      <sheetName val="062_2021-Раздел 2"/>
      <sheetName val="062_2021-Раздел 3"/>
      <sheetName val="062_2021-Раздел 4"/>
      <sheetName val="062_2021-Раздел 5"/>
      <sheetName val="062_2021-Spravochnik"/>
      <sheetName val="023_2015-Титульный лист"/>
      <sheetName val="023_2015-Раздел 1"/>
      <sheetName val="023_2015-Раздел 2"/>
      <sheetName val="023_2015-Раздел 3"/>
      <sheetName val="023_2015-Раздел 4"/>
      <sheetName val="023_2015-Раздел 5"/>
      <sheetName val="023_2015-Spravochnik"/>
      <sheetName val="025_2015-Титульный лист"/>
      <sheetName val="025_2015-Раздел 1"/>
      <sheetName val="025_2015-Раздел 2"/>
      <sheetName val="025_2015-Раздел 3"/>
      <sheetName val="025_2015-Раздел 4"/>
      <sheetName val="025_2015-Раздел 5"/>
      <sheetName val="025_2015-Spravochnik"/>
      <sheetName val="026_2015-Титульный лист"/>
      <sheetName val="026_2015-Раздел 1"/>
      <sheetName val="026_2015-Раздел 2"/>
      <sheetName val="026_2015-Раздел 3"/>
      <sheetName val="026_2015-Раздел 4"/>
      <sheetName val="026_2015-Раздел 5"/>
      <sheetName val="026_2015-Spravochnik"/>
      <sheetName val="031_2015-Титульный лист"/>
      <sheetName val="031_2015-Раздел 1"/>
      <sheetName val="031_2015-Раздел 2"/>
      <sheetName val="031_2015-Раздел 3"/>
      <sheetName val="031_2015-Раздел 4"/>
      <sheetName val="031_2015-Раздел 5"/>
      <sheetName val="031_2015-Spravochnik"/>
      <sheetName val="036_2015-Титульный лист"/>
      <sheetName val="036_2015-Раздел 1"/>
      <sheetName val="036_2015-Раздел 2"/>
      <sheetName val="036_2015-Раздел 3"/>
      <sheetName val="036_2015-Раздел 4"/>
      <sheetName val="036_2015-Раздел 5"/>
      <sheetName val="036_2015-Spravochnik"/>
      <sheetName val="039_2015-Титульный лист"/>
      <sheetName val="039_2015-Раздел 1"/>
      <sheetName val="039_2015-Раздел 2"/>
      <sheetName val="039_2015-Раздел 3"/>
      <sheetName val="039_2015-Раздел 4"/>
      <sheetName val="039_2015-Раздел 5"/>
      <sheetName val="039_2015-Spravochnik"/>
      <sheetName val="050_2015-Титульный лист"/>
      <sheetName val="050_2015-Раздел 1"/>
      <sheetName val="050_2015-Раздел 2"/>
      <sheetName val="050_2015-Раздел 3"/>
      <sheetName val="050_2015-Раздел 4"/>
      <sheetName val="050_2015-Раздел 5"/>
      <sheetName val="050_2015-Spravochnik"/>
      <sheetName val="052_2015-Титульный лист"/>
      <sheetName val="052_2015-Раздел 1"/>
      <sheetName val="052_2015-Раздел 2"/>
      <sheetName val="052_2015-Раздел 3"/>
      <sheetName val="052_2015-Раздел 4"/>
      <sheetName val="052_2015-Раздел 5"/>
      <sheetName val="052_2015-Spravochnik"/>
      <sheetName val="054_2015-Титульный лист"/>
      <sheetName val="054_2015-Раздел 1"/>
      <sheetName val="054_2015-Раздел 2"/>
      <sheetName val="054_2015-Раздел 3"/>
      <sheetName val="054_2015-Раздел 4"/>
      <sheetName val="054_2015-Раздел 5"/>
      <sheetName val="054_2015-Spravochnik"/>
      <sheetName val="058_2015-Титульный лист"/>
      <sheetName val="058_2015-Раздел 1"/>
      <sheetName val="058_2015-Раздел 2"/>
      <sheetName val="058_2015-Раздел 3"/>
      <sheetName val="058_2015-Раздел 4"/>
      <sheetName val="058_2015-Раздел 5"/>
      <sheetName val="058_2015-Spravochnik"/>
      <sheetName val="059_2015-Титульный лист"/>
      <sheetName val="059_2015-Раздел 1"/>
      <sheetName val="059_2015-Раздел 2"/>
      <sheetName val="059_2015-Раздел 3"/>
      <sheetName val="059_2015-Раздел 4"/>
      <sheetName val="059_2015-Раздел 5"/>
      <sheetName val="059_2015-Spravochnik"/>
      <sheetName val="062_2015-Титульный лист"/>
      <sheetName val="062_2015-Раздел 1"/>
      <sheetName val="062_2015-Раздел 2"/>
      <sheetName val="062_2015-Раздел 3"/>
      <sheetName val="062_2015-Раздел 4"/>
      <sheetName val="062_2015-Раздел 5"/>
      <sheetName val="062_2015-Spravochnik"/>
      <sheetName val="071_2015-Титульный лист"/>
      <sheetName val="071_2015-Раздел 1"/>
      <sheetName val="071_2015-Раздел 2"/>
      <sheetName val="071_2015-Раздел 3"/>
      <sheetName val="071_2015-Раздел 4"/>
      <sheetName val="071_2015-Раздел 5"/>
      <sheetName val="071_2015-Spravochnik"/>
      <sheetName val="072_2015-Титульный лист"/>
      <sheetName val="072_2015-Раздел 1"/>
      <sheetName val="072_2015-Раздел 2"/>
      <sheetName val="072_2015-Раздел 3"/>
      <sheetName val="072_2015-Раздел 4"/>
      <sheetName val="072_2015-Раздел 5"/>
      <sheetName val="072_2015-Spravochnik"/>
      <sheetName val="103-РИК_РФ_2015-Титульный лист"/>
      <sheetName val="103-РИК_РФ_2015-Раздел 1"/>
      <sheetName val="103-РИК_РФ_2015-Раздел 2"/>
      <sheetName val="103-РИК_РФ_2015-Раздел 3"/>
      <sheetName val="103-РИК_РФ_2015-Раздел 4"/>
      <sheetName val="103-РИК_РФ_2015-Раздел 5"/>
      <sheetName val="103-РИК_РФ_2015-Spravochnik"/>
      <sheetName val="Бюллетень_2016-НОВОСИБ"/>
      <sheetName val="Дети в ДР по заявлению_регио_01"/>
      <sheetName val="023_2022_Титульный лист"/>
      <sheetName val="023_2022 (1)"/>
      <sheetName val="023_2022 (2)"/>
      <sheetName val="023_2022 (3)"/>
      <sheetName val="023_2022 (4)"/>
      <sheetName val="023_2022 (5)"/>
      <sheetName val="023_2022 (6)"/>
      <sheetName val="025_2022_Титульный лист"/>
      <sheetName val="025_2022 (1)"/>
      <sheetName val="025_2022 (2)"/>
      <sheetName val="025_2022 (3)"/>
      <sheetName val="025_2022 (4)"/>
      <sheetName val="025_2022 (5)"/>
      <sheetName val="025_2022 (6)"/>
      <sheetName val="026_2022_Титульный лист"/>
      <sheetName val="026_2022 (1)"/>
      <sheetName val="026_2022 (2)"/>
      <sheetName val="026_2022 (3)"/>
      <sheetName val="026_2022 (4)"/>
      <sheetName val="026_2022 (5)"/>
      <sheetName val="026_2022 (6)"/>
      <sheetName val="031_2022_Титульный лист"/>
      <sheetName val="031_2022 (1)"/>
      <sheetName val="031_2022 (2)"/>
      <sheetName val="031_2022 (3)"/>
      <sheetName val="031_2022 (4)"/>
      <sheetName val="031_2022 (5)"/>
      <sheetName val="031_2022 (6)"/>
      <sheetName val="036_2022 _Титульный лист"/>
      <sheetName val="036_2022 (1)"/>
      <sheetName val="036_2022 (2)"/>
      <sheetName val="036_2022 (3)"/>
      <sheetName val="036_2022 (4)"/>
      <sheetName val="036_2022 (5)"/>
      <sheetName val="036_2022 (6)"/>
      <sheetName val="039_2022_Титульный лист"/>
      <sheetName val="039_2022 (1)"/>
      <sheetName val="039_2022 (2)"/>
      <sheetName val="039_2022 (3)"/>
      <sheetName val="039_2022 (4)"/>
      <sheetName val="039_2022 (5)"/>
      <sheetName val="039_2022 (6)"/>
      <sheetName val="050_2022_Титульный лист"/>
      <sheetName val="050_2022 (1)"/>
      <sheetName val="050_2022 (2)"/>
      <sheetName val="050_2022 (3)"/>
      <sheetName val="050_2022 (4)"/>
      <sheetName val="050_2022 (5)"/>
      <sheetName val="050_2022 (6)"/>
      <sheetName val="052_2022_Титульный лист"/>
      <sheetName val="052_2022 (1)"/>
      <sheetName val="052_2022 (2)"/>
      <sheetName val="052_2022 (3)"/>
      <sheetName val="052_2022 (4)"/>
      <sheetName val="052_2022 (5)"/>
      <sheetName val="052_2022 (6)"/>
      <sheetName val="054_2022_Титульный лист"/>
      <sheetName val="054_2022 (1)"/>
      <sheetName val="054_2022 (2)"/>
      <sheetName val="054_2022 (3)"/>
      <sheetName val="054_2022 (4)"/>
      <sheetName val="054_2022 (5)"/>
      <sheetName val="054_2022 (6)"/>
      <sheetName val="058_2022_Титульный лист"/>
      <sheetName val="058_2022 (1)"/>
      <sheetName val="058_2022 (2)"/>
      <sheetName val="058_2022 (3)"/>
      <sheetName val="058_2022 (4)"/>
      <sheetName val="058_2022 (5)"/>
      <sheetName val="058_2022 (6)"/>
      <sheetName val="059_2022_Титульный лист"/>
      <sheetName val="059_2022 (1)"/>
      <sheetName val="059_2022 (2)"/>
      <sheetName val="059_2022 (3)"/>
      <sheetName val="059_2022 (4)"/>
      <sheetName val="059_2022 (5)"/>
      <sheetName val="059_2022 (6)"/>
      <sheetName val="062_2022_Титульный лист"/>
      <sheetName val="062_2022 (1)"/>
      <sheetName val="062_2022 (2)"/>
      <sheetName val="062_2022 (3)"/>
      <sheetName val="062_2022 (4)"/>
      <sheetName val="062_2022 (5)"/>
      <sheetName val="062_2022 (6)"/>
      <sheetName val="071_2022_Титульный лист"/>
      <sheetName val="071_2022 (1)"/>
      <sheetName val="071_2022 (2)"/>
      <sheetName val="071_2022 (3)"/>
      <sheetName val="071_2022 (4)"/>
      <sheetName val="071_2022 (5)"/>
      <sheetName val="071_2022 (6)"/>
      <sheetName val="072_2022-Титульный лист"/>
      <sheetName val="072_2022 (1)"/>
      <sheetName val="072_2022 (2)"/>
      <sheetName val="072_2022 (3)"/>
      <sheetName val="072_2022 (4)"/>
      <sheetName val="072_2022 (5)"/>
      <sheetName val="072_2022 (6)"/>
      <sheetName val="066_2016 (тит)"/>
      <sheetName val="066_2016 (1)"/>
      <sheetName val="066_2016 (2)"/>
      <sheetName val="066_2016 (3)"/>
      <sheetName val="066_2016 (4)"/>
      <sheetName val="066_2016 (5)"/>
      <sheetName val="066_2016 (6)"/>
      <sheetName val="070_2016 (тит)"/>
      <sheetName val="070_2016 (1)"/>
      <sheetName val="070_2016 (2)"/>
      <sheetName val="070_2016 (3)"/>
      <sheetName val="070_2016 (4)"/>
      <sheetName val="070_2016 (5)"/>
      <sheetName val="070_2016 (6)"/>
      <sheetName val="066_2017 (тит)"/>
      <sheetName val="066_2017 (1)"/>
      <sheetName val="066_2017 (2)"/>
      <sheetName val="066_2017 (3)"/>
      <sheetName val="066_2017 (4)"/>
      <sheetName val="066_2017 (5)"/>
      <sheetName val="066_2017 (6)"/>
      <sheetName val="070_2017 (тит)"/>
      <sheetName val="070_2017 (1)"/>
      <sheetName val="070_2017 (2)"/>
      <sheetName val="070_2017 (3)"/>
      <sheetName val="070_2017 (4)"/>
      <sheetName val="070_2017 (5)"/>
      <sheetName val="070_2017 (6)"/>
      <sheetName val="066_2018 (тит)"/>
      <sheetName val="066_2018 (1)"/>
      <sheetName val="066_2018 (2)"/>
      <sheetName val="066_2018 (3)"/>
      <sheetName val="066_2018 (4)"/>
      <sheetName val="066_2018 (5)"/>
      <sheetName val="066_2018 (6)"/>
      <sheetName val="070_2018 (тит)"/>
      <sheetName val="070_2018 (1)"/>
      <sheetName val="070_2018 (2)"/>
      <sheetName val="070_2018 (3)"/>
      <sheetName val="070_2018 (4)"/>
      <sheetName val="070_2018 (5)"/>
      <sheetName val="070_2018 (6)"/>
      <sheetName val="066_2019 (тит)"/>
      <sheetName val="066_2019 (1)"/>
      <sheetName val="066_2019 (2)"/>
      <sheetName val="066_2019 (3)"/>
      <sheetName val="066_2019 (4)"/>
      <sheetName val="066_2019 (5)"/>
      <sheetName val="066_2019 (6)"/>
      <sheetName val="070_2019 (тит)"/>
      <sheetName val="070_2019 (1)"/>
      <sheetName val="070_2019 (2)"/>
      <sheetName val="070_2019 (3)"/>
      <sheetName val="070_2019 (4)"/>
      <sheetName val="070_2019 (5)"/>
      <sheetName val="070_2019 (6)"/>
      <sheetName val="066_2020 (тит)"/>
      <sheetName val="066_2020 (1)"/>
      <sheetName val="066_2020 (2)"/>
      <sheetName val="066_2020 (3)"/>
      <sheetName val="066_2020 (4)"/>
      <sheetName val="066_2020 (5)"/>
      <sheetName val="066_2020 (6)"/>
      <sheetName val="070_2020 (тит)"/>
      <sheetName val="070_2020 (1)"/>
      <sheetName val="070_2020 (2)"/>
      <sheetName val="070_2020 (3)"/>
      <sheetName val="070_2020 (4)"/>
      <sheetName val="070_2020 (5)"/>
      <sheetName val="070_2020 (6)"/>
      <sheetName val="066_2021(тит)"/>
      <sheetName val="066_2021 (1)"/>
      <sheetName val="066_2021 (2)"/>
      <sheetName val="066_2021 (3)"/>
      <sheetName val="066_2021 (4)"/>
      <sheetName val="066_2021 (5)"/>
      <sheetName val="066_2021 (6)"/>
      <sheetName val="070_2021 (тит)"/>
      <sheetName val="070_2021 (1)"/>
      <sheetName val="070_2021 (2)"/>
      <sheetName val="070_2021 (3)"/>
      <sheetName val="070_2021 (4)"/>
      <sheetName val="070_2021 (5)"/>
      <sheetName val="070_2021 (6)"/>
      <sheetName val="Spravochnik (90)"/>
      <sheetName val="Флак (90)"/>
      <sheetName val="Spravochnik (89)"/>
      <sheetName val="Флак (89)"/>
      <sheetName val="Spravochnik (88)"/>
      <sheetName val="Флак (88)"/>
      <sheetName val="Spravochnik (87)"/>
      <sheetName val="Флак (87)"/>
      <sheetName val="Spravochnik (86)"/>
      <sheetName val="Флак (86)"/>
      <sheetName val="Spravochnik (85)"/>
      <sheetName val="Флак (85)"/>
      <sheetName val="Spravochnik (84)"/>
      <sheetName val="Флак (84)"/>
      <sheetName val="Spravochnik (83)"/>
      <sheetName val="Флак (83)"/>
      <sheetName val="Spravochnik (82)"/>
      <sheetName val="Флак (82)"/>
      <sheetName val="Spravochnik (81)"/>
      <sheetName val="Флак (81)"/>
      <sheetName val="Spravochnik (80)"/>
      <sheetName val="Флак (80)"/>
      <sheetName val="Spravochnik (79)"/>
      <sheetName val="Флак (79)"/>
      <sheetName val="Spravochnik (78)"/>
      <sheetName val="Флак (78)"/>
      <sheetName val="Spravochnik (77)"/>
      <sheetName val="Флак (77)"/>
      <sheetName val="Spravochnik (76)"/>
      <sheetName val="Флак (76)"/>
      <sheetName val="Spravochnik (75)"/>
      <sheetName val="Флак (75)"/>
      <sheetName val="Spravochnik (74)"/>
      <sheetName val="Флак (74)"/>
      <sheetName val="Spravochnik (73)"/>
      <sheetName val="Флак (73)"/>
      <sheetName val="Spravochnik (72)"/>
      <sheetName val="Флак (72)"/>
      <sheetName val="Spravochnik (71)"/>
      <sheetName val="Флак (71)"/>
      <sheetName val="Spravochnik (70)"/>
      <sheetName val="Флак (70)"/>
      <sheetName val="Spravochnik (69)"/>
      <sheetName val="Флак (69)"/>
      <sheetName val="Spravochnik (68)"/>
      <sheetName val="Флак (68)"/>
      <sheetName val="Spravochnik (67)"/>
      <sheetName val="Флак (67)"/>
      <sheetName val="Spravochnik (66)"/>
      <sheetName val="Флак (66)"/>
      <sheetName val="Spravochnik (65)"/>
      <sheetName val="Флак (65)"/>
      <sheetName val="Spravochnik (64)"/>
      <sheetName val="Флак (64)"/>
      <sheetName val="Spravochnik (63)"/>
      <sheetName val="Флак (63)"/>
      <sheetName val="Spravochnik (62)"/>
      <sheetName val="Флак (62)"/>
      <sheetName val="Spravochnik (61)"/>
      <sheetName val="Флак (61)"/>
      <sheetName val="Spravochnik (60)"/>
      <sheetName val="Флак (60)"/>
      <sheetName val="Spravochnik (59)"/>
      <sheetName val="Флак (59)"/>
      <sheetName val="Spravochnik (58)"/>
      <sheetName val="Флак (58)"/>
      <sheetName val="Spravochnik (57)"/>
      <sheetName val="Флак (57)"/>
      <sheetName val="Spravochnik (56)"/>
      <sheetName val="Флак (56)"/>
      <sheetName val="Spravochnik (55)"/>
      <sheetName val="Флак (55)"/>
      <sheetName val="Spravochnik (54)"/>
      <sheetName val="Флак (54)"/>
      <sheetName val="Spravochnik (53)"/>
      <sheetName val="Флак (53)"/>
      <sheetName val="Spravochnik (52)"/>
      <sheetName val="Флак (52)"/>
      <sheetName val="Spravochnik (51)"/>
      <sheetName val="Флак (51)"/>
      <sheetName val="Spravochnik (50)"/>
      <sheetName val="Флак (50)"/>
      <sheetName val="Spravochnik (49)"/>
      <sheetName val="Флак (49)"/>
      <sheetName val="Spravochnik (48)"/>
      <sheetName val="Флак (48)"/>
      <sheetName val="Spravochnik (47)"/>
      <sheetName val="Флак (47)"/>
      <sheetName val="Spravochnik (46)"/>
      <sheetName val="Флак (46)"/>
      <sheetName val="Spravochnik (45)"/>
      <sheetName val="Флак (45)"/>
      <sheetName val="Spravochnik (44)"/>
      <sheetName val="Флак (44)"/>
      <sheetName val="Spravochnik (43)"/>
      <sheetName val="Флак (43)"/>
      <sheetName val="Spravochnik (42)"/>
      <sheetName val="Флак (42)"/>
      <sheetName val="Spravochnik (41)"/>
      <sheetName val="Флак (41)"/>
      <sheetName val="Spravochnik (40)"/>
      <sheetName val="Флак (40)"/>
      <sheetName val="Spravochnik (39)"/>
      <sheetName val="Флак (39)"/>
      <sheetName val="Spravochnik (38)"/>
      <sheetName val="Флак (38)"/>
      <sheetName val="Spravochnik (37)"/>
      <sheetName val="Флак (37)"/>
      <sheetName val="Spravochnik (36)"/>
      <sheetName val="Флак (36)"/>
      <sheetName val="Spravochnik (35)"/>
      <sheetName val="Флак (35)"/>
      <sheetName val="Spravochnik (34)"/>
      <sheetName val="Флак (34)"/>
      <sheetName val="Spravochnik (33)"/>
      <sheetName val="Флак (33)"/>
      <sheetName val="Spravochnik (32)"/>
      <sheetName val="Флак (32)"/>
      <sheetName val="Spravochnik (31)"/>
      <sheetName val="Флак (31)"/>
      <sheetName val="Spravochnik (30)"/>
      <sheetName val="Флак (30)"/>
      <sheetName val="Spravochnik (29)"/>
      <sheetName val="Флак (29)"/>
      <sheetName val="Spravochnik (28)"/>
      <sheetName val="Флак (28)"/>
      <sheetName val="Spravochnik (27)"/>
      <sheetName val="Флак (27)"/>
      <sheetName val="Spravochnik (26)"/>
      <sheetName val="Флак (26)"/>
      <sheetName val="Spravochnik (25)"/>
      <sheetName val="Флак (25)"/>
      <sheetName val="Spravochnik (24)"/>
      <sheetName val="Флак (24)"/>
      <sheetName val="Spravochnik (23)"/>
      <sheetName val="Флак (23)"/>
      <sheetName val="Spravochnik (22)"/>
      <sheetName val="Флак (22)"/>
      <sheetName val="Spravochnik (21)"/>
      <sheetName val="Флак (21)"/>
      <sheetName val="Spravochnik (20)"/>
      <sheetName val="Флак (20)"/>
      <sheetName val="Spravochnik (19)"/>
      <sheetName val="Флак (19)"/>
      <sheetName val="Spravochnik (18)"/>
      <sheetName val="Флак (18)"/>
      <sheetName val="Spravochnik (17)"/>
      <sheetName val="Флак (17)"/>
      <sheetName val="Spravochnik (16)"/>
      <sheetName val="Флак (16)"/>
      <sheetName val="Spravochnik (15)"/>
      <sheetName val="Флак (15)"/>
      <sheetName val="Spravochnik (14)"/>
      <sheetName val="Флак (14)"/>
      <sheetName val="Spravochnik (13)"/>
      <sheetName val="Флак (13)"/>
      <sheetName val="Spravochnik (12)"/>
      <sheetName val="Флак (12)"/>
      <sheetName val="Spravochnik (11)"/>
      <sheetName val="Флак (11)"/>
      <sheetName val="Spravochnik (10)"/>
      <sheetName val="Флак (10)"/>
      <sheetName val="Spravochnik (9)"/>
      <sheetName val="Флак (9)"/>
      <sheetName val="Spravochnik (8)"/>
      <sheetName val="Флак (8)"/>
      <sheetName val="Spravochnik (7)"/>
      <sheetName val="Флак (7)"/>
      <sheetName val="Spravochnik (6)"/>
      <sheetName val="Флак (6)"/>
      <sheetName val="Spravochnik (5)"/>
      <sheetName val="Флак (5)"/>
      <sheetName val="Spravochnik (4)"/>
      <sheetName val="Флак (4)"/>
      <sheetName val="Spravochnik (3)"/>
      <sheetName val="Флак (3)"/>
      <sheetName val="Spravochnik (2)"/>
      <sheetName val="Флак (2)"/>
      <sheetName val="Spravochnik"/>
      <sheetName val="Флак"/>
    </sheetNames>
    <sheetDataSet>
      <sheetData sheetId="0"/>
      <sheetData sheetId="1"/>
      <sheetData sheetId="2"/>
      <sheetData sheetId="3"/>
      <sheetData sheetId="4"/>
      <sheetData sheetId="5"/>
      <sheetData sheetId="6"/>
      <sheetData sheetId="7"/>
      <sheetData sheetId="8"/>
      <sheetData sheetId="9"/>
      <sheetData sheetId="10">
        <row r="3">
          <cell r="P3">
            <v>287412</v>
          </cell>
          <cell r="X3">
            <v>90313</v>
          </cell>
          <cell r="AE3">
            <v>72304</v>
          </cell>
          <cell r="AK3">
            <v>13166</v>
          </cell>
          <cell r="BR3">
            <v>238</v>
          </cell>
          <cell r="DG3">
            <v>0.83323825427942178</v>
          </cell>
          <cell r="DJ3">
            <v>0.73065842762306377</v>
          </cell>
        </row>
        <row r="4">
          <cell r="P4">
            <v>410093</v>
          </cell>
          <cell r="X4">
            <v>152789</v>
          </cell>
          <cell r="AE4">
            <v>107609</v>
          </cell>
          <cell r="AK4">
            <v>19492</v>
          </cell>
          <cell r="BR4">
            <v>370</v>
          </cell>
          <cell r="DG4">
            <v>0.82546447685882596</v>
          </cell>
          <cell r="DJ4">
            <v>0.69008737042573265</v>
          </cell>
        </row>
        <row r="5">
          <cell r="P5">
            <v>203416</v>
          </cell>
          <cell r="X5">
            <v>75931</v>
          </cell>
          <cell r="AE5">
            <v>53065</v>
          </cell>
          <cell r="AK5">
            <v>9286</v>
          </cell>
          <cell r="BR5">
            <v>208</v>
          </cell>
          <cell r="DG5">
            <v>1.0573618821041502</v>
          </cell>
          <cell r="DJ5">
            <v>1.0274511346206787</v>
          </cell>
        </row>
        <row r="6">
          <cell r="P6">
            <v>1199108</v>
          </cell>
          <cell r="X6">
            <v>463137</v>
          </cell>
          <cell r="AE6">
            <v>326140</v>
          </cell>
          <cell r="AK6">
            <v>60776</v>
          </cell>
          <cell r="BR6">
            <v>816</v>
          </cell>
          <cell r="DG6">
            <v>0.76791888867392089</v>
          </cell>
          <cell r="DJ6">
            <v>0.70635839307218362</v>
          </cell>
        </row>
        <row r="7">
          <cell r="P7">
            <v>1573485</v>
          </cell>
          <cell r="X7">
            <v>639437</v>
          </cell>
          <cell r="AE7">
            <v>449075</v>
          </cell>
          <cell r="AK7">
            <v>73852</v>
          </cell>
          <cell r="BR7">
            <v>1118</v>
          </cell>
          <cell r="DG7">
            <v>0.74776241829319534</v>
          </cell>
          <cell r="DJ7">
            <v>0.69082323631938025</v>
          </cell>
        </row>
        <row r="8">
          <cell r="P8">
            <v>602043</v>
          </cell>
          <cell r="X8">
            <v>225963</v>
          </cell>
          <cell r="AE8">
            <v>160250</v>
          </cell>
          <cell r="AK8">
            <v>28612</v>
          </cell>
          <cell r="BR8">
            <v>876</v>
          </cell>
          <cell r="DG8">
            <v>1.5412066060216199</v>
          </cell>
          <cell r="DJ8">
            <v>1.265690324445264</v>
          </cell>
        </row>
        <row r="9">
          <cell r="P9">
            <v>592226</v>
          </cell>
          <cell r="X9">
            <v>232093</v>
          </cell>
          <cell r="AE9">
            <v>164160</v>
          </cell>
          <cell r="AK9">
            <v>29963</v>
          </cell>
          <cell r="BR9">
            <v>704</v>
          </cell>
          <cell r="DG9">
            <v>1.2132901941264309</v>
          </cell>
          <cell r="DJ9">
            <v>1.0063725672294024</v>
          </cell>
        </row>
        <row r="10">
          <cell r="P10">
            <v>226848</v>
          </cell>
          <cell r="X10">
            <v>79460</v>
          </cell>
          <cell r="AE10">
            <v>56247</v>
          </cell>
          <cell r="AK10">
            <v>10241</v>
          </cell>
          <cell r="BR10">
            <v>185</v>
          </cell>
          <cell r="DG10">
            <v>0.87060195906884186</v>
          </cell>
          <cell r="DJ10">
            <v>0.91691352800112846</v>
          </cell>
        </row>
        <row r="11">
          <cell r="P11">
            <v>577147</v>
          </cell>
          <cell r="X11">
            <v>212109</v>
          </cell>
          <cell r="AE11">
            <v>149322</v>
          </cell>
          <cell r="AK11">
            <v>26518</v>
          </cell>
          <cell r="BR11">
            <v>1078</v>
          </cell>
          <cell r="DG11">
            <v>1.8017491910163308</v>
          </cell>
          <cell r="DJ11">
            <v>0.95123079562052648</v>
          </cell>
        </row>
        <row r="12">
          <cell r="P12">
            <v>372310</v>
          </cell>
          <cell r="X12">
            <v>141205</v>
          </cell>
          <cell r="AE12">
            <v>100013</v>
          </cell>
          <cell r="AK12">
            <v>18166</v>
          </cell>
          <cell r="BR12">
            <v>704</v>
          </cell>
          <cell r="DG12">
            <v>1.8569682801126401</v>
          </cell>
          <cell r="DJ12">
            <v>2.4253981896806422</v>
          </cell>
        </row>
        <row r="13">
          <cell r="P13">
            <v>194381</v>
          </cell>
          <cell r="X13">
            <v>71885</v>
          </cell>
          <cell r="AE13">
            <v>51585</v>
          </cell>
          <cell r="AK13">
            <v>9189</v>
          </cell>
          <cell r="BR13">
            <v>190</v>
          </cell>
          <cell r="DG13">
            <v>1.2477273537485296</v>
          </cell>
          <cell r="DJ13">
            <v>1.0031844676177197</v>
          </cell>
        </row>
        <row r="14">
          <cell r="P14">
            <v>583431</v>
          </cell>
          <cell r="X14">
            <v>217564</v>
          </cell>
          <cell r="AE14">
            <v>154291</v>
          </cell>
          <cell r="AK14">
            <v>27921</v>
          </cell>
          <cell r="BR14">
            <v>399</v>
          </cell>
          <cell r="DG14">
            <v>0.72276751773678305</v>
          </cell>
          <cell r="DJ14">
            <v>0.70273948418921861</v>
          </cell>
        </row>
        <row r="15">
          <cell r="P15">
            <v>240904</v>
          </cell>
          <cell r="X15">
            <v>87576</v>
          </cell>
          <cell r="AE15">
            <v>61988</v>
          </cell>
          <cell r="AK15">
            <v>11162</v>
          </cell>
          <cell r="BR15">
            <v>330</v>
          </cell>
          <cell r="DG15">
            <v>1.252964603749944</v>
          </cell>
          <cell r="DJ15">
            <v>1.1456845880516722</v>
          </cell>
        </row>
        <row r="16">
          <cell r="P16">
            <v>949224</v>
          </cell>
          <cell r="X16">
            <v>362358</v>
          </cell>
          <cell r="AE16">
            <v>254703</v>
          </cell>
          <cell r="AK16">
            <v>46763</v>
          </cell>
          <cell r="BR16">
            <v>458</v>
          </cell>
          <cell r="DG16">
            <v>0.53043648885544314</v>
          </cell>
          <cell r="DJ16">
            <v>0.49830177070954795</v>
          </cell>
        </row>
        <row r="18">
          <cell r="P18">
            <v>30328283</v>
          </cell>
          <cell r="X18">
            <v>11423761</v>
          </cell>
          <cell r="AE18">
            <v>8079561</v>
          </cell>
          <cell r="AK18">
            <v>1476347</v>
          </cell>
          <cell r="DG18">
            <v>1.5981904340707063</v>
          </cell>
        </row>
        <row r="19">
          <cell r="DG19">
            <v>1.0906755796175769</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85"/>
      <sheetName val="КДН_Свод"/>
      <sheetName val="Форма № 1-КДН - 023-Раздел 2_21"/>
      <sheetName val="Форма № 1-КДН - 025-Раздел 2_21"/>
      <sheetName val="Форма № 1-КДН - 026-Раздел 2_21"/>
      <sheetName val="Форма № 1-КДН - 031-Раздел 2_21"/>
      <sheetName val="Форма № 1-КДН - 036-Раздел 2_21"/>
      <sheetName val="Форма № 1-КДН - 039-Раздел 2_21"/>
      <sheetName val="Форма № 1-КДН - 050-Раздел 2_21"/>
      <sheetName val="Форма № 1-КДН - 052-Раздел 2_21"/>
      <sheetName val="Форма № 1-КДН - 054-Раздел 2_21"/>
      <sheetName val="Форма № 1-КДН - 058-Раздел 2_21"/>
      <sheetName val="Форма № 1-КДН - 059-Раздел 2_21"/>
      <sheetName val="Форма № 1-КДН - 062-Раздел 2_21"/>
      <sheetName val="Форма № 1-КДН - 071-Раздел 2_21"/>
      <sheetName val="Форма № 1-КДН - 072-Раздел 2_21"/>
      <sheetName val="Форма № 1-КДН - 023-Раздел 2_20"/>
      <sheetName val="Форма № 1-КДН - 025-Раздел 2_20"/>
      <sheetName val="Форма № 1-КДН - 026-Раздел 2_20"/>
      <sheetName val="Форма № 1-КДН - 031-Раздел 2_20"/>
      <sheetName val="Форма № 1-КДН - 036-Раздел 2_20"/>
      <sheetName val="Форма № 1-КДН - 039-Раздел 2_20"/>
      <sheetName val="Форма № 1-КДН - 050-Раздел 2_20"/>
      <sheetName val="Форма № 1-КДН - 052-Раздел 2_20"/>
      <sheetName val="Форма № 1-КДН - 054-Раздел 2_20"/>
      <sheetName val="Форма № 1-КДН - 058-Раздел 2_20"/>
      <sheetName val="Форма № 1-КДН - 059-Раздел 2_20"/>
      <sheetName val="Форма № 1-КДН - 062-Раздел 2_20"/>
      <sheetName val="Форма № 1-КДН - 071-Раздел 2_20"/>
      <sheetName val="Форма № 1-КДН - 072-Раздел 2_20"/>
      <sheetName val="Форма № 1-КДН - 023-Раздел 2_19"/>
      <sheetName val="Форма № 1-КДН - 025-Раздел 2_19"/>
      <sheetName val="Форма № 1-КДН - 026-Раздел 2_19"/>
      <sheetName val="Форма № 1-КДН - 031-Раздел 2_19"/>
      <sheetName val="Форма № 1-КДН - 036-Раздел 2_19"/>
      <sheetName val="Форма № 1-КДН - 039-Раздел 2_19"/>
      <sheetName val="Форма № 1-КДН - 050-Раздел 2_19"/>
      <sheetName val="Форма № 1-КДН - 052-Раздел 2_19"/>
      <sheetName val="Форма № 1-КДН - 054-Раздел 2_19"/>
      <sheetName val="Форма № 1-КДН - 058-Раздел 2_19"/>
      <sheetName val="Форма № 1-КДН - 059-Раздел 2_19"/>
      <sheetName val="Форма № 1-КДН - 062-Раздел 2_19"/>
      <sheetName val="Форма № 1-КДН - 071-Раздел 2_19"/>
      <sheetName val="Форма № 1-КДН - 072-Раздел 2_19"/>
      <sheetName val="Форма № 1-КДН - 023-Раздел 2_18"/>
      <sheetName val="Форма № 1-КДН - 025-Раздел 2_18"/>
      <sheetName val="Форма № 1-КДН - 026-Раздел 2_18"/>
      <sheetName val="Форма № 1-КДН - 031-Раздел 2_18"/>
      <sheetName val="Форма № 1-КДН - 036-Раздел 2_18"/>
      <sheetName val="Форма № 1-КДН - 039-Раздел 2_18"/>
      <sheetName val="Форма № 1-КДН - 050-Раздел 2_18"/>
      <sheetName val="Форма № 1-КДН - 052-Раздел 2_18"/>
      <sheetName val="Форма № 1-КДН - 054-Раздел 2_18"/>
      <sheetName val="Форма № 1-КДН - 058-Раздел 2_18"/>
      <sheetName val="Форма № 1-КДН - 059-Раздел 2_18"/>
      <sheetName val="Форма № 1-КДН - 062-Раздел 2_18"/>
      <sheetName val="Форма № 1-КДН - 071-Раздел 2_18"/>
      <sheetName val="Форма № 1-КДН - 072-Раздел 2_18"/>
    </sheetNames>
    <sheetDataSet>
      <sheetData sheetId="0"/>
      <sheetData sheetId="1">
        <row r="3">
          <cell r="H3">
            <v>1065</v>
          </cell>
          <cell r="M3">
            <v>1514527</v>
          </cell>
          <cell r="AC3">
            <v>881700.6</v>
          </cell>
        </row>
        <row r="4">
          <cell r="H4">
            <v>1506</v>
          </cell>
          <cell r="M4">
            <v>2285282</v>
          </cell>
          <cell r="AC4">
            <v>546328.80000000005</v>
          </cell>
        </row>
        <row r="5">
          <cell r="H5">
            <v>1190</v>
          </cell>
          <cell r="M5">
            <v>1032343</v>
          </cell>
          <cell r="AC5">
            <v>659727.30000000005</v>
          </cell>
        </row>
        <row r="6">
          <cell r="H6">
            <v>5274</v>
          </cell>
          <cell r="M6">
            <v>5819345</v>
          </cell>
          <cell r="AC6">
            <v>562926</v>
          </cell>
        </row>
        <row r="7">
          <cell r="H7">
            <v>8555</v>
          </cell>
          <cell r="M7">
            <v>8591736</v>
          </cell>
          <cell r="AC7">
            <v>882875.6</v>
          </cell>
        </row>
        <row r="8">
          <cell r="H8">
            <v>3878</v>
          </cell>
          <cell r="M8">
            <v>3081817</v>
          </cell>
          <cell r="AC8">
            <v>597430.6</v>
          </cell>
        </row>
        <row r="9">
          <cell r="H9">
            <v>2777</v>
          </cell>
          <cell r="M9">
            <v>2794266</v>
          </cell>
          <cell r="AC9">
            <v>581018.30000000005</v>
          </cell>
        </row>
        <row r="10">
          <cell r="H10">
            <v>1131</v>
          </cell>
          <cell r="M10">
            <v>1246609</v>
          </cell>
          <cell r="AC10">
            <v>418946.1</v>
          </cell>
        </row>
        <row r="11">
          <cell r="H11">
            <v>6485</v>
          </cell>
          <cell r="M11">
            <v>2508352</v>
          </cell>
          <cell r="AC11">
            <v>677759.9</v>
          </cell>
        </row>
        <row r="12">
          <cell r="H12">
            <v>2459</v>
          </cell>
          <cell r="M12">
            <v>1820076</v>
          </cell>
          <cell r="AC12">
            <v>699777.8</v>
          </cell>
        </row>
        <row r="13">
          <cell r="H13">
            <v>390</v>
          </cell>
          <cell r="M13">
            <v>1088918</v>
          </cell>
          <cell r="AC13">
            <v>487276.4</v>
          </cell>
        </row>
        <row r="14">
          <cell r="H14">
            <v>1034</v>
          </cell>
          <cell r="M14">
            <v>2891204</v>
          </cell>
          <cell r="AC14">
            <v>367687.1</v>
          </cell>
        </row>
        <row r="15">
          <cell r="H15">
            <v>4931</v>
          </cell>
          <cell r="M15">
            <v>1481471</v>
          </cell>
          <cell r="AC15">
            <v>867817</v>
          </cell>
        </row>
        <row r="16">
          <cell r="H16">
            <v>4980</v>
          </cell>
          <cell r="M16">
            <v>3851234</v>
          </cell>
          <cell r="AC16">
            <v>2992775.4</v>
          </cell>
        </row>
        <row r="17">
          <cell r="H17">
            <v>210309</v>
          </cell>
          <cell r="M17">
            <v>146447424</v>
          </cell>
          <cell r="AC17">
            <v>830792.7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Лист2"/>
    </sheetNames>
    <sheetDataSet>
      <sheetData sheetId="0"/>
      <sheetData sheetId="1">
        <row r="2">
          <cell r="B2">
            <v>2643</v>
          </cell>
        </row>
        <row r="3">
          <cell r="B3">
            <v>1999</v>
          </cell>
        </row>
        <row r="4">
          <cell r="B4">
            <v>104</v>
          </cell>
        </row>
        <row r="5">
          <cell r="B5">
            <v>4801</v>
          </cell>
        </row>
        <row r="6">
          <cell r="B6">
            <v>4634</v>
          </cell>
        </row>
        <row r="7">
          <cell r="B7">
            <v>449</v>
          </cell>
        </row>
        <row r="8">
          <cell r="B8">
            <v>119</v>
          </cell>
        </row>
        <row r="9">
          <cell r="B9">
            <v>301</v>
          </cell>
        </row>
        <row r="10">
          <cell r="B10">
            <v>44</v>
          </cell>
        </row>
        <row r="11">
          <cell r="B11">
            <v>66</v>
          </cell>
        </row>
        <row r="12">
          <cell r="B12">
            <v>343</v>
          </cell>
        </row>
        <row r="13">
          <cell r="B13">
            <v>622</v>
          </cell>
        </row>
        <row r="14">
          <cell r="B14">
            <v>698</v>
          </cell>
        </row>
        <row r="15">
          <cell r="B15">
            <v>147</v>
          </cell>
        </row>
        <row r="16">
          <cell r="B16">
            <v>432327</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Данные"/>
      <sheetName val="Паспорт"/>
    </sheetNames>
    <sheetDataSet>
      <sheetData sheetId="0">
        <row r="5">
          <cell r="E5">
            <v>24876976</v>
          </cell>
        </row>
        <row r="10">
          <cell r="E10">
            <v>1192218</v>
          </cell>
        </row>
        <row r="15">
          <cell r="E15">
            <v>516389</v>
          </cell>
        </row>
        <row r="20">
          <cell r="E20">
            <v>335528</v>
          </cell>
        </row>
        <row r="25">
          <cell r="E25">
            <v>501654</v>
          </cell>
        </row>
        <row r="30">
          <cell r="E30">
            <v>218346</v>
          </cell>
        </row>
        <row r="35">
          <cell r="E35">
            <v>355459</v>
          </cell>
        </row>
        <row r="40">
          <cell r="E40">
            <v>148641</v>
          </cell>
        </row>
        <row r="45">
          <cell r="E45">
            <v>1211040</v>
          </cell>
        </row>
        <row r="50">
          <cell r="E50">
            <v>530105</v>
          </cell>
        </row>
        <row r="55">
          <cell r="E55">
            <v>450720</v>
          </cell>
        </row>
        <row r="60">
          <cell r="E60">
            <v>202525</v>
          </cell>
        </row>
        <row r="65">
          <cell r="E65">
            <v>186015</v>
          </cell>
        </row>
        <row r="70">
          <cell r="E70">
            <v>247476</v>
          </cell>
        </row>
        <row r="75">
          <cell r="E75">
            <v>330849</v>
          </cell>
        </row>
      </sheetData>
      <sheetData sheetId="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081.916821296298" createdVersion="6" refreshedVersion="6" minRefreshableVersion="3" recordCount="14" xr:uid="{00000000-000A-0000-FFFF-FFFF00000000}">
  <cacheSource type="worksheet">
    <worksheetSource name="Table1"/>
  </cacheSource>
  <cacheFields count="19">
    <cacheField name="РЕГИОН" numFmtId="0">
      <sharedItems count="14">
        <s v="Белгородская"/>
        <s v="Воронежская"/>
        <s v="Калининградская"/>
        <s v="Краснодарский"/>
        <s v="Московская"/>
        <s v="Нижегородская"/>
        <s v="Новосибирская"/>
        <s v="Пензенская"/>
        <s v="Пермский"/>
        <s v="Приморский"/>
        <s v="Рязанская"/>
        <s v="Ставропольский"/>
        <s v="Тульская"/>
        <s v="Тюменская"/>
      </sharedItems>
    </cacheField>
    <cacheField name="Регион_полное название" numFmtId="0">
      <sharedItems count="14">
        <s v="Белгородская область"/>
        <s v="Воронежская область"/>
        <s v="Калининградская область"/>
        <s v="Краснодарский край"/>
        <s v="Московская область"/>
        <s v="Нижегородская область"/>
        <s v="Новосибирская область"/>
        <s v="Пензенская область"/>
        <s v="Пермский край"/>
        <s v="Приморский край"/>
        <s v="Рязанская область"/>
        <s v="Ставропольский край"/>
        <s v="Тульская область"/>
        <s v="Тюменская область"/>
      </sharedItems>
    </cacheField>
    <cacheField name="СОЦ_СИР" numFmtId="2">
      <sharedItems containsSemiMixedTypes="0" containsString="0" containsNumber="1" minValue="0" maxValue="1"/>
    </cacheField>
    <cacheField name="СКР_СИР" numFmtId="2">
      <sharedItems containsSemiMixedTypes="0" containsString="0" containsNumber="1" minValue="0" maxValue="1"/>
    </cacheField>
    <cacheField name="МСШТБ" numFmtId="2">
      <sharedItems containsSemiMixedTypes="0" containsString="0" containsNumber="1" minValue="8.967797950297926E-2" maxValue="0.85853658536585375"/>
    </cacheField>
    <cacheField name="АЛКО" numFmtId="2">
      <sharedItems containsSemiMixedTypes="0" containsString="0" containsNumber="1" minValue="0" maxValue="1"/>
    </cacheField>
    <cacheField name="ВРП" numFmtId="2">
      <sharedItems containsSemiMixedTypes="0" containsString="0" containsNumber="1" minValue="0" maxValue="1"/>
    </cacheField>
    <cacheField name="БЕДНОСТЬ" numFmtId="2">
      <sharedItems containsSemiMixedTypes="0" containsString="0" containsNumber="1" minValue="0" maxValue="1"/>
    </cacheField>
    <cacheField name="СУБЪЕКТ_БЕДН" numFmtId="2">
      <sharedItems containsSemiMixedTypes="0" containsString="0" containsNumber="1" minValue="0" maxValue="1"/>
    </cacheField>
    <cacheField name="ТМП" numFmtId="2">
      <sharedItems containsSemiMixedTypes="0" containsString="0" containsNumber="1" minValue="0.35646813376640762" maxValue="0.9461090227850566"/>
    </cacheField>
    <cacheField name="ЗДОРВ_ВЗР" numFmtId="2">
      <sharedItems containsSemiMixedTypes="0" containsString="0" containsNumber="1" minValue="0" maxValue="1"/>
    </cacheField>
    <cacheField name="ЗДОР_ДЕТ" numFmtId="2">
      <sharedItems containsSemiMixedTypes="0" containsString="0" containsNumber="1" minValue="0" maxValue="1"/>
    </cacheField>
    <cacheField name="Столбец1" numFmtId="2">
      <sharedItems containsNonDate="0" containsString="0" containsBlank="1"/>
    </cacheField>
    <cacheField name="ВНЕ БРАКА" numFmtId="2">
      <sharedItems containsSemiMixedTypes="0" containsString="0" containsNumber="1" minValue="0" maxValue="1"/>
    </cacheField>
    <cacheField name="Столбец2" numFmtId="2">
      <sharedItems containsNonDate="0" containsString="0" containsBlank="1"/>
    </cacheField>
    <cacheField name="МНОГОДЕТ" numFmtId="2">
      <sharedItems containsSemiMixedTypes="0" containsString="0" containsNumber="1" minValue="0" maxValue="1"/>
    </cacheField>
    <cacheField name="МИГРАЦИЯ" numFmtId="2">
      <sharedItems containsSemiMixedTypes="0" containsString="0" containsNumber="1" minValue="0" maxValue="1"/>
    </cacheField>
    <cacheField name="Факторы риска" numFmtId="2">
      <sharedItems containsSemiMixedTypes="0" containsString="0" containsNumber="1" minValue="0.22961143662023056" maxValue="0.62490441906288363"/>
    </cacheField>
    <cacheField name="РИСК/МСШБ" numFmtId="2">
      <sharedItems containsSemiMixedTypes="0" containsString="0" containsNumber="1" minValue="0.20575480993741591" maxValue="2.0580438641280185"/>
    </cacheField>
  </cacheFields>
  <extLst>
    <ext xmlns:x14="http://schemas.microsoft.com/office/spreadsheetml/2009/9/main" uri="{725AE2AE-9491-48be-B2B4-4EB974FC3084}">
      <x14:pivotCacheDefinition pivotCacheId="661173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0.12057344646905344"/>
    <n v="0.14634146341463417"/>
    <n v="0.1257270498581696"/>
    <n v="0.37218509488703422"/>
    <n v="0.8041919199441786"/>
    <n v="9.0909090909090856E-2"/>
    <n v="0"/>
    <n v="0.38089404717160402"/>
    <n v="1"/>
    <n v="0.95173142574467229"/>
    <m/>
    <n v="0.43954065789790459"/>
    <m/>
    <n v="7.1726922396515985E-2"/>
    <n v="1"/>
    <n v="0.6110527860632361"/>
    <n v="0.20575480993741591"/>
  </r>
  <r>
    <x v="1"/>
    <x v="1"/>
    <n v="9.9520500286426714E-2"/>
    <n v="0.87804878048780488"/>
    <n v="0.25522615632670237"/>
    <n v="0.82311716487931441"/>
    <n v="0.93194830817690966"/>
    <n v="0.25757575757575762"/>
    <n v="0.73113207547169823"/>
    <n v="0.61507246475223898"/>
    <n v="0.60324017301077848"/>
    <n v="0.66719419120603751"/>
    <m/>
    <n v="0.57304375944012331"/>
    <m/>
    <n v="9.2298358072592165E-2"/>
    <n v="0.5261476248723983"/>
    <n v="0.62490441906288363"/>
    <n v="0.40842431024802717"/>
  </r>
  <r>
    <x v="2"/>
    <x v="2"/>
    <n v="0.27458375133801116"/>
    <n v="0.21951219512195122"/>
    <n v="0.26356944009479916"/>
    <n v="0.46178486821178411"/>
    <n v="0.88875033270309411"/>
    <n v="1"/>
    <n v="0.61792452830188682"/>
    <n v="0.89575485855691672"/>
    <n v="0.19759055638722117"/>
    <n v="1"/>
    <m/>
    <n v="0.81013793709995052"/>
    <m/>
    <n v="0.1803274718084657"/>
    <n v="4.7702691519067725E-2"/>
    <n v="0.43532885301042057"/>
    <n v="0.60544904908586439"/>
  </r>
  <r>
    <x v="3"/>
    <x v="3"/>
    <n v="0.10796378443467827"/>
    <n v="0.91463414634146345"/>
    <n v="0.2692978568160353"/>
    <n v="0.14008520235416302"/>
    <n v="0.92562577799763923"/>
    <n v="0.53030303030303028"/>
    <n v="0.679245283018868"/>
    <n v="0.72070836483288225"/>
    <n v="0.36276223414916214"/>
    <n v="0.64527398051136187"/>
    <m/>
    <n v="0.76331729763946488"/>
    <m/>
    <n v="0.30074201669291328"/>
    <n v="0.43067276196772564"/>
    <n v="0.3814377051105875"/>
    <n v="0.70600743767048335"/>
  </r>
  <r>
    <x v="4"/>
    <x v="4"/>
    <n v="9.9902352427504587E-2"/>
    <n v="4.8780487804878044E-2"/>
    <n v="8.967797950297926E-2"/>
    <n v="0"/>
    <n v="0.80374431595310525"/>
    <n v="0"/>
    <n v="0.46698113207547171"/>
    <n v="0.41156923922532779"/>
    <n v="0"/>
    <n v="0.61546322652915408"/>
    <m/>
    <n v="0.9502165516440938"/>
    <m/>
    <n v="0.148935329382548"/>
    <n v="0.3145764463308216"/>
    <n v="0.22961143662023056"/>
    <n v="0.39056408000836457"/>
  </r>
  <r>
    <x v="5"/>
    <x v="5"/>
    <n v="0.39820973469788101"/>
    <n v="0.68292682926829262"/>
    <n v="0.45515315361196329"/>
    <n v="1"/>
    <n v="0.91248161061858379"/>
    <n v="0.37878787878787878"/>
    <n v="0.17924528301886794"/>
    <n v="0.57617248445236868"/>
    <n v="0.53708489611131338"/>
    <n v="0.66905698701886185"/>
    <m/>
    <n v="0.63396935037904012"/>
    <m/>
    <n v="0"/>
    <n v="7.3419368933478335E-2"/>
    <n v="0.59168394599498797"/>
    <n v="0.76925047010793635"/>
  </r>
  <r>
    <x v="6"/>
    <x v="6"/>
    <n v="0.26364575820815495"/>
    <n v="0.51219512195121952"/>
    <n v="0.31335563095676783"/>
    <n v="0.27604767541874664"/>
    <n v="0.91873370507193974"/>
    <n v="0.8787878787878789"/>
    <n v="1"/>
    <n v="0.91383897185524188"/>
    <n v="0.27868586145380714"/>
    <n v="0"/>
    <m/>
    <n v="0.86135576844480866"/>
    <m/>
    <n v="0.4375575726951253"/>
    <n v="1.3673783831852289E-2"/>
    <n v="0.32513852543679006"/>
    <n v="0.96376038654849305"/>
  </r>
  <r>
    <x v="7"/>
    <x v="7"/>
    <n v="0.21722408550532391"/>
    <n v="0.43902439024390244"/>
    <n v="0.26158414645303962"/>
    <n v="0.63908079021102315"/>
    <n v="0.98047341874176197"/>
    <n v="0.90909090909090917"/>
    <n v="0.83018867924528295"/>
    <n v="0.92771504917809378"/>
    <n v="0.37801300865111731"/>
    <n v="0.58818327546915594"/>
    <m/>
    <n v="0.46009523370811167"/>
    <m/>
    <n v="1.3224874249506894E-2"/>
    <n v="0.13713756063331281"/>
    <n v="0.46465356100148514"/>
    <n v="0.56296597811332294"/>
  </r>
  <r>
    <x v="8"/>
    <x v="8"/>
    <n v="0.23503184399709701"/>
    <n v="0"/>
    <n v="0.18802547519767759"/>
    <n v="0.48324892020904214"/>
    <n v="0.88188100186953722"/>
    <n v="0.90909090909090917"/>
    <n v="0.48113207547169817"/>
    <n v="0.83377367547895354"/>
    <n v="0.44616087317920089"/>
    <n v="0.27265610207229379"/>
    <m/>
    <n v="0"/>
    <m/>
    <n v="0.55043097960645815"/>
    <n v="0"/>
    <n v="0.37351484869602297"/>
    <n v="0.50339491416229631"/>
  </r>
  <r>
    <x v="9"/>
    <x v="9"/>
    <n v="1"/>
    <n v="0.29268292682926828"/>
    <n v="0.85853658536585375"/>
    <n v="0.59788852164197237"/>
    <n v="0.87349351258012908"/>
    <n v="0.90909090909090917"/>
    <n v="0.32547169811320759"/>
    <n v="0.80702107064283435"/>
    <n v="0.19409822473160004"/>
    <n v="0.31222888446038882"/>
    <m/>
    <n v="1"/>
    <m/>
    <n v="8.4779421584363968E-2"/>
    <n v="1.1078810235762907E-2"/>
    <n v="0.41716146109918356"/>
    <n v="2.0580438641280185"/>
  </r>
  <r>
    <x v="10"/>
    <x v="10"/>
    <n v="0.26199140423795514"/>
    <n v="0.63414634146341453"/>
    <n v="0.336422391683047"/>
    <n v="0.66602170474434574"/>
    <n v="0.95444370385559985"/>
    <n v="0.9545454545454547"/>
    <n v="0.679245283018868"/>
    <n v="0.91350000317347169"/>
    <n v="0.85844063174681007"/>
    <n v="0.60524410890233871"/>
    <m/>
    <n v="0.67867478338978049"/>
    <m/>
    <n v="0.29436457487219903"/>
    <n v="0.18513254602769721"/>
    <n v="0.60358472040534883"/>
    <n v="0.55737393659852108"/>
  </r>
  <r>
    <x v="11"/>
    <x v="11"/>
    <n v="0.10608587690117914"/>
    <n v="0.3048780487804878"/>
    <n v="0.14584431127704087"/>
    <n v="0.44263491629882606"/>
    <n v="1"/>
    <n v="0.93939393939393934"/>
    <n v="0.81132075471698117"/>
    <n v="0.9461090227850566"/>
    <n v="0.35142176589556273"/>
    <n v="0.91483545651284537"/>
    <m/>
    <n v="0.94532239296387266"/>
    <m/>
    <n v="0.97003176155164816"/>
    <n v="0.10854290177375067"/>
    <n v="0.53889730286227944"/>
    <n v="0.27063470257210182"/>
  </r>
  <r>
    <x v="12"/>
    <x v="12"/>
    <n v="0.33593691056090053"/>
    <n v="0.51219512195121952"/>
    <n v="0.37118855283896429"/>
    <n v="0.64374572703831756"/>
    <n v="0.80948073251478814"/>
    <n v="0.60606060606060608"/>
    <n v="0.26415094339622641"/>
    <n v="0.64169964628258447"/>
    <n v="0.60491481572418171"/>
    <n v="0.7790696832969074"/>
    <m/>
    <n v="0.8489105229500562"/>
    <m/>
    <n v="7.3830747306273398E-2"/>
    <n v="0.30935305327817558"/>
    <n v="0.56225243716615048"/>
    <n v="0.66018131412612246"/>
  </r>
  <r>
    <x v="13"/>
    <x v="13"/>
    <n v="0"/>
    <n v="1"/>
    <n v="0.2"/>
    <n v="0.16425750304488326"/>
    <n v="0"/>
    <n v="0.80303030303030321"/>
    <n v="9.9056603773584911E-2"/>
    <n v="0.35646813376640762"/>
    <n v="5.5087066575419751E-2"/>
    <n v="0.67395689434293571"/>
    <m/>
    <n v="0.21728197645018155"/>
    <m/>
    <n v="1"/>
    <n v="8.6216590943246178E-3"/>
    <n v="0.25267953900654555"/>
    <n v="0.791516403687989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O6" firstHeaderRow="0" firstDataRow="1" firstDataCol="1"/>
  <pivotFields count="19">
    <pivotField axis="axisRow" showAll="0">
      <items count="15">
        <item h="1" x="0"/>
        <item h="1" x="1"/>
        <item h="1" x="2"/>
        <item h="1" x="3"/>
        <item h="1" x="4"/>
        <item h="1" x="5"/>
        <item x="6"/>
        <item h="1" x="7"/>
        <item h="1" x="8"/>
        <item h="1" x="9"/>
        <item h="1" x="10"/>
        <item h="1" x="11"/>
        <item h="1" x="12"/>
        <item h="1" x="13"/>
        <item t="default"/>
      </items>
    </pivotField>
    <pivotField axis="axisRow" showAll="0">
      <items count="15">
        <item x="0"/>
        <item x="1"/>
        <item x="2"/>
        <item x="3"/>
        <item x="4"/>
        <item x="5"/>
        <item x="6"/>
        <item x="7"/>
        <item x="8"/>
        <item x="9"/>
        <item x="10"/>
        <item x="11"/>
        <item x="12"/>
        <item x="13"/>
        <item t="default"/>
      </items>
    </pivotField>
    <pivotField dataField="1" numFmtId="2" showAll="0"/>
    <pivotField dataField="1" numFmtId="2" showAll="0"/>
    <pivotField dataField="1" numFmtId="2" showAll="0"/>
    <pivotField dataField="1" numFmtId="2" showAll="0"/>
    <pivotField dataField="1" numFmtId="2" showAll="0"/>
    <pivotField dataField="1" numFmtId="2" showAll="0"/>
    <pivotField dataField="1" numFmtId="2" showAll="0"/>
    <pivotField dataField="1" numFmtId="2" showAll="0"/>
    <pivotField dataField="1" numFmtId="2" showAll="0"/>
    <pivotField dataField="1" numFmtId="2" showAll="0"/>
    <pivotField showAll="0"/>
    <pivotField dataField="1" numFmtId="2" showAll="0"/>
    <pivotField showAll="0"/>
    <pivotField dataField="1" numFmtId="2" showAll="0"/>
    <pivotField dataField="1" numFmtId="2" showAll="0"/>
    <pivotField dataField="1" numFmtId="2" showAll="0"/>
    <pivotField numFmtId="2" showAll="0"/>
  </pivotFields>
  <rowFields count="2">
    <field x="0"/>
    <field x="1"/>
  </rowFields>
  <rowItems count="3">
    <i>
      <x v="6"/>
    </i>
    <i r="1">
      <x v="6"/>
    </i>
    <i t="grand">
      <x/>
    </i>
  </rowItems>
  <colFields count="1">
    <field x="-2"/>
  </colFields>
  <colItems count="14">
    <i>
      <x/>
    </i>
    <i i="1">
      <x v="1"/>
    </i>
    <i i="2">
      <x v="2"/>
    </i>
    <i i="3">
      <x v="3"/>
    </i>
    <i i="4">
      <x v="4"/>
    </i>
    <i i="5">
      <x v="5"/>
    </i>
    <i i="6">
      <x v="6"/>
    </i>
    <i i="7">
      <x v="7"/>
    </i>
    <i i="8">
      <x v="8"/>
    </i>
    <i i="9">
      <x v="9"/>
    </i>
    <i i="10">
      <x v="10"/>
    </i>
    <i i="11">
      <x v="11"/>
    </i>
    <i i="12">
      <x v="12"/>
    </i>
    <i i="13">
      <x v="13"/>
    </i>
  </colItems>
  <dataFields count="14">
    <dataField name="Sum of СОЦ_СИР" fld="2" baseField="0" baseItem="0"/>
    <dataField name="Sum of МСШТБ" fld="4" baseField="0" baseItem="0"/>
    <dataField name="Sum of СКР_СИР" fld="3" baseField="0" baseItem="0"/>
    <dataField name="Sum of АЛКО" fld="5" baseField="0" baseItem="0"/>
    <dataField name="Sum of ВРП" fld="6" baseField="0" baseItem="0"/>
    <dataField name="Sum of БЕДНОСТЬ" fld="7" baseField="0" baseItem="0"/>
    <dataField name="Sum of СУБЪЕКТ_БЕДН" fld="8" baseField="0" baseItem="0"/>
    <dataField name="Sum of ТМП" fld="9" baseField="0" baseItem="0"/>
    <dataField name="Sum of ЗДОРВ_ВЗР" fld="10" baseField="0" baseItem="0"/>
    <dataField name="Sum of ЗДОР_ДЕТ" fld="11" baseField="0" baseItem="0"/>
    <dataField name="Sum of ВНЕ БРАКА" fld="13" baseField="0" baseItem="0"/>
    <dataField name="Sum of МНОГОДЕТ" fld="15" baseField="0" baseItem="0"/>
    <dataField name="Sum of МИГРАЦИЯ" fld="16" baseField="0" baseItem="0"/>
    <dataField name="Sum of Факторы риска"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2" firstDataCol="1"/>
  <pivotFields count="19">
    <pivotField axis="axisRow" showAll="0">
      <items count="15">
        <item h="1" x="0"/>
        <item h="1" x="1"/>
        <item h="1" x="2"/>
        <item h="1" x="3"/>
        <item h="1" x="4"/>
        <item h="1" x="5"/>
        <item h="1" x="6"/>
        <item h="1" x="7"/>
        <item h="1" x="8"/>
        <item h="1" x="9"/>
        <item x="10"/>
        <item h="1" x="11"/>
        <item h="1" x="12"/>
        <item h="1" x="13"/>
        <item t="default"/>
      </items>
    </pivotField>
    <pivotField axis="axisRow" showAll="0">
      <items count="15">
        <item x="0"/>
        <item x="1"/>
        <item x="2"/>
        <item x="3"/>
        <item x="4"/>
        <item x="5"/>
        <item x="6"/>
        <item x="7"/>
        <item x="8"/>
        <item x="9"/>
        <item x="10"/>
        <item x="11"/>
        <item x="12"/>
        <item x="13"/>
        <item t="default"/>
      </items>
    </pivotField>
    <pivotField dataField="1" numFmtId="2" showAll="0" defaultSubtotal="0"/>
    <pivotField dataField="1" numFmtId="2" showAll="0" defaultSubtotal="0"/>
    <pivotField dataField="1" numFmtId="2" showAll="0" defaultSubtotal="0"/>
    <pivotField dataField="1" numFmtId="2" showAll="0" defaultSubtotal="0"/>
    <pivotField numFmtId="2" showAll="0" defaultSubtotal="0"/>
    <pivotField numFmtId="2" showAll="0" defaultSubtotal="0"/>
    <pivotField numFmtId="2" showAll="0" defaultSubtotal="0"/>
    <pivotField dataField="1" numFmtId="2" showAll="0" defaultSubtotal="0"/>
    <pivotField dataField="1" numFmtId="2" showAll="0" defaultSubtotal="0"/>
    <pivotField dataField="1" numFmtId="2" showAll="0" defaultSubtotal="0"/>
    <pivotField showAll="0" defaultSubtotal="0"/>
    <pivotField dataField="1" numFmtId="2" showAll="0" defaultSubtotal="0"/>
    <pivotField showAll="0" defaultSubtotal="0"/>
    <pivotField dataField="1" numFmtId="2" showAll="0" defaultSubtotal="0"/>
    <pivotField dataField="1" numFmtId="2" showAll="0" defaultSubtotal="0"/>
    <pivotField dataField="1" numFmtId="2" showAll="0"/>
    <pivotField numFmtId="2" showAll="0"/>
  </pivotFields>
  <rowFields count="2">
    <field x="0"/>
    <field x="1"/>
  </rowFields>
  <rowItems count="3">
    <i>
      <x v="10"/>
    </i>
    <i r="1">
      <x v="10"/>
    </i>
    <i t="grand">
      <x/>
    </i>
  </rowItems>
  <colFields count="1">
    <field x="-2"/>
  </colFields>
  <colItems count="11">
    <i>
      <x/>
    </i>
    <i i="1">
      <x v="1"/>
    </i>
    <i i="2">
      <x v="2"/>
    </i>
    <i i="3">
      <x v="3"/>
    </i>
    <i i="4">
      <x v="4"/>
    </i>
    <i i="5">
      <x v="5"/>
    </i>
    <i i="6">
      <x v="6"/>
    </i>
    <i i="7">
      <x v="7"/>
    </i>
    <i i="8">
      <x v="8"/>
    </i>
    <i i="9">
      <x v="9"/>
    </i>
    <i i="10">
      <x v="10"/>
    </i>
  </colItems>
  <dataFields count="11">
    <dataField name="Сумма по полю СОЦ_СИР" fld="2" baseField="0" baseItem="0"/>
    <dataField name="Сумма по полю СКР_СИР" fld="3" baseField="0" baseItem="0"/>
    <dataField name="Сумма по полю МСШТБ" fld="4" baseField="0" baseItem="0"/>
    <dataField name="Сумма по полю АЛКО" fld="5" baseField="0" baseItem="0"/>
    <dataField name="Сумма по полю ТМП" fld="9" baseField="0" baseItem="0"/>
    <dataField name="Сумма по полю ЗДОРВ_ВЗР" fld="10" baseField="0" baseItem="0"/>
    <dataField name="Сумма по полю ЗДОР_ДЕТ" fld="11" baseField="0" baseItem="0"/>
    <dataField name="Сумма по полю ВНЕ БРАКА" fld="13" baseField="0" baseItem="0"/>
    <dataField name="Сумма по полю МНОГОДЕТ" fld="15" baseField="0" baseItem="0"/>
    <dataField name="Сумма по полю МИГРАЦИЯ" fld="16" baseField="0" baseItem="0"/>
    <dataField name="Sum of Факторы риска" fld="17" baseField="0" baseItem="0"/>
  </dataFields>
  <formats count="6">
    <format dxfId="24">
      <pivotArea type="all" dataOnly="0" outline="0" fieldPosition="0"/>
    </format>
    <format dxfId="23">
      <pivotArea outline="0" collapsedLevelsAreSubtotals="1" fieldPosition="0"/>
    </format>
    <format dxfId="22">
      <pivotArea field="0" type="button" dataOnly="0" labelOnly="1" outline="0" axis="axisRow" fieldPosition="0"/>
    </format>
    <format dxfId="21">
      <pivotArea dataOnly="0" labelOnly="1" fieldPosition="0">
        <references count="1">
          <reference field="0" count="0"/>
        </references>
      </pivotArea>
    </format>
    <format dxfId="20">
      <pivotArea dataOnly="0" labelOnly="1" grandRow="1" outline="0" fieldPosition="0"/>
    </format>
    <format dxfId="19">
      <pivotArea dataOnly="0" labelOnly="1" outline="0" fieldPosition="0">
        <references count="1">
          <reference field="4294967294" count="1">
            <x v="10"/>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РЕГИОН2" xr10:uid="{00000000-0013-0000-FFFF-FFFF01000000}" sourceName="РЕГИОН">
  <pivotTables>
    <pivotTable tabId="11" name="PivotTable1"/>
  </pivotTables>
  <data>
    <tabular pivotCacheId="661173590">
      <items count="14">
        <i x="0"/>
        <i x="1"/>
        <i x="2"/>
        <i x="3"/>
        <i x="4"/>
        <i x="5"/>
        <i x="6"/>
        <i x="7"/>
        <i x="8"/>
        <i x="9"/>
        <i x="10" s="1"/>
        <i x="11"/>
        <i x="12"/>
        <i x="1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РЕГИОН3" xr10:uid="{00000000-0013-0000-FFFF-FFFF02000000}" sourceName="РЕГИОН">
  <pivotTables>
    <pivotTable tabId="20" name="PivotTable1"/>
  </pivotTables>
  <data>
    <tabular pivotCacheId="661173590">
      <items count="14">
        <i x="0"/>
        <i x="1"/>
        <i x="2"/>
        <i x="3"/>
        <i x="4"/>
        <i x="5"/>
        <i x="6" s="1"/>
        <i x="7"/>
        <i x="8"/>
        <i x="9"/>
        <i x="10"/>
        <i x="11"/>
        <i x="12"/>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РЕГИОН 1" xr10:uid="{00000000-0014-0000-FFFF-FFFF01000000}" cache="Slicer_РЕГИОН3" caption="РЕГИОН" columnCount="2" showCaption="0" rowHeight="14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РЕГИОН" xr10:uid="{00000000-0014-0000-FFFF-FFFF02000000}" cache="Slicer_РЕГИОН2" caption="РЕГИОН" columnCount="2" showCaption="0"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5:S59" totalsRowShown="0">
  <autoFilter ref="A45:S59" xr:uid="{00000000-0009-0000-0100-000001000000}"/>
  <tableColumns count="19">
    <tableColumn id="1" xr3:uid="{00000000-0010-0000-0000-000001000000}" name="РЕГИОН" dataDxfId="18"/>
    <tableColumn id="19" xr3:uid="{00000000-0010-0000-0000-000013000000}" name="Регион_полное название" dataDxfId="17"/>
    <tableColumn id="2" xr3:uid="{00000000-0010-0000-0000-000002000000}" name="СОЦ_СИР" dataDxfId="16">
      <calculatedColumnFormula>B26</calculatedColumnFormula>
    </tableColumn>
    <tableColumn id="3" xr3:uid="{00000000-0010-0000-0000-000003000000}" name="СКР_СИР" dataDxfId="15">
      <calculatedColumnFormula>C26</calculatedColumnFormula>
    </tableColumn>
    <tableColumn id="4" xr3:uid="{00000000-0010-0000-0000-000004000000}" name="МСШТБ" dataDxfId="14">
      <calculatedColumnFormula>D26</calculatedColumnFormula>
    </tableColumn>
    <tableColumn id="5" xr3:uid="{00000000-0010-0000-0000-000005000000}" name="АЛКО" dataDxfId="13">
      <calculatedColumnFormula>E26</calculatedColumnFormula>
    </tableColumn>
    <tableColumn id="6" xr3:uid="{00000000-0010-0000-0000-000006000000}" name="ВРП" dataDxfId="12">
      <calculatedColumnFormula>F26</calculatedColumnFormula>
    </tableColumn>
    <tableColumn id="7" xr3:uid="{00000000-0010-0000-0000-000007000000}" name="БЕДНОСТЬ" dataDxfId="11">
      <calculatedColumnFormula>G26</calculatedColumnFormula>
    </tableColumn>
    <tableColumn id="8" xr3:uid="{00000000-0010-0000-0000-000008000000}" name="СУБЪЕКТ_БЕДН" dataDxfId="10">
      <calculatedColumnFormula>H26</calculatedColumnFormula>
    </tableColumn>
    <tableColumn id="9" xr3:uid="{00000000-0010-0000-0000-000009000000}" name="ТМП" dataDxfId="9">
      <calculatedColumnFormula>I26</calculatedColumnFormula>
    </tableColumn>
    <tableColumn id="10" xr3:uid="{00000000-0010-0000-0000-00000A000000}" name="ЗДОРВ_ВЗР" dataDxfId="8">
      <calculatedColumnFormula>J26</calculatedColumnFormula>
    </tableColumn>
    <tableColumn id="11" xr3:uid="{00000000-0010-0000-0000-00000B000000}" name="ЗДОР_ДЕТ" dataDxfId="7">
      <calculatedColumnFormula>K26</calculatedColumnFormula>
    </tableColumn>
    <tableColumn id="12" xr3:uid="{00000000-0010-0000-0000-00000C000000}" name="Столбец1" dataDxfId="6"/>
    <tableColumn id="13" xr3:uid="{00000000-0010-0000-0000-00000D000000}" name="ВНЕ БРАКА" dataDxfId="5">
      <calculatedColumnFormula>L26</calculatedColumnFormula>
    </tableColumn>
    <tableColumn id="14" xr3:uid="{00000000-0010-0000-0000-00000E000000}" name="Столбец2" dataDxfId="4"/>
    <tableColumn id="15" xr3:uid="{00000000-0010-0000-0000-00000F000000}" name="МНОГОДЕТ" dataDxfId="3">
      <calculatedColumnFormula>M26</calculatedColumnFormula>
    </tableColumn>
    <tableColumn id="16" xr3:uid="{00000000-0010-0000-0000-000010000000}" name="МИГРАЦИЯ" dataDxfId="2">
      <calculatedColumnFormula>N26</calculatedColumnFormula>
    </tableColumn>
    <tableColumn id="17" xr3:uid="{00000000-0010-0000-0000-000011000000}" name="Факторы риска" dataDxfId="1">
      <calculatedColumnFormula>R26</calculatedColumnFormula>
    </tableColumn>
    <tableColumn id="18" xr3:uid="{00000000-0010-0000-0000-000012000000}" name="РИСК/МСШБ" dataDxfId="0">
      <calculatedColumnFormula>Table1[[#This Row],[МСШТБ]]/Table1[[#This Row],[Факторы риска]]</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8"/>
  <sheetViews>
    <sheetView showGridLines="0" tabSelected="1" zoomScale="55" zoomScaleNormal="55" zoomScaleSheetLayoutView="55" zoomScalePageLayoutView="55" workbookViewId="0">
      <selection activeCell="G10" sqref="G10"/>
    </sheetView>
  </sheetViews>
  <sheetFormatPr defaultRowHeight="14.5" x14ac:dyDescent="0.35"/>
  <cols>
    <col min="1" max="1" width="5.1796875" customWidth="1"/>
    <col min="2" max="2" width="8.7265625" customWidth="1"/>
    <col min="3" max="3" width="34.81640625" customWidth="1"/>
    <col min="4" max="4" width="6.54296875" customWidth="1"/>
    <col min="5" max="5" width="16.1796875" customWidth="1"/>
    <col min="6" max="6" width="14.54296875" customWidth="1"/>
    <col min="7" max="7" width="3.7265625" customWidth="1"/>
    <col min="8" max="8" width="3.1796875" customWidth="1"/>
    <col min="9" max="9" width="3.453125" customWidth="1"/>
    <col min="10" max="10" width="3.81640625" customWidth="1"/>
    <col min="13" max="13" width="5.7265625" customWidth="1"/>
    <col min="14" max="14" width="4" customWidth="1"/>
    <col min="15" max="15" width="12.54296875" customWidth="1"/>
    <col min="16" max="18" width="8.7265625" customWidth="1"/>
  </cols>
  <sheetData>
    <row r="1" spans="1:14" x14ac:dyDescent="0.35">
      <c r="A1" s="56"/>
      <c r="B1" s="56"/>
      <c r="C1" s="56"/>
      <c r="D1" s="56"/>
      <c r="E1" s="56"/>
      <c r="F1" s="56"/>
      <c r="G1" s="56"/>
      <c r="H1" s="56"/>
      <c r="I1" s="56"/>
      <c r="J1" s="56"/>
      <c r="K1" s="56"/>
      <c r="L1" s="56"/>
    </row>
    <row r="2" spans="1:14" x14ac:dyDescent="0.35">
      <c r="A2" s="56"/>
      <c r="B2" s="312" t="s">
        <v>271</v>
      </c>
      <c r="C2" s="56"/>
      <c r="D2" s="56"/>
      <c r="E2" s="56"/>
      <c r="F2" s="56"/>
      <c r="G2" s="56"/>
      <c r="H2" s="56"/>
      <c r="I2" s="56"/>
      <c r="J2" s="56"/>
      <c r="K2" s="56"/>
      <c r="L2" s="56"/>
    </row>
    <row r="3" spans="1:14" ht="14.5" customHeight="1" x14ac:dyDescent="0.35">
      <c r="A3" s="56"/>
      <c r="B3" s="313" t="s">
        <v>272</v>
      </c>
      <c r="C3" s="267"/>
      <c r="D3" s="267"/>
      <c r="E3" s="267"/>
      <c r="F3" s="267"/>
      <c r="G3" s="267"/>
      <c r="H3" s="267"/>
      <c r="I3" s="267"/>
      <c r="J3" s="267"/>
      <c r="K3" s="267"/>
      <c r="L3" s="56"/>
    </row>
    <row r="4" spans="1:14" ht="14.5" customHeight="1" x14ac:dyDescent="0.35">
      <c r="A4" s="56"/>
      <c r="C4" s="267"/>
      <c r="D4" s="267"/>
      <c r="E4" s="267"/>
      <c r="F4" s="267"/>
      <c r="G4" s="267"/>
      <c r="H4" s="267"/>
      <c r="I4" s="267"/>
      <c r="J4" s="267"/>
      <c r="K4" s="267"/>
      <c r="L4" s="56"/>
    </row>
    <row r="5" spans="1:14" x14ac:dyDescent="0.35">
      <c r="A5" s="56"/>
      <c r="D5" s="262"/>
      <c r="F5" s="262"/>
      <c r="G5" s="253"/>
      <c r="H5" s="262"/>
      <c r="I5" s="253"/>
      <c r="J5" s="262"/>
      <c r="K5" s="262"/>
      <c r="L5" s="56"/>
    </row>
    <row r="6" spans="1:14" x14ac:dyDescent="0.35">
      <c r="A6" s="56"/>
      <c r="C6" s="56"/>
      <c r="D6" s="56"/>
      <c r="E6" s="289" t="s">
        <v>269</v>
      </c>
      <c r="K6" s="56"/>
      <c r="L6" s="56"/>
    </row>
    <row r="7" spans="1:14" x14ac:dyDescent="0.35">
      <c r="M7" s="289" t="s">
        <v>278</v>
      </c>
      <c r="N7" s="315"/>
    </row>
    <row r="8" spans="1:14" ht="14.5" customHeight="1" x14ac:dyDescent="0.35">
      <c r="A8" s="56"/>
      <c r="D8" s="265"/>
      <c r="E8" s="254"/>
    </row>
    <row r="9" spans="1:14" x14ac:dyDescent="0.35">
      <c r="A9" s="56"/>
      <c r="C9" s="254"/>
      <c r="D9" s="254"/>
      <c r="E9" s="254"/>
      <c r="F9" s="27"/>
      <c r="G9" s="27"/>
      <c r="H9" s="27"/>
      <c r="I9" s="27"/>
    </row>
    <row r="10" spans="1:14" x14ac:dyDescent="0.35">
      <c r="A10" s="56"/>
      <c r="C10" s="254"/>
      <c r="D10" s="254"/>
      <c r="E10" s="254"/>
      <c r="F10" s="261"/>
      <c r="G10" s="254"/>
      <c r="H10" s="27"/>
      <c r="I10" s="27"/>
    </row>
    <row r="11" spans="1:14" x14ac:dyDescent="0.35">
      <c r="A11" s="56"/>
      <c r="B11" s="415" t="str">
        <f>F17</f>
        <v>Grand Total</v>
      </c>
      <c r="C11" s="260"/>
      <c r="D11" s="254"/>
      <c r="E11" s="254"/>
      <c r="F11" s="261"/>
      <c r="G11" s="303">
        <f>F18</f>
        <v>32.513852543679008</v>
      </c>
      <c r="H11" s="304" t="s">
        <v>231</v>
      </c>
      <c r="I11" s="305">
        <f>F28</f>
        <v>31.335563095676783</v>
      </c>
    </row>
    <row r="12" spans="1:14" x14ac:dyDescent="0.35">
      <c r="D12" s="254"/>
      <c r="E12" s="254"/>
      <c r="F12" s="254"/>
      <c r="G12" s="306"/>
      <c r="H12" s="307"/>
      <c r="I12" s="307"/>
    </row>
    <row r="13" spans="1:14" x14ac:dyDescent="0.35">
      <c r="D13" s="254"/>
      <c r="E13" s="254"/>
      <c r="G13" s="308"/>
      <c r="H13" s="308"/>
      <c r="I13" s="308"/>
    </row>
    <row r="14" spans="1:14" x14ac:dyDescent="0.35">
      <c r="B14" s="414" t="str">
        <f>E17</f>
        <v>Новосибирская</v>
      </c>
      <c r="E14" s="19"/>
      <c r="G14" s="309">
        <f>E18</f>
        <v>32.513852543679008</v>
      </c>
      <c r="H14" s="310" t="s">
        <v>231</v>
      </c>
      <c r="I14" s="311">
        <f>E28</f>
        <v>31.335563095676783</v>
      </c>
    </row>
    <row r="17" spans="2:10" ht="15.5" x14ac:dyDescent="0.35">
      <c r="B17" s="263"/>
      <c r="C17" s="254"/>
      <c r="D17" s="292"/>
      <c r="E17" s="300" t="str">
        <f>Таблица_сравнение!A4</f>
        <v>Новосибирская</v>
      </c>
      <c r="F17" s="301" t="str">
        <f>Таблица_сравнение!A6</f>
        <v>Grand Total</v>
      </c>
    </row>
    <row r="18" spans="2:10" ht="18.5" x14ac:dyDescent="0.45">
      <c r="B18" s="56"/>
      <c r="C18" s="314" t="s">
        <v>267</v>
      </c>
      <c r="D18" s="264"/>
      <c r="E18" s="297">
        <f>Таблица_сравнение!E12</f>
        <v>32.513852543679008</v>
      </c>
      <c r="F18" s="297">
        <f>Таблица_сравнение!F12</f>
        <v>32.513852543679008</v>
      </c>
    </row>
    <row r="19" spans="2:10" ht="18.5" x14ac:dyDescent="0.45">
      <c r="B19" s="290" t="s">
        <v>256</v>
      </c>
      <c r="C19" s="291" t="s">
        <v>258</v>
      </c>
      <c r="D19" s="292"/>
      <c r="E19" s="297"/>
      <c r="F19" s="297"/>
    </row>
    <row r="20" spans="2:10" ht="18.5" x14ac:dyDescent="0.45">
      <c r="B20" s="293">
        <v>1</v>
      </c>
      <c r="C20" s="294" t="s">
        <v>259</v>
      </c>
      <c r="D20" s="295"/>
      <c r="E20" s="318">
        <f>Таблица_сравнение!E14</f>
        <v>27.604767541874665</v>
      </c>
      <c r="F20" s="318">
        <f>Таблица_сравнение!F14</f>
        <v>27.604767541874665</v>
      </c>
      <c r="G20" s="56"/>
      <c r="H20" s="56"/>
      <c r="I20" s="56"/>
      <c r="J20" s="56"/>
    </row>
    <row r="21" spans="2:10" ht="18.5" x14ac:dyDescent="0.45">
      <c r="B21" s="293">
        <v>1</v>
      </c>
      <c r="C21" s="294" t="s">
        <v>260</v>
      </c>
      <c r="D21" s="295"/>
      <c r="E21" s="318">
        <f>Таблица_сравнение!E15</f>
        <v>91.383897185524191</v>
      </c>
      <c r="F21" s="318">
        <f>Таблица_сравнение!F15</f>
        <v>91.383897185524191</v>
      </c>
    </row>
    <row r="22" spans="2:10" ht="18.5" x14ac:dyDescent="0.45">
      <c r="B22" s="293">
        <v>0.67</v>
      </c>
      <c r="C22" s="294" t="s">
        <v>261</v>
      </c>
      <c r="D22" s="295"/>
      <c r="E22" s="318">
        <f>Таблица_сравнение!E16</f>
        <v>27.868586145380714</v>
      </c>
      <c r="F22" s="318">
        <f>Таблица_сравнение!F16</f>
        <v>27.868586145380714</v>
      </c>
    </row>
    <row r="23" spans="2:10" ht="18.5" x14ac:dyDescent="0.45">
      <c r="B23" s="293">
        <v>0.67</v>
      </c>
      <c r="C23" s="294" t="s">
        <v>262</v>
      </c>
      <c r="D23" s="295"/>
      <c r="E23" s="318">
        <f>Таблица_сравнение!E17</f>
        <v>0</v>
      </c>
      <c r="F23" s="318">
        <f>Таблица_сравнение!F17</f>
        <v>0</v>
      </c>
    </row>
    <row r="24" spans="2:10" ht="18.5" x14ac:dyDescent="0.45">
      <c r="B24" s="293">
        <v>0.67</v>
      </c>
      <c r="C24" s="294" t="s">
        <v>263</v>
      </c>
      <c r="D24" s="295"/>
      <c r="E24" s="318">
        <f>Таблица_сравнение!E18</f>
        <v>1.3673783831852289</v>
      </c>
      <c r="F24" s="318">
        <f>Таблица_сравнение!F18</f>
        <v>1.3673783831852289</v>
      </c>
    </row>
    <row r="25" spans="2:10" ht="18.5" x14ac:dyDescent="0.45">
      <c r="B25" s="293">
        <v>0.33</v>
      </c>
      <c r="C25" s="294" t="s">
        <v>264</v>
      </c>
      <c r="D25" s="295"/>
      <c r="E25" s="318">
        <f>Таблица_сравнение!E19</f>
        <v>86.135576844480866</v>
      </c>
      <c r="F25" s="318">
        <f>Таблица_сравнение!F19</f>
        <v>86.135576844480866</v>
      </c>
    </row>
    <row r="26" spans="2:10" ht="18.5" x14ac:dyDescent="0.45">
      <c r="B26" s="293">
        <v>0.33</v>
      </c>
      <c r="C26" s="294" t="s">
        <v>265</v>
      </c>
      <c r="D26" s="295"/>
      <c r="E26" s="318">
        <f>Таблица_сравнение!E20</f>
        <v>43.755757269512529</v>
      </c>
      <c r="F26" s="318">
        <f>Таблица_сравнение!F20</f>
        <v>43.755757269512529</v>
      </c>
    </row>
    <row r="27" spans="2:10" ht="18.5" x14ac:dyDescent="0.45">
      <c r="E27" s="297"/>
      <c r="F27" s="297"/>
    </row>
    <row r="28" spans="2:10" ht="18.5" x14ac:dyDescent="0.45">
      <c r="B28" s="56"/>
      <c r="C28" s="314" t="s">
        <v>279</v>
      </c>
      <c r="D28" s="264"/>
      <c r="E28" s="297">
        <f>Таблица_сравнение!E22</f>
        <v>31.335563095676783</v>
      </c>
      <c r="F28" s="297">
        <f>Таблица_сравнение!F22</f>
        <v>31.335563095676783</v>
      </c>
    </row>
    <row r="29" spans="2:10" ht="18.5" x14ac:dyDescent="0.45">
      <c r="B29" s="290" t="s">
        <v>256</v>
      </c>
      <c r="C29" s="296" t="s">
        <v>268</v>
      </c>
      <c r="D29" s="292"/>
      <c r="E29" s="297"/>
      <c r="F29" s="297"/>
    </row>
    <row r="30" spans="2:10" ht="18.5" x14ac:dyDescent="0.45">
      <c r="B30" s="298">
        <v>0.8</v>
      </c>
      <c r="C30" s="299" t="s">
        <v>238</v>
      </c>
      <c r="D30" s="295"/>
      <c r="E30" s="318">
        <f>Таблица_сравнение!E24</f>
        <v>26.364575820815496</v>
      </c>
      <c r="F30" s="318">
        <f>Таблица_сравнение!F24</f>
        <v>26.364575820815496</v>
      </c>
    </row>
    <row r="31" spans="2:10" ht="18.5" x14ac:dyDescent="0.45">
      <c r="B31" s="298">
        <v>0.2</v>
      </c>
      <c r="C31" s="299" t="s">
        <v>253</v>
      </c>
      <c r="D31" s="295"/>
      <c r="E31" s="318">
        <f>Таблица_сравнение!E25</f>
        <v>51.219512195121951</v>
      </c>
      <c r="F31" s="318">
        <f>Таблица_сравнение!F25</f>
        <v>51.219512195121951</v>
      </c>
    </row>
    <row r="35" spans="2:13" x14ac:dyDescent="0.35">
      <c r="B35" s="286" t="s">
        <v>404</v>
      </c>
    </row>
    <row r="36" spans="2:13" x14ac:dyDescent="0.35">
      <c r="B36" s="286" t="s">
        <v>405</v>
      </c>
    </row>
    <row r="38" spans="2:13" x14ac:dyDescent="0.35">
      <c r="B38" s="284" t="s">
        <v>277</v>
      </c>
    </row>
    <row r="44" spans="2:13" x14ac:dyDescent="0.35">
      <c r="M44" s="277"/>
    </row>
    <row r="45" spans="2:13" x14ac:dyDescent="0.35">
      <c r="M45" s="252"/>
    </row>
    <row r="47" spans="2:13" x14ac:dyDescent="0.35">
      <c r="M47" s="275"/>
    </row>
    <row r="48" spans="2:13" x14ac:dyDescent="0.35">
      <c r="M48" s="274"/>
    </row>
    <row r="49" spans="13:13" x14ac:dyDescent="0.35">
      <c r="M49" s="274"/>
    </row>
    <row r="50" spans="13:13" x14ac:dyDescent="0.35">
      <c r="M50" s="274"/>
    </row>
    <row r="51" spans="13:13" x14ac:dyDescent="0.35">
      <c r="M51" s="274"/>
    </row>
    <row r="52" spans="13:13" x14ac:dyDescent="0.35">
      <c r="M52" s="274"/>
    </row>
    <row r="53" spans="13:13" x14ac:dyDescent="0.35">
      <c r="M53" s="274"/>
    </row>
    <row r="54" spans="13:13" x14ac:dyDescent="0.35">
      <c r="M54" s="273"/>
    </row>
    <row r="55" spans="13:13" x14ac:dyDescent="0.35">
      <c r="M55" s="274"/>
    </row>
    <row r="56" spans="13:13" x14ac:dyDescent="0.35">
      <c r="M56" s="273"/>
    </row>
    <row r="57" spans="13:13" x14ac:dyDescent="0.35">
      <c r="M57" s="274"/>
    </row>
    <row r="58" spans="13:13" x14ac:dyDescent="0.35">
      <c r="M58" s="274"/>
    </row>
  </sheetData>
  <conditionalFormatting sqref="D20:D26">
    <cfRule type="colorScale" priority="38">
      <colorScale>
        <cfvo type="num" val="0"/>
        <cfvo type="num" val="1"/>
        <color theme="0"/>
        <color theme="5" tint="0.39997558519241921"/>
      </colorScale>
    </cfRule>
  </conditionalFormatting>
  <conditionalFormatting sqref="D18">
    <cfRule type="colorScale" priority="37">
      <colorScale>
        <cfvo type="num" val="0"/>
        <cfvo type="num" val="1"/>
        <color theme="0"/>
        <color theme="5" tint="0.39997558519241921"/>
      </colorScale>
    </cfRule>
  </conditionalFormatting>
  <conditionalFormatting sqref="D30:D31 D28">
    <cfRule type="colorScale" priority="33">
      <colorScale>
        <cfvo type="num" val="0"/>
        <cfvo type="num" val="1"/>
        <color theme="0"/>
        <color rgb="FFFF7C80"/>
      </colorScale>
    </cfRule>
    <cfRule type="colorScale" priority="34">
      <colorScale>
        <cfvo type="num" val="0"/>
        <cfvo type="num" val="1"/>
        <color theme="0"/>
        <color rgb="FFC00000"/>
      </colorScale>
    </cfRule>
    <cfRule type="colorScale" priority="36">
      <colorScale>
        <cfvo type="num" val="0"/>
        <cfvo type="num" val="1"/>
        <color theme="0"/>
        <color theme="7" tint="-0.249977111117893"/>
      </colorScale>
    </cfRule>
  </conditionalFormatting>
  <conditionalFormatting sqref="D20:D26 D18">
    <cfRule type="colorScale" priority="32">
      <colorScale>
        <cfvo type="num" val="0"/>
        <cfvo type="num" val="1"/>
        <color theme="0"/>
        <color rgb="FFFF7C80"/>
      </colorScale>
    </cfRule>
    <cfRule type="colorScale" priority="35">
      <colorScale>
        <cfvo type="num" val="0"/>
        <cfvo type="num" val="1"/>
        <color theme="0"/>
        <color rgb="FFC00000"/>
      </colorScale>
    </cfRule>
  </conditionalFormatting>
  <conditionalFormatting sqref="D30:D31 D28">
    <cfRule type="colorScale" priority="31">
      <colorScale>
        <cfvo type="num" val="0"/>
        <cfvo type="num" val="1"/>
        <color theme="0"/>
        <color theme="5" tint="0.59999389629810485"/>
      </colorScale>
    </cfRule>
  </conditionalFormatting>
  <conditionalFormatting sqref="M47:M53">
    <cfRule type="colorScale" priority="21">
      <colorScale>
        <cfvo type="num" val="0"/>
        <cfvo type="num" val="1"/>
        <color theme="0"/>
        <color rgb="FFFF7C80"/>
      </colorScale>
    </cfRule>
  </conditionalFormatting>
  <conditionalFormatting sqref="M55">
    <cfRule type="colorScale" priority="19">
      <colorScale>
        <cfvo type="num" val="0"/>
        <cfvo type="num" val="1"/>
        <color theme="0"/>
        <color rgb="FFFF7C80"/>
      </colorScale>
    </cfRule>
  </conditionalFormatting>
  <conditionalFormatting sqref="E18:F27">
    <cfRule type="colorScale" priority="4">
      <colorScale>
        <cfvo type="num" val="0"/>
        <cfvo type="num" val="1"/>
        <color theme="0"/>
        <color rgb="FFFF7C80"/>
      </colorScale>
    </cfRule>
  </conditionalFormatting>
  <conditionalFormatting sqref="M47:M53 M45 M55 M57:M58">
    <cfRule type="colorScale" priority="15">
      <colorScale>
        <cfvo type="num" val="0"/>
        <cfvo type="num" val="1"/>
        <color theme="0"/>
        <color rgb="FFFF7C80"/>
      </colorScale>
    </cfRule>
  </conditionalFormatting>
  <conditionalFormatting sqref="E18:F26">
    <cfRule type="colorScale" priority="3">
      <colorScale>
        <cfvo type="num" val="0"/>
        <cfvo type="num" val="100"/>
        <color theme="0"/>
        <color rgb="FFFF7C80"/>
      </colorScale>
    </cfRule>
  </conditionalFormatting>
  <conditionalFormatting sqref="E28:F31">
    <cfRule type="colorScale" priority="1">
      <colorScale>
        <cfvo type="num" val="0"/>
        <cfvo type="num" val="100"/>
        <color theme="0"/>
        <color theme="5" tint="0.39997558519241921"/>
      </colorScale>
    </cfRule>
    <cfRule type="colorScale" priority="2">
      <colorScale>
        <cfvo type="num" val="0"/>
        <cfvo type="num" val="100"/>
        <color theme="0"/>
        <color rgb="FFFF7C80"/>
      </colorScale>
    </cfRule>
  </conditionalFormatting>
  <printOptions horizontalCentered="1" verticalCentered="1"/>
  <pageMargins left="0.27559055118110237" right="0.27559055118110237" top="0.27559055118110237" bottom="0.27559055118110237" header="0.27559055118110237" footer="0.27559055118110237"/>
  <pageSetup paperSize="9" scale="86" orientation="landscape"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K158"/>
  <sheetViews>
    <sheetView topLeftCell="W1" zoomScale="70" zoomScaleNormal="70" workbookViewId="0">
      <selection activeCell="AA6" sqref="AA6"/>
    </sheetView>
  </sheetViews>
  <sheetFormatPr defaultRowHeight="14.5" x14ac:dyDescent="0.35"/>
  <cols>
    <col min="1" max="1" width="30.26953125" customWidth="1"/>
    <col min="2" max="2" width="30.7265625" customWidth="1"/>
    <col min="3" max="3" width="36" customWidth="1"/>
    <col min="4" max="5" width="22.54296875" customWidth="1"/>
    <col min="6" max="7" width="19.54296875" customWidth="1"/>
    <col min="8" max="8" width="18.453125" customWidth="1"/>
    <col min="9" max="9" width="15" customWidth="1"/>
    <col min="10" max="10" width="16.26953125" customWidth="1"/>
    <col min="11" max="11" width="19.54296875" customWidth="1"/>
    <col min="12" max="12" width="18.453125" customWidth="1"/>
    <col min="13" max="13" width="17.1796875" customWidth="1"/>
    <col min="14" max="14" width="17.81640625" customWidth="1"/>
    <col min="15" max="15" width="18.453125" customWidth="1"/>
    <col min="16" max="16" width="17.453125" customWidth="1"/>
    <col min="17" max="17" width="21.1796875" customWidth="1"/>
    <col min="18" max="18" width="16.26953125" customWidth="1"/>
    <col min="19" max="19" width="16.1796875" customWidth="1"/>
    <col min="20" max="20" width="19.26953125" customWidth="1"/>
    <col min="21" max="21" width="13.81640625" customWidth="1"/>
    <col min="22" max="22" width="20.26953125" customWidth="1"/>
    <col min="23" max="23" width="16" customWidth="1"/>
    <col min="24" max="24" width="18.26953125" customWidth="1"/>
    <col min="25" max="26" width="18.453125" customWidth="1"/>
    <col min="27" max="27" width="19.26953125" customWidth="1"/>
    <col min="28" max="28" width="25.54296875" customWidth="1"/>
    <col min="31" max="31" width="29.54296875" customWidth="1"/>
    <col min="33" max="33" width="15.1796875" customWidth="1"/>
    <col min="34" max="34" width="12.81640625" customWidth="1"/>
    <col min="35" max="38" width="10.81640625" customWidth="1"/>
    <col min="39" max="40" width="11.453125" customWidth="1"/>
    <col min="41" max="42" width="15.453125" customWidth="1"/>
    <col min="43" max="61" width="14.7265625" customWidth="1"/>
    <col min="62" max="62" width="18.1796875" customWidth="1"/>
    <col min="63" max="66" width="14.7265625" customWidth="1"/>
    <col min="84" max="84" width="12.7265625" customWidth="1"/>
    <col min="85" max="85" width="12.81640625" customWidth="1"/>
    <col min="86" max="86" width="15.81640625" customWidth="1"/>
    <col min="87" max="87" width="14" customWidth="1"/>
    <col min="88" max="88" width="15.453125" customWidth="1"/>
    <col min="89" max="89" width="16.7265625" customWidth="1"/>
    <col min="90" max="90" width="13.81640625" customWidth="1"/>
    <col min="91" max="91" width="15.453125" customWidth="1"/>
    <col min="92" max="92" width="13.54296875" customWidth="1"/>
    <col min="97" max="97" width="12.26953125" customWidth="1"/>
    <col min="99" max="99" width="17.81640625" customWidth="1"/>
    <col min="100" max="100" width="13.81640625" customWidth="1"/>
    <col min="109" max="109" width="16.7265625" customWidth="1"/>
    <col min="110" max="110" width="14.81640625" customWidth="1"/>
    <col min="111" max="111" width="13.1796875" customWidth="1"/>
  </cols>
  <sheetData>
    <row r="1" spans="1:115" ht="60" customHeight="1" thickBot="1" x14ac:dyDescent="0.4">
      <c r="B1" s="6" t="s">
        <v>0</v>
      </c>
      <c r="C1" s="16"/>
      <c r="D1" s="178"/>
      <c r="E1" s="178"/>
      <c r="F1" s="178"/>
      <c r="G1" s="178"/>
      <c r="H1" s="178"/>
      <c r="I1" s="178"/>
      <c r="J1" s="178"/>
      <c r="K1" s="178"/>
      <c r="L1" s="179"/>
      <c r="M1" s="178"/>
      <c r="N1" s="178"/>
      <c r="O1" s="66"/>
      <c r="P1" s="451" t="s">
        <v>1</v>
      </c>
      <c r="Q1" s="452"/>
      <c r="R1" s="452"/>
      <c r="S1" s="452"/>
      <c r="T1" s="452"/>
      <c r="U1" s="11"/>
      <c r="V1" s="12"/>
      <c r="W1" s="2" t="s">
        <v>58</v>
      </c>
      <c r="X1" s="2"/>
      <c r="Y1" s="2"/>
      <c r="Z1" s="2"/>
      <c r="AA1" s="2"/>
      <c r="AB1" s="2"/>
      <c r="AE1" s="37"/>
      <c r="AF1" s="37"/>
      <c r="AG1" s="37"/>
      <c r="AH1" s="37"/>
      <c r="AI1" s="37"/>
      <c r="AJ1" s="37"/>
      <c r="AK1" s="37"/>
      <c r="AL1" s="37"/>
      <c r="AM1" s="37"/>
      <c r="AN1" s="37"/>
      <c r="AO1" s="37"/>
      <c r="AP1" s="37"/>
      <c r="BO1" s="37" t="s">
        <v>6</v>
      </c>
      <c r="BP1" s="37" t="s">
        <v>7</v>
      </c>
      <c r="BQ1" s="37" t="s">
        <v>110</v>
      </c>
      <c r="BR1" s="37" t="s">
        <v>8</v>
      </c>
      <c r="BS1" s="37" t="s">
        <v>9</v>
      </c>
      <c r="BT1" s="37" t="s">
        <v>10</v>
      </c>
      <c r="BU1" s="37" t="s">
        <v>11</v>
      </c>
      <c r="BV1" s="37" t="s">
        <v>12</v>
      </c>
      <c r="BW1" s="37" t="s">
        <v>111</v>
      </c>
      <c r="BX1" s="37" t="s">
        <v>13</v>
      </c>
      <c r="BY1" s="37" t="s">
        <v>14</v>
      </c>
      <c r="BZ1" s="37" t="s">
        <v>15</v>
      </c>
      <c r="CA1" s="37" t="s">
        <v>16</v>
      </c>
      <c r="CB1" s="37" t="s">
        <v>17</v>
      </c>
      <c r="CC1" s="37" t="s">
        <v>18</v>
      </c>
      <c r="CD1" s="37" t="s">
        <v>19</v>
      </c>
      <c r="CE1" s="37" t="s">
        <v>20</v>
      </c>
      <c r="CF1" s="37" t="s">
        <v>118</v>
      </c>
      <c r="CG1" s="37" t="s">
        <v>119</v>
      </c>
      <c r="CH1" s="37" t="s">
        <v>120</v>
      </c>
      <c r="CI1" s="37" t="s">
        <v>122</v>
      </c>
      <c r="CJ1" s="37" t="s">
        <v>121</v>
      </c>
      <c r="CK1" s="37" t="s">
        <v>123</v>
      </c>
      <c r="CM1" s="27"/>
      <c r="CN1" s="27"/>
      <c r="CO1" s="27"/>
      <c r="CP1" s="27"/>
      <c r="CQ1" s="27"/>
      <c r="CR1" s="27"/>
      <c r="CS1" s="27"/>
      <c r="DC1" t="s">
        <v>77</v>
      </c>
      <c r="DE1" t="s">
        <v>88</v>
      </c>
      <c r="DF1" t="s">
        <v>89</v>
      </c>
      <c r="DG1" t="s">
        <v>90</v>
      </c>
    </row>
    <row r="2" spans="1:115" ht="49" customHeight="1" x14ac:dyDescent="0.45">
      <c r="B2" s="7">
        <v>1</v>
      </c>
      <c r="C2" s="17">
        <v>2</v>
      </c>
      <c r="D2" s="320">
        <v>3</v>
      </c>
      <c r="E2" s="445">
        <v>4</v>
      </c>
      <c r="F2" s="445"/>
      <c r="G2" s="445"/>
      <c r="H2" s="320">
        <v>5</v>
      </c>
      <c r="I2" s="139">
        <v>6</v>
      </c>
      <c r="J2" s="445">
        <v>7</v>
      </c>
      <c r="K2" s="445"/>
      <c r="L2" s="5">
        <v>8</v>
      </c>
      <c r="M2" s="320">
        <v>9</v>
      </c>
      <c r="N2" s="320">
        <v>10</v>
      </c>
      <c r="O2" s="320"/>
      <c r="P2" s="8">
        <v>11</v>
      </c>
      <c r="Q2" s="9">
        <v>12</v>
      </c>
      <c r="R2" s="9">
        <v>13</v>
      </c>
      <c r="S2" s="9">
        <v>14</v>
      </c>
      <c r="T2" s="9">
        <v>15</v>
      </c>
      <c r="U2" s="9">
        <v>16</v>
      </c>
      <c r="V2" s="10">
        <v>17</v>
      </c>
      <c r="W2" s="2">
        <v>18</v>
      </c>
      <c r="X2" s="2">
        <v>19</v>
      </c>
      <c r="Y2" s="2">
        <v>20</v>
      </c>
      <c r="Z2" s="2">
        <v>21</v>
      </c>
      <c r="AA2" s="2"/>
      <c r="AB2" s="2"/>
      <c r="AE2" s="37"/>
      <c r="AF2" s="37"/>
      <c r="AG2" s="37">
        <f>CORREL(AG4:AG17,AN4:AN17)</f>
        <v>0.76971952441427349</v>
      </c>
      <c r="AH2" s="37"/>
      <c r="AI2" s="37"/>
      <c r="AJ2" s="37"/>
      <c r="AK2" s="37"/>
      <c r="AL2" s="37"/>
      <c r="AM2" s="37"/>
      <c r="AN2" s="37">
        <f>CORREL(AN4:AN19,AO4:AO19)</f>
        <v>9.4322862360477946E-2</v>
      </c>
      <c r="AO2" s="37"/>
      <c r="AP2" s="37"/>
      <c r="AT2" s="138">
        <f>CORREL(AT4:AT19,AU4:AU19)</f>
        <v>-2.054052786294748E-2</v>
      </c>
      <c r="AU2" s="138">
        <f>CORREL(AU4:AU19,AV4:AV19)</f>
        <v>0.41214092371685196</v>
      </c>
      <c r="AV2" s="138">
        <f>CORREL(AT4:AT19,AV4:AV19)</f>
        <v>-0.54644172307620409</v>
      </c>
      <c r="AY2" s="446" t="s">
        <v>173</v>
      </c>
      <c r="AZ2" s="446"/>
      <c r="BA2" s="446"/>
      <c r="BB2" s="446"/>
      <c r="BC2" s="228" t="s">
        <v>125</v>
      </c>
      <c r="BD2" s="229">
        <f>CORREL(BA4:BA17,BD4:BD17)</f>
        <v>0.93023973140471405</v>
      </c>
      <c r="BE2" s="321"/>
      <c r="BG2" s="155">
        <f>CORREL(BG4:BG17,BI4:BI17)</f>
        <v>0.94350776856426588</v>
      </c>
      <c r="BO2" s="37"/>
      <c r="BP2" s="37"/>
      <c r="BQ2" s="37"/>
      <c r="BR2" s="37"/>
      <c r="BS2" s="37"/>
      <c r="BT2" s="37"/>
      <c r="BU2" s="37"/>
      <c r="BV2" s="37"/>
      <c r="BW2" s="37"/>
      <c r="BX2" s="37"/>
      <c r="BY2" s="37"/>
      <c r="BZ2" s="37"/>
      <c r="CA2" s="37"/>
      <c r="CB2" s="37"/>
      <c r="CC2" s="37"/>
      <c r="CD2" s="37"/>
      <c r="CE2" s="37"/>
      <c r="CF2" s="37"/>
      <c r="CG2" s="37"/>
      <c r="CH2" s="37"/>
      <c r="CI2" s="37"/>
      <c r="CJ2" s="37"/>
      <c r="CK2" s="37"/>
      <c r="CM2" s="27"/>
      <c r="CN2" s="27"/>
      <c r="CO2" s="27"/>
      <c r="CP2" s="27"/>
      <c r="CQ2" s="27"/>
      <c r="CR2" s="27"/>
      <c r="CS2" s="27"/>
      <c r="DF2" s="22"/>
      <c r="DG2" s="22"/>
    </row>
    <row r="3" spans="1:115" ht="72.75" customHeight="1" thickBot="1" x14ac:dyDescent="0.4">
      <c r="B3" s="77" t="s">
        <v>37</v>
      </c>
      <c r="C3" s="78" t="s">
        <v>70</v>
      </c>
      <c r="D3" s="80" t="s">
        <v>126</v>
      </c>
      <c r="E3" s="112" t="s">
        <v>92</v>
      </c>
      <c r="F3" s="112" t="s">
        <v>155</v>
      </c>
      <c r="G3" s="112" t="s">
        <v>163</v>
      </c>
      <c r="H3" s="80" t="s">
        <v>235</v>
      </c>
      <c r="I3" s="80" t="s">
        <v>234</v>
      </c>
      <c r="J3" s="112" t="s">
        <v>181</v>
      </c>
      <c r="K3" s="112" t="s">
        <v>180</v>
      </c>
      <c r="L3" s="81" t="s">
        <v>184</v>
      </c>
      <c r="M3" s="80" t="s">
        <v>144</v>
      </c>
      <c r="N3" s="80" t="s">
        <v>185</v>
      </c>
      <c r="O3" s="80"/>
      <c r="P3" s="8" t="s">
        <v>35</v>
      </c>
      <c r="Q3" s="9" t="s">
        <v>52</v>
      </c>
      <c r="R3" s="9" t="s">
        <v>53</v>
      </c>
      <c r="S3" s="9" t="s">
        <v>5</v>
      </c>
      <c r="T3" s="9" t="s">
        <v>54</v>
      </c>
      <c r="U3" s="82" t="s">
        <v>55</v>
      </c>
      <c r="V3" s="83" t="s">
        <v>57</v>
      </c>
      <c r="W3" s="13" t="s">
        <v>59</v>
      </c>
      <c r="X3" s="14" t="s">
        <v>62</v>
      </c>
      <c r="Y3" s="13" t="s">
        <v>65</v>
      </c>
      <c r="Z3" s="13" t="s">
        <v>80</v>
      </c>
      <c r="AA3" s="54" t="s">
        <v>63</v>
      </c>
      <c r="AB3" s="13" t="s">
        <v>67</v>
      </c>
      <c r="AG3" s="1" t="s">
        <v>128</v>
      </c>
      <c r="AH3" s="1" t="s">
        <v>130</v>
      </c>
      <c r="AI3" s="1" t="s">
        <v>135</v>
      </c>
      <c r="AJ3" s="1" t="s">
        <v>136</v>
      </c>
      <c r="AK3" s="1" t="s">
        <v>124</v>
      </c>
      <c r="AL3" s="1" t="s">
        <v>186</v>
      </c>
      <c r="AM3" s="1" t="s">
        <v>137</v>
      </c>
      <c r="AN3" s="1" t="s">
        <v>133</v>
      </c>
      <c r="AO3" s="1" t="s">
        <v>143</v>
      </c>
      <c r="AP3" s="1" t="s">
        <v>141</v>
      </c>
      <c r="AQ3" s="37" t="s">
        <v>140</v>
      </c>
      <c r="AR3" s="37" t="s">
        <v>146</v>
      </c>
      <c r="AS3" s="37" t="s">
        <v>147</v>
      </c>
      <c r="AT3" s="37" t="s">
        <v>149</v>
      </c>
      <c r="AU3" s="37" t="s">
        <v>154</v>
      </c>
      <c r="AV3" s="37" t="s">
        <v>163</v>
      </c>
      <c r="AW3" s="37" t="s">
        <v>158</v>
      </c>
      <c r="AX3" s="145" t="s">
        <v>157</v>
      </c>
      <c r="AY3" s="146" t="s">
        <v>165</v>
      </c>
      <c r="AZ3" s="146" t="s">
        <v>166</v>
      </c>
      <c r="BA3" s="150" t="s">
        <v>168</v>
      </c>
      <c r="BB3" s="223" t="s">
        <v>171</v>
      </c>
      <c r="BC3" s="230" t="s">
        <v>172</v>
      </c>
      <c r="BD3" s="185" t="s">
        <v>174</v>
      </c>
      <c r="BE3" s="226" t="s">
        <v>170</v>
      </c>
      <c r="BF3" s="110" t="s">
        <v>86</v>
      </c>
      <c r="BG3" s="110" t="s">
        <v>87</v>
      </c>
      <c r="BH3" s="25" t="s">
        <v>176</v>
      </c>
      <c r="BI3" s="162" t="s">
        <v>179</v>
      </c>
      <c r="BJ3" s="25" t="s">
        <v>175</v>
      </c>
      <c r="BK3" s="145" t="s">
        <v>183</v>
      </c>
      <c r="BL3" s="145" t="s">
        <v>182</v>
      </c>
      <c r="BM3" s="220" t="s">
        <v>184</v>
      </c>
      <c r="CM3" s="27"/>
      <c r="CN3" s="27"/>
      <c r="CO3" s="156"/>
      <c r="CP3" s="27"/>
      <c r="CQ3" s="27"/>
      <c r="CR3" s="27"/>
      <c r="CS3" s="27"/>
      <c r="DF3" s="22"/>
      <c r="DG3" s="22"/>
    </row>
    <row r="4" spans="1:115" ht="15" customHeight="1" x14ac:dyDescent="0.45">
      <c r="A4" s="84" t="s">
        <v>33</v>
      </c>
      <c r="B4" s="70">
        <f>'[1]Демо+РИК_Разделы 1,3'!DG3</f>
        <v>0.83323825427942178</v>
      </c>
      <c r="C4" s="71">
        <f t="shared" ref="C4:C17" si="0">AM4</f>
        <v>0.17</v>
      </c>
      <c r="D4" s="108">
        <f t="shared" ref="D4:G19" si="1">AS4</f>
        <v>57.529512514468216</v>
      </c>
      <c r="E4" s="167">
        <f t="shared" si="1"/>
        <v>881700.6</v>
      </c>
      <c r="F4" s="108">
        <f t="shared" si="1"/>
        <v>6.1</v>
      </c>
      <c r="G4" s="108">
        <f t="shared" si="1"/>
        <v>1.1000000000000001</v>
      </c>
      <c r="H4" s="164">
        <f t="shared" ref="H4:H19" si="2">AX4</f>
        <v>0.14220998031969292</v>
      </c>
      <c r="I4" s="168">
        <f t="shared" ref="I4:I19" si="3">BC4</f>
        <v>2.9503631850365933E-2</v>
      </c>
      <c r="J4" s="169">
        <f t="shared" ref="J4:J19" si="4">BH4</f>
        <v>1.713916742631419</v>
      </c>
      <c r="K4" s="170">
        <f t="shared" ref="K4:K19" si="5">BJ4</f>
        <v>0.1308673856904147</v>
      </c>
      <c r="L4" s="164">
        <f t="shared" ref="L4:L19" si="6">BM4</f>
        <v>8.1583588130066859E-2</v>
      </c>
      <c r="M4" s="107">
        <f t="shared" ref="M4:M17" si="7">AQ4</f>
        <v>9.1958582105131299</v>
      </c>
      <c r="N4" s="108">
        <f t="shared" ref="N4:N19" si="8">AO4</f>
        <v>7.0318984078857625</v>
      </c>
      <c r="O4" s="35"/>
      <c r="P4" s="85">
        <f t="shared" ref="P4:P17" si="9">CF4/CG4</f>
        <v>3.9024390243902439E-2</v>
      </c>
      <c r="Q4" s="85">
        <v>0</v>
      </c>
      <c r="R4" s="85">
        <f t="shared" ref="R4:R17" si="10">CH4/CI4</f>
        <v>4.3478260869565216E-2</v>
      </c>
      <c r="S4" s="86">
        <v>0</v>
      </c>
      <c r="T4" s="85" t="e">
        <f>#REF!/BQ4</f>
        <v>#REF!</v>
      </c>
      <c r="U4" s="85">
        <f t="shared" ref="U4:U17" si="11">BW4/BQ4</f>
        <v>3.6585365853658534E-2</v>
      </c>
      <c r="V4" s="87" t="e">
        <f>SUM(CK4:CK4)/#REF!</f>
        <v>#REF!</v>
      </c>
      <c r="W4" s="88"/>
      <c r="X4" s="89">
        <v>5125162047.3500004</v>
      </c>
      <c r="Y4" s="88" t="s">
        <v>66</v>
      </c>
      <c r="Z4" s="90" t="e">
        <f>CJ4/#REF!*1000</f>
        <v>#REF!</v>
      </c>
      <c r="AA4" s="88"/>
      <c r="AB4" s="91">
        <v>6.22</v>
      </c>
      <c r="AD4" s="22"/>
      <c r="AE4" s="53" t="s">
        <v>33</v>
      </c>
      <c r="AF4" s="38">
        <v>31</v>
      </c>
      <c r="AG4" s="119">
        <f>[2]КДН_Свод!M3</f>
        <v>1514527</v>
      </c>
      <c r="AH4" s="120">
        <f>'[1]Демо+РИК_Разделы 1,3'!P3</f>
        <v>287412</v>
      </c>
      <c r="AI4" s="120">
        <f>'[1]Демо+РИК_Разделы 1,3'!X3</f>
        <v>90313</v>
      </c>
      <c r="AJ4" s="120">
        <f>'[1]Демо+РИК_Разделы 1,3'!AE3</f>
        <v>72304</v>
      </c>
      <c r="AK4" s="120">
        <f>'[1]Демо+РИК_Разделы 1,3'!AK3</f>
        <v>13166</v>
      </c>
      <c r="AL4" s="182">
        <f>'[1]Демо+РИК_Разделы 1,3'!BR3</f>
        <v>238</v>
      </c>
      <c r="AM4" s="121">
        <v>0.17</v>
      </c>
      <c r="AN4" s="122">
        <f>[2]КДН_Свод!H3</f>
        <v>1065</v>
      </c>
      <c r="AO4" s="123">
        <f>(AN4/AG4)*10000</f>
        <v>7.0318984078857625</v>
      </c>
      <c r="AP4" s="123">
        <f>[3]Лист2!B2</f>
        <v>2643</v>
      </c>
      <c r="AQ4" s="124">
        <f>(AP4/AH4)*1000</f>
        <v>9.1958582105131299</v>
      </c>
      <c r="AR4" s="125">
        <v>8713</v>
      </c>
      <c r="AS4" s="124">
        <f>(AR4/AG4)*10000</f>
        <v>57.529512514468216</v>
      </c>
      <c r="AT4" s="123">
        <f>[2]КДН_Свод!AC3</f>
        <v>881700.6</v>
      </c>
      <c r="AU4" s="118">
        <v>6.1</v>
      </c>
      <c r="AV4" s="118">
        <v>1.1000000000000001</v>
      </c>
      <c r="AW4" s="141">
        <v>174508</v>
      </c>
      <c r="AX4" s="134">
        <f>AW4/(AG4-AH4)</f>
        <v>0.14220998031969292</v>
      </c>
      <c r="AY4" s="147">
        <v>938</v>
      </c>
      <c r="AZ4" s="147">
        <v>5504</v>
      </c>
      <c r="BA4" s="151">
        <f>SUM(AY4:AZ4)</f>
        <v>6442</v>
      </c>
      <c r="BB4" s="224">
        <f>[4]Данные!$E$30</f>
        <v>218346</v>
      </c>
      <c r="BC4" s="231">
        <f>BA4/BB4</f>
        <v>2.9503631850365933E-2</v>
      </c>
      <c r="BD4" s="232">
        <v>6063</v>
      </c>
      <c r="BE4" s="227">
        <f>BD4/AH4</f>
        <v>2.1095152603231599E-2</v>
      </c>
      <c r="BF4" s="25">
        <v>11281</v>
      </c>
      <c r="BG4" s="110">
        <v>6582</v>
      </c>
      <c r="BH4" s="160">
        <f t="shared" ref="BH4:BH19" si="12">BF4/BG4</f>
        <v>1.713916742631419</v>
      </c>
      <c r="BI4" s="163">
        <v>1723</v>
      </c>
      <c r="BJ4" s="164">
        <f>BI4/AK4</f>
        <v>0.1308673856904147</v>
      </c>
      <c r="BK4" s="166">
        <v>157642</v>
      </c>
      <c r="BL4" s="166">
        <v>12861</v>
      </c>
      <c r="BM4" s="221">
        <f>BL4/BK4</f>
        <v>8.1583588130066859E-2</v>
      </c>
      <c r="BO4" s="38">
        <v>267</v>
      </c>
      <c r="BP4" s="38">
        <v>62</v>
      </c>
      <c r="BQ4" s="38">
        <v>82</v>
      </c>
      <c r="BR4" s="38">
        <v>18</v>
      </c>
      <c r="BS4" s="38">
        <v>125</v>
      </c>
      <c r="BT4" s="38">
        <v>17</v>
      </c>
      <c r="BU4" s="38">
        <v>1</v>
      </c>
      <c r="BV4" s="38">
        <v>151</v>
      </c>
      <c r="BW4" s="38">
        <v>3</v>
      </c>
      <c r="BX4" s="38">
        <v>8</v>
      </c>
      <c r="BY4" s="38">
        <v>219</v>
      </c>
      <c r="BZ4" s="38">
        <v>216</v>
      </c>
      <c r="CA4" s="38">
        <v>189</v>
      </c>
      <c r="CB4" s="38">
        <v>1672</v>
      </c>
      <c r="CC4" s="38">
        <v>7</v>
      </c>
      <c r="CD4" s="38">
        <v>6</v>
      </c>
      <c r="CE4" s="38">
        <v>1</v>
      </c>
      <c r="CF4" s="38">
        <v>8</v>
      </c>
      <c r="CG4" s="38">
        <f t="shared" ref="CG4:CG17" si="13">BO4-BP4</f>
        <v>205</v>
      </c>
      <c r="CH4" s="39">
        <v>2</v>
      </c>
      <c r="CI4" s="39">
        <v>46</v>
      </c>
      <c r="CJ4" s="39">
        <v>13</v>
      </c>
      <c r="CK4" s="39">
        <v>16</v>
      </c>
      <c r="CQ4" s="27"/>
      <c r="CR4" s="27"/>
      <c r="CS4" s="27"/>
      <c r="DC4">
        <v>208</v>
      </c>
      <c r="DE4" s="24">
        <v>0.33700000000000002</v>
      </c>
      <c r="DF4" s="24">
        <v>8.1000000000000003E-2</v>
      </c>
      <c r="DG4" s="24">
        <f>DE4+DF4</f>
        <v>0.41800000000000004</v>
      </c>
      <c r="DK4" s="28">
        <v>67375</v>
      </c>
    </row>
    <row r="5" spans="1:115" ht="12.75" customHeight="1" x14ac:dyDescent="0.45">
      <c r="A5" s="92" t="s">
        <v>24</v>
      </c>
      <c r="B5" s="70">
        <f>'[1]Демо+РИК_Разделы 1,3'!DG4</f>
        <v>0.82546447685882596</v>
      </c>
      <c r="C5" s="71">
        <f t="shared" si="0"/>
        <v>0.77</v>
      </c>
      <c r="D5" s="108">
        <f t="shared" si="1"/>
        <v>126.07196836101629</v>
      </c>
      <c r="E5" s="167">
        <f t="shared" si="1"/>
        <v>546328.80000000005</v>
      </c>
      <c r="F5" s="108">
        <f t="shared" si="1"/>
        <v>7.2</v>
      </c>
      <c r="G5" s="108">
        <f t="shared" si="1"/>
        <v>16.600000000000001</v>
      </c>
      <c r="H5" s="164">
        <f t="shared" si="2"/>
        <v>0.10746543415090426</v>
      </c>
      <c r="I5" s="168">
        <f t="shared" si="3"/>
        <v>2.5159019746299853E-2</v>
      </c>
      <c r="J5" s="169">
        <f t="shared" si="4"/>
        <v>1.6709844559585492</v>
      </c>
      <c r="K5" s="170">
        <f t="shared" si="5"/>
        <v>0.15483275189821466</v>
      </c>
      <c r="L5" s="164">
        <f t="shared" si="6"/>
        <v>8.2802630552883991E-2</v>
      </c>
      <c r="M5" s="107">
        <f t="shared" si="7"/>
        <v>4.874504075904734</v>
      </c>
      <c r="N5" s="108">
        <f t="shared" si="8"/>
        <v>6.5899963330564901</v>
      </c>
      <c r="O5" s="35"/>
      <c r="P5" s="41">
        <f t="shared" si="9"/>
        <v>3.5519125683060107E-2</v>
      </c>
      <c r="Q5" s="41">
        <v>3.4482758620689655E-2</v>
      </c>
      <c r="R5" s="41">
        <f t="shared" si="10"/>
        <v>0</v>
      </c>
      <c r="S5" s="41">
        <v>0.82913165266106448</v>
      </c>
      <c r="T5" s="41" t="e">
        <f>#REF!/BQ5</f>
        <v>#REF!</v>
      </c>
      <c r="U5" s="41">
        <f t="shared" si="11"/>
        <v>2.9239766081871343E-2</v>
      </c>
      <c r="V5" s="43" t="e">
        <f>SUM(CK5:CK5)/#REF!</f>
        <v>#REF!</v>
      </c>
      <c r="W5" s="27"/>
      <c r="X5" s="20">
        <v>9630555200.4400005</v>
      </c>
      <c r="Y5" s="27">
        <v>50</v>
      </c>
      <c r="Z5" s="94" t="e">
        <f>CJ5/#REF!*1000</f>
        <v>#REF!</v>
      </c>
      <c r="AA5" s="27"/>
      <c r="AB5" s="95">
        <v>5.91</v>
      </c>
      <c r="AD5" s="22"/>
      <c r="AE5" s="53" t="s">
        <v>24</v>
      </c>
      <c r="AF5" s="40">
        <v>36</v>
      </c>
      <c r="AG5" s="119">
        <f>[2]КДН_Свод!M4</f>
        <v>2285282</v>
      </c>
      <c r="AH5" s="120">
        <f>'[1]Демо+РИК_Разделы 1,3'!P4</f>
        <v>410093</v>
      </c>
      <c r="AI5" s="120">
        <f>'[1]Демо+РИК_Разделы 1,3'!X4</f>
        <v>152789</v>
      </c>
      <c r="AJ5" s="120">
        <f>'[1]Демо+РИК_Разделы 1,3'!AE4</f>
        <v>107609</v>
      </c>
      <c r="AK5" s="120">
        <f>'[1]Демо+РИК_Разделы 1,3'!AK4</f>
        <v>19492</v>
      </c>
      <c r="AL5" s="182">
        <f>'[1]Демо+РИК_Разделы 1,3'!BR4</f>
        <v>370</v>
      </c>
      <c r="AM5" s="121">
        <v>0.77</v>
      </c>
      <c r="AN5" s="122">
        <f>[2]КДН_Свод!H4</f>
        <v>1506</v>
      </c>
      <c r="AO5" s="123">
        <f t="shared" ref="AO5:AO18" si="14">(AN5/AG5)*10000</f>
        <v>6.5899963330564901</v>
      </c>
      <c r="AP5" s="123">
        <f>[3]Лист2!B3</f>
        <v>1999</v>
      </c>
      <c r="AQ5" s="124">
        <f t="shared" ref="AQ5:AQ17" si="15">(AP5/AH5)*1000</f>
        <v>4.874504075904734</v>
      </c>
      <c r="AR5" s="126">
        <v>28811</v>
      </c>
      <c r="AS5" s="124">
        <f t="shared" ref="AS5:AS17" si="16">(AR5/AG5)*10000</f>
        <v>126.07196836101629</v>
      </c>
      <c r="AT5" s="123">
        <f>[2]КДН_Свод!AC4</f>
        <v>546328.80000000005</v>
      </c>
      <c r="AU5" s="118">
        <v>7.2</v>
      </c>
      <c r="AV5" s="118">
        <v>16.600000000000001</v>
      </c>
      <c r="AW5" s="141">
        <v>201518</v>
      </c>
      <c r="AX5" s="134">
        <f t="shared" ref="AX5:AX19" si="17">AW5/(AG5-AH5)</f>
        <v>0.10746543415090426</v>
      </c>
      <c r="AY5" s="147">
        <v>1999</v>
      </c>
      <c r="AZ5" s="147">
        <v>6944</v>
      </c>
      <c r="BA5" s="151">
        <f t="shared" ref="BA5:BA19" si="18">SUM(AY5:AZ5)</f>
        <v>8943</v>
      </c>
      <c r="BB5" s="224">
        <f>[4]Данные!$E$35</f>
        <v>355459</v>
      </c>
      <c r="BC5" s="231">
        <f t="shared" ref="BC5:BC19" si="19">BA5/BB5</f>
        <v>2.5159019746299853E-2</v>
      </c>
      <c r="BD5" s="233">
        <v>8461</v>
      </c>
      <c r="BE5" s="227">
        <f t="shared" ref="BE5:BE19" si="20">BD5/AH5</f>
        <v>2.0631905445837897E-2</v>
      </c>
      <c r="BF5" s="25">
        <v>16770</v>
      </c>
      <c r="BG5" s="110">
        <v>10036</v>
      </c>
      <c r="BH5" s="160">
        <f t="shared" si="12"/>
        <v>1.6709844559585492</v>
      </c>
      <c r="BI5" s="163">
        <v>3018</v>
      </c>
      <c r="BJ5" s="164">
        <f t="shared" ref="BJ5:BJ17" si="21">BI5/AK5</f>
        <v>0.15483275189821466</v>
      </c>
      <c r="BK5" s="166">
        <v>230826</v>
      </c>
      <c r="BL5" s="166">
        <v>19113</v>
      </c>
      <c r="BM5" s="221">
        <f t="shared" ref="BM5:BM19" si="22">BL5/BK5</f>
        <v>8.2802630552883991E-2</v>
      </c>
      <c r="BO5" s="38">
        <v>534</v>
      </c>
      <c r="BP5" s="38">
        <v>168</v>
      </c>
      <c r="BQ5" s="38">
        <v>171</v>
      </c>
      <c r="BR5" s="38">
        <v>9</v>
      </c>
      <c r="BS5" s="38">
        <v>161</v>
      </c>
      <c r="BT5" s="38">
        <v>62</v>
      </c>
      <c r="BU5" s="38">
        <v>4</v>
      </c>
      <c r="BV5" s="38">
        <v>4</v>
      </c>
      <c r="BW5" s="38">
        <v>5</v>
      </c>
      <c r="BX5" s="38">
        <v>13</v>
      </c>
      <c r="BY5" s="38">
        <v>202</v>
      </c>
      <c r="BZ5" s="38">
        <v>86</v>
      </c>
      <c r="CA5" s="38">
        <v>195</v>
      </c>
      <c r="CB5" s="38">
        <v>3947</v>
      </c>
      <c r="CC5" s="38">
        <v>24</v>
      </c>
      <c r="CD5" s="38">
        <v>20</v>
      </c>
      <c r="CE5" s="38">
        <v>2</v>
      </c>
      <c r="CF5" s="38">
        <v>13</v>
      </c>
      <c r="CG5" s="38">
        <f t="shared" si="13"/>
        <v>366</v>
      </c>
      <c r="CH5" s="38">
        <v>0</v>
      </c>
      <c r="CI5" s="39">
        <v>67</v>
      </c>
      <c r="CJ5" s="39">
        <v>22</v>
      </c>
      <c r="CK5" s="39">
        <v>32</v>
      </c>
      <c r="CQ5" s="27"/>
      <c r="CR5" s="27"/>
      <c r="CS5" s="27"/>
      <c r="DC5">
        <v>401</v>
      </c>
      <c r="DE5" s="15">
        <v>0.32</v>
      </c>
      <c r="DF5" s="24">
        <v>6.9000000000000006E-2</v>
      </c>
      <c r="DG5" s="24">
        <f t="shared" ref="DG5:DG17" si="23">DE5+DF5</f>
        <v>0.38900000000000001</v>
      </c>
      <c r="DK5" s="28">
        <v>90878</v>
      </c>
    </row>
    <row r="6" spans="1:115" ht="13.5" customHeight="1" x14ac:dyDescent="0.45">
      <c r="A6" s="92" t="s">
        <v>25</v>
      </c>
      <c r="B6" s="70">
        <f>'[1]Демо+РИК_Разделы 1,3'!DG5</f>
        <v>1.0573618821041502</v>
      </c>
      <c r="C6" s="71">
        <f t="shared" si="0"/>
        <v>0.23</v>
      </c>
      <c r="D6" s="108">
        <f t="shared" si="1"/>
        <v>71.148833285061272</v>
      </c>
      <c r="E6" s="167">
        <f t="shared" si="1"/>
        <v>659727.30000000005</v>
      </c>
      <c r="F6" s="108">
        <f t="shared" si="1"/>
        <v>12.1</v>
      </c>
      <c r="G6" s="108">
        <f t="shared" si="1"/>
        <v>14.2</v>
      </c>
      <c r="H6" s="164">
        <f t="shared" si="2"/>
        <v>7.1942402648242851E-2</v>
      </c>
      <c r="I6" s="168">
        <f t="shared" si="3"/>
        <v>3.0240646927832831E-2</v>
      </c>
      <c r="J6" s="169">
        <f t="shared" si="4"/>
        <v>1.7110326566637246</v>
      </c>
      <c r="K6" s="170">
        <f t="shared" si="5"/>
        <v>0.19739392634072797</v>
      </c>
      <c r="L6" s="164">
        <f t="shared" si="6"/>
        <v>8.8019146588846575E-2</v>
      </c>
      <c r="M6" s="107">
        <f t="shared" si="7"/>
        <v>0.51126755024186887</v>
      </c>
      <c r="N6" s="108">
        <f t="shared" si="8"/>
        <v>11.527176529506182</v>
      </c>
      <c r="O6" s="35"/>
      <c r="P6" s="41">
        <f t="shared" si="9"/>
        <v>1.3698630136986301E-2</v>
      </c>
      <c r="Q6" s="41">
        <v>2.8708133971291867E-2</v>
      </c>
      <c r="R6" s="41">
        <f t="shared" si="10"/>
        <v>7.5471698113207544E-2</v>
      </c>
      <c r="S6" s="41">
        <v>1</v>
      </c>
      <c r="T6" s="41" t="e">
        <f>#REF!/BQ6</f>
        <v>#REF!</v>
      </c>
      <c r="U6" s="41">
        <f t="shared" si="11"/>
        <v>0.10101010101010101</v>
      </c>
      <c r="V6" s="43" t="e">
        <f>SUM(CK6:CK6)/#REF!</f>
        <v>#REF!</v>
      </c>
      <c r="W6" s="27"/>
      <c r="X6" s="20">
        <v>725493514.80999994</v>
      </c>
      <c r="Y6" s="27">
        <v>95</v>
      </c>
      <c r="Z6" s="94" t="e">
        <f>CJ6/#REF!*1000</f>
        <v>#REF!</v>
      </c>
      <c r="AA6" s="27"/>
      <c r="AB6" s="95">
        <v>5.68</v>
      </c>
      <c r="AD6" s="22"/>
      <c r="AE6" s="53" t="s">
        <v>25</v>
      </c>
      <c r="AF6" s="40">
        <v>39</v>
      </c>
      <c r="AG6" s="119">
        <f>[2]КДН_Свод!M5</f>
        <v>1032343</v>
      </c>
      <c r="AH6" s="120">
        <f>'[1]Демо+РИК_Разделы 1,3'!P5</f>
        <v>203416</v>
      </c>
      <c r="AI6" s="120">
        <f>'[1]Демо+РИК_Разделы 1,3'!X5</f>
        <v>75931</v>
      </c>
      <c r="AJ6" s="120">
        <f>'[1]Демо+РИК_Разделы 1,3'!AE5</f>
        <v>53065</v>
      </c>
      <c r="AK6" s="120">
        <f>'[1]Демо+РИК_Разделы 1,3'!AK5</f>
        <v>9286</v>
      </c>
      <c r="AL6" s="182">
        <f>'[1]Демо+РИК_Разделы 1,3'!BR5</f>
        <v>208</v>
      </c>
      <c r="AM6" s="121">
        <v>0.23</v>
      </c>
      <c r="AN6" s="122">
        <f>[2]КДН_Свод!H5</f>
        <v>1190</v>
      </c>
      <c r="AO6" s="123">
        <f t="shared" si="14"/>
        <v>11.527176529506182</v>
      </c>
      <c r="AP6" s="123">
        <f>[3]Лист2!B4</f>
        <v>104</v>
      </c>
      <c r="AQ6" s="124">
        <f t="shared" si="15"/>
        <v>0.51126755024186887</v>
      </c>
      <c r="AR6" s="125">
        <v>7345</v>
      </c>
      <c r="AS6" s="124">
        <f t="shared" si="16"/>
        <v>71.148833285061272</v>
      </c>
      <c r="AT6" s="123">
        <f>[2]КДН_Свод!AC5</f>
        <v>659727.30000000005</v>
      </c>
      <c r="AU6" s="118">
        <v>12.1</v>
      </c>
      <c r="AV6" s="118">
        <v>14.2</v>
      </c>
      <c r="AW6" s="142">
        <v>59635</v>
      </c>
      <c r="AX6" s="134">
        <f t="shared" si="17"/>
        <v>7.1942402648242851E-2</v>
      </c>
      <c r="AY6" s="147">
        <v>742</v>
      </c>
      <c r="AZ6" s="147">
        <v>3753</v>
      </c>
      <c r="BA6" s="151">
        <f t="shared" si="18"/>
        <v>4495</v>
      </c>
      <c r="BB6" s="224">
        <f>[4]Данные!$E$40</f>
        <v>148641</v>
      </c>
      <c r="BC6" s="231">
        <f t="shared" si="19"/>
        <v>3.0240646927832831E-2</v>
      </c>
      <c r="BD6" s="233">
        <v>4065</v>
      </c>
      <c r="BE6" s="227">
        <f t="shared" si="20"/>
        <v>1.9983678766665357E-2</v>
      </c>
      <c r="BF6" s="157">
        <v>9693</v>
      </c>
      <c r="BG6" s="158">
        <v>5665</v>
      </c>
      <c r="BH6" s="160">
        <f t="shared" si="12"/>
        <v>1.7110326566637246</v>
      </c>
      <c r="BI6" s="163">
        <v>1833</v>
      </c>
      <c r="BJ6" s="164">
        <f t="shared" si="21"/>
        <v>0.19739392634072797</v>
      </c>
      <c r="BK6" s="166">
        <v>112396</v>
      </c>
      <c r="BL6" s="166">
        <v>9893</v>
      </c>
      <c r="BM6" s="221">
        <f t="shared" si="22"/>
        <v>8.8019146588846575E-2</v>
      </c>
      <c r="BO6" s="38">
        <v>295</v>
      </c>
      <c r="BP6" s="38">
        <v>76</v>
      </c>
      <c r="BQ6" s="38">
        <v>99</v>
      </c>
      <c r="BR6" s="38">
        <v>4</v>
      </c>
      <c r="BS6" s="38">
        <v>109</v>
      </c>
      <c r="BT6" s="38">
        <v>30</v>
      </c>
      <c r="BU6" s="38">
        <v>0</v>
      </c>
      <c r="BV6" s="38">
        <v>127</v>
      </c>
      <c r="BW6" s="38">
        <v>10</v>
      </c>
      <c r="BX6" s="38">
        <v>3</v>
      </c>
      <c r="BY6" s="38">
        <v>324</v>
      </c>
      <c r="BZ6" s="38">
        <v>331</v>
      </c>
      <c r="CA6" s="38">
        <v>270</v>
      </c>
      <c r="CB6" s="38">
        <v>1809</v>
      </c>
      <c r="CC6" s="38">
        <v>11</v>
      </c>
      <c r="CD6" s="38">
        <v>10</v>
      </c>
      <c r="CE6" s="38">
        <v>0</v>
      </c>
      <c r="CF6" s="38">
        <v>3</v>
      </c>
      <c r="CG6" s="38">
        <f t="shared" si="13"/>
        <v>219</v>
      </c>
      <c r="CH6" s="39">
        <v>4</v>
      </c>
      <c r="CI6" s="39">
        <v>53</v>
      </c>
      <c r="CJ6" s="39">
        <v>1</v>
      </c>
      <c r="CK6" s="39">
        <v>20</v>
      </c>
      <c r="CQ6" s="27"/>
      <c r="CR6" s="27"/>
      <c r="CS6" s="27"/>
      <c r="DC6">
        <v>237</v>
      </c>
      <c r="DE6" s="24">
        <v>7.1999999999999995E-2</v>
      </c>
      <c r="DF6" s="24">
        <v>0.32700000000000001</v>
      </c>
      <c r="DG6" s="24">
        <f t="shared" si="23"/>
        <v>0.39900000000000002</v>
      </c>
      <c r="DK6" s="28">
        <v>45640</v>
      </c>
    </row>
    <row r="7" spans="1:115" ht="13.5" customHeight="1" x14ac:dyDescent="0.45">
      <c r="A7" s="92" t="s">
        <v>21</v>
      </c>
      <c r="B7" s="70">
        <f>'[1]Демо+РИК_Разделы 1,3'!DG6</f>
        <v>0.76791888867392089</v>
      </c>
      <c r="C7" s="71">
        <f t="shared" si="0"/>
        <v>0.8</v>
      </c>
      <c r="D7" s="108">
        <f t="shared" si="1"/>
        <v>22.249926752924942</v>
      </c>
      <c r="E7" s="167">
        <f t="shared" si="1"/>
        <v>562926</v>
      </c>
      <c r="F7" s="108">
        <f t="shared" si="1"/>
        <v>9</v>
      </c>
      <c r="G7" s="108">
        <f t="shared" si="1"/>
        <v>15.5</v>
      </c>
      <c r="H7" s="164">
        <f t="shared" si="2"/>
        <v>8.6406606414346276E-2</v>
      </c>
      <c r="I7" s="168">
        <f t="shared" si="3"/>
        <v>2.4824319042322796E-2</v>
      </c>
      <c r="J7" s="169">
        <f t="shared" si="4"/>
        <v>1.6003987564206543</v>
      </c>
      <c r="K7" s="170">
        <f t="shared" si="5"/>
        <v>0.18898907463472422</v>
      </c>
      <c r="L7" s="164">
        <f t="shared" si="6"/>
        <v>9.5154790442283171E-2</v>
      </c>
      <c r="M7" s="107">
        <f t="shared" si="7"/>
        <v>4.0038094983938057</v>
      </c>
      <c r="N7" s="108">
        <f t="shared" si="8"/>
        <v>9.0628756329105773</v>
      </c>
      <c r="O7" s="35"/>
      <c r="P7" s="41">
        <f t="shared" si="9"/>
        <v>3.8626609442060089E-2</v>
      </c>
      <c r="Q7" s="41">
        <v>2.4747937671860679E-2</v>
      </c>
      <c r="R7" s="41">
        <f t="shared" si="10"/>
        <v>3.125E-2</v>
      </c>
      <c r="S7" s="41">
        <v>1.5896542481908336</v>
      </c>
      <c r="T7" s="41" t="e">
        <f>#REF!/BQ7</f>
        <v>#REF!</v>
      </c>
      <c r="U7" s="41">
        <f t="shared" si="11"/>
        <v>0.10410958904109589</v>
      </c>
      <c r="V7" s="43" t="e">
        <f>SUM(CK7:CK7)/#REF!</f>
        <v>#REF!</v>
      </c>
      <c r="W7" s="27"/>
      <c r="X7" s="20">
        <v>36668893354.169998</v>
      </c>
      <c r="Y7" s="27">
        <v>1945</v>
      </c>
      <c r="Z7" s="94" t="e">
        <f>CJ7/#REF!*1000</f>
        <v>#REF!</v>
      </c>
      <c r="AA7" s="27"/>
      <c r="AB7" s="95">
        <v>5.68</v>
      </c>
      <c r="AD7" s="22"/>
      <c r="AE7" s="53" t="s">
        <v>21</v>
      </c>
      <c r="AF7" s="40">
        <v>23</v>
      </c>
      <c r="AG7" s="119">
        <f>[2]КДН_Свод!M6</f>
        <v>5819345</v>
      </c>
      <c r="AH7" s="120">
        <f>'[1]Демо+РИК_Разделы 1,3'!P6</f>
        <v>1199108</v>
      </c>
      <c r="AI7" s="120">
        <f>'[1]Демо+РИК_Разделы 1,3'!X6</f>
        <v>463137</v>
      </c>
      <c r="AJ7" s="120">
        <f>'[1]Демо+РИК_Разделы 1,3'!AE6</f>
        <v>326140</v>
      </c>
      <c r="AK7" s="120">
        <f>'[1]Демо+РИК_Разделы 1,3'!AK6</f>
        <v>60776</v>
      </c>
      <c r="AL7" s="182">
        <f>'[1]Демо+РИК_Разделы 1,3'!BR6</f>
        <v>816</v>
      </c>
      <c r="AM7" s="121">
        <v>0.8</v>
      </c>
      <c r="AN7" s="122">
        <f>[2]КДН_Свод!H6</f>
        <v>5274</v>
      </c>
      <c r="AO7" s="123">
        <f t="shared" si="14"/>
        <v>9.0628756329105773</v>
      </c>
      <c r="AP7" s="123">
        <f>[3]Лист2!B5</f>
        <v>4801</v>
      </c>
      <c r="AQ7" s="124">
        <f t="shared" si="15"/>
        <v>4.0038094983938057</v>
      </c>
      <c r="AR7" s="126">
        <v>12948</v>
      </c>
      <c r="AS7" s="124">
        <f t="shared" si="16"/>
        <v>22.249926752924942</v>
      </c>
      <c r="AT7" s="123">
        <f>[2]КДН_Свод!AC6</f>
        <v>562926</v>
      </c>
      <c r="AU7" s="127">
        <v>9</v>
      </c>
      <c r="AV7" s="136">
        <v>15.5</v>
      </c>
      <c r="AW7" s="143">
        <v>399219</v>
      </c>
      <c r="AX7" s="134">
        <f t="shared" si="17"/>
        <v>8.6406606414346276E-2</v>
      </c>
      <c r="AY7" s="147">
        <v>6769</v>
      </c>
      <c r="AZ7" s="147">
        <v>22827</v>
      </c>
      <c r="BA7" s="151">
        <f t="shared" si="18"/>
        <v>29596</v>
      </c>
      <c r="BB7" s="224">
        <f>[4]Данные!$E$10</f>
        <v>1192218</v>
      </c>
      <c r="BC7" s="231">
        <f t="shared" si="19"/>
        <v>2.4824319042322796E-2</v>
      </c>
      <c r="BD7" s="233">
        <v>30093</v>
      </c>
      <c r="BE7" s="227">
        <f t="shared" si="20"/>
        <v>2.5096154808407583E-2</v>
      </c>
      <c r="BF7" s="154">
        <v>47359</v>
      </c>
      <c r="BG7" s="154">
        <v>29592</v>
      </c>
      <c r="BH7" s="160">
        <f t="shared" si="12"/>
        <v>1.6003987564206543</v>
      </c>
      <c r="BI7" s="163">
        <v>11486</v>
      </c>
      <c r="BJ7" s="164">
        <f t="shared" si="21"/>
        <v>0.18898907463472422</v>
      </c>
      <c r="BK7" s="166">
        <v>634503</v>
      </c>
      <c r="BL7" s="166">
        <v>60376</v>
      </c>
      <c r="BM7" s="221">
        <f t="shared" si="22"/>
        <v>9.5154790442283171E-2</v>
      </c>
      <c r="BO7" s="38">
        <v>1133</v>
      </c>
      <c r="BP7" s="38">
        <v>434</v>
      </c>
      <c r="BQ7" s="38">
        <v>365</v>
      </c>
      <c r="BR7" s="38">
        <v>3</v>
      </c>
      <c r="BS7" s="38">
        <v>711</v>
      </c>
      <c r="BT7" s="38">
        <v>234</v>
      </c>
      <c r="BU7" s="38">
        <v>0</v>
      </c>
      <c r="BV7" s="38">
        <v>743</v>
      </c>
      <c r="BW7" s="38">
        <v>38</v>
      </c>
      <c r="BX7" s="38">
        <v>27</v>
      </c>
      <c r="BY7" s="38">
        <v>234</v>
      </c>
      <c r="BZ7" s="38">
        <v>50</v>
      </c>
      <c r="CA7" s="38">
        <v>161</v>
      </c>
      <c r="CB7" s="38">
        <v>13189</v>
      </c>
      <c r="CC7" s="38">
        <v>58</v>
      </c>
      <c r="CD7" s="38">
        <v>55</v>
      </c>
      <c r="CE7" s="38">
        <v>1</v>
      </c>
      <c r="CF7" s="38">
        <v>27</v>
      </c>
      <c r="CG7" s="38">
        <f t="shared" si="13"/>
        <v>699</v>
      </c>
      <c r="CH7" s="39">
        <v>3</v>
      </c>
      <c r="CI7" s="39">
        <v>96</v>
      </c>
      <c r="CJ7" s="39">
        <v>1</v>
      </c>
      <c r="CK7" s="39">
        <v>41</v>
      </c>
      <c r="CQ7" s="27"/>
      <c r="CR7" s="27"/>
      <c r="CS7" s="27"/>
      <c r="DC7">
        <v>1099</v>
      </c>
      <c r="DE7" s="24">
        <v>0.28699999999999998</v>
      </c>
      <c r="DF7" s="24">
        <v>5.8000000000000003E-2</v>
      </c>
      <c r="DG7" s="24">
        <f>DE7+DF7</f>
        <v>0.34499999999999997</v>
      </c>
      <c r="DK7" s="28">
        <v>221424</v>
      </c>
    </row>
    <row r="8" spans="1:115" ht="13.5" customHeight="1" x14ac:dyDescent="0.45">
      <c r="A8" s="92" t="s">
        <v>26</v>
      </c>
      <c r="B8" s="70">
        <f>'[1]Демо+РИК_Разделы 1,3'!DG7</f>
        <v>0.74776241829319534</v>
      </c>
      <c r="C8" s="71">
        <f t="shared" si="0"/>
        <v>0.09</v>
      </c>
      <c r="D8" s="108">
        <f t="shared" si="1"/>
        <v>0.95673330744799423</v>
      </c>
      <c r="E8" s="167">
        <f t="shared" si="1"/>
        <v>882875.6</v>
      </c>
      <c r="F8" s="108">
        <f t="shared" si="1"/>
        <v>5.5</v>
      </c>
      <c r="G8" s="108">
        <f t="shared" si="1"/>
        <v>11</v>
      </c>
      <c r="H8" s="164">
        <f t="shared" si="2"/>
        <v>5.4639254138958551E-2</v>
      </c>
      <c r="I8" s="168">
        <f t="shared" si="3"/>
        <v>2.4369137270445238E-2</v>
      </c>
      <c r="J8" s="169">
        <f t="shared" si="4"/>
        <v>1.7240465242088179</v>
      </c>
      <c r="K8" s="170">
        <f t="shared" si="5"/>
        <v>0.22253967394247956</v>
      </c>
      <c r="L8" s="164">
        <f t="shared" si="6"/>
        <v>8.6158880054079831E-2</v>
      </c>
      <c r="M8" s="107">
        <f t="shared" si="7"/>
        <v>2.945055084732298</v>
      </c>
      <c r="N8" s="108">
        <f t="shared" si="8"/>
        <v>9.9572426340846594</v>
      </c>
      <c r="O8" s="35"/>
      <c r="P8" s="41">
        <f t="shared" si="9"/>
        <v>5.1882845188284517E-2</v>
      </c>
      <c r="Q8" s="41">
        <v>3.7974683544303799E-2</v>
      </c>
      <c r="R8" s="41">
        <f t="shared" si="10"/>
        <v>6.0150375939849621E-2</v>
      </c>
      <c r="S8" s="41">
        <v>1</v>
      </c>
      <c r="T8" s="41" t="e">
        <f>#REF!/BQ8</f>
        <v>#REF!</v>
      </c>
      <c r="U8" s="41">
        <f t="shared" si="11"/>
        <v>0.14548494983277591</v>
      </c>
      <c r="V8" s="43" t="e">
        <f>SUM(CK8:CK8)/#REF!</f>
        <v>#REF!</v>
      </c>
      <c r="W8" s="27"/>
      <c r="X8" s="20">
        <v>13937499264.43</v>
      </c>
      <c r="Y8" s="27">
        <v>187</v>
      </c>
      <c r="Z8" s="94" t="e">
        <f>CJ8/#REF!*1000</f>
        <v>#REF!</v>
      </c>
      <c r="AA8" s="27" t="s">
        <v>68</v>
      </c>
      <c r="AB8" s="95">
        <v>5.68</v>
      </c>
      <c r="AD8" s="22"/>
      <c r="AE8" s="53" t="s">
        <v>26</v>
      </c>
      <c r="AF8" s="40">
        <v>50</v>
      </c>
      <c r="AG8" s="119">
        <f>[2]КДН_Свод!M7</f>
        <v>8591736</v>
      </c>
      <c r="AH8" s="120">
        <f>'[1]Демо+РИК_Разделы 1,3'!P7</f>
        <v>1573485</v>
      </c>
      <c r="AI8" s="120">
        <f>'[1]Демо+РИК_Разделы 1,3'!X7</f>
        <v>639437</v>
      </c>
      <c r="AJ8" s="120">
        <f>'[1]Демо+РИК_Разделы 1,3'!AE7</f>
        <v>449075</v>
      </c>
      <c r="AK8" s="120">
        <f>'[1]Демо+РИК_Разделы 1,3'!AK7</f>
        <v>73852</v>
      </c>
      <c r="AL8" s="182">
        <f>'[1]Демо+РИК_Разделы 1,3'!BR7</f>
        <v>1118</v>
      </c>
      <c r="AM8" s="121">
        <v>0.09</v>
      </c>
      <c r="AN8" s="122">
        <f>[2]КДН_Свод!H7</f>
        <v>8555</v>
      </c>
      <c r="AO8" s="123">
        <f t="shared" si="14"/>
        <v>9.9572426340846594</v>
      </c>
      <c r="AP8" s="123">
        <f>[3]Лист2!B6</f>
        <v>4634</v>
      </c>
      <c r="AQ8" s="124">
        <f t="shared" si="15"/>
        <v>2.945055084732298</v>
      </c>
      <c r="AR8" s="125">
        <v>822</v>
      </c>
      <c r="AS8" s="124">
        <f t="shared" si="16"/>
        <v>0.95673330744799423</v>
      </c>
      <c r="AT8" s="123">
        <f>[2]КДН_Свод!AC7</f>
        <v>882875.6</v>
      </c>
      <c r="AU8" s="118">
        <v>5.5</v>
      </c>
      <c r="AV8" s="136">
        <v>11</v>
      </c>
      <c r="AW8" s="142">
        <v>383472</v>
      </c>
      <c r="AX8" s="134">
        <f t="shared" si="17"/>
        <v>5.4639254138958551E-2</v>
      </c>
      <c r="AY8" s="147">
        <v>3967</v>
      </c>
      <c r="AZ8" s="147">
        <v>25545</v>
      </c>
      <c r="BA8" s="151">
        <f t="shared" si="18"/>
        <v>29512</v>
      </c>
      <c r="BB8" s="224">
        <f>[4]Данные!$E$45</f>
        <v>1211040</v>
      </c>
      <c r="BC8" s="231">
        <f t="shared" si="19"/>
        <v>2.4369137270445238E-2</v>
      </c>
      <c r="BD8" s="233">
        <v>28572</v>
      </c>
      <c r="BE8" s="227">
        <f t="shared" si="20"/>
        <v>1.8158419050705917E-2</v>
      </c>
      <c r="BF8" s="154">
        <v>63738</v>
      </c>
      <c r="BG8" s="154">
        <v>36970</v>
      </c>
      <c r="BH8" s="160">
        <f t="shared" si="12"/>
        <v>1.7240465242088179</v>
      </c>
      <c r="BI8" s="163">
        <v>16435</v>
      </c>
      <c r="BJ8" s="164">
        <f t="shared" si="21"/>
        <v>0.22253967394247956</v>
      </c>
      <c r="BK8" s="166">
        <v>778109</v>
      </c>
      <c r="BL8" s="166">
        <v>67041</v>
      </c>
      <c r="BM8" s="221">
        <f t="shared" si="22"/>
        <v>8.6158880054079831E-2</v>
      </c>
      <c r="BO8" s="38">
        <v>1744</v>
      </c>
      <c r="BP8" s="38">
        <v>549</v>
      </c>
      <c r="BQ8" s="38">
        <v>598</v>
      </c>
      <c r="BR8" s="38">
        <v>0</v>
      </c>
      <c r="BS8" s="38">
        <v>1287</v>
      </c>
      <c r="BT8" s="38">
        <v>465</v>
      </c>
      <c r="BU8" s="38">
        <v>0</v>
      </c>
      <c r="BV8" s="38">
        <v>917</v>
      </c>
      <c r="BW8" s="38">
        <v>87</v>
      </c>
      <c r="BX8" s="38">
        <v>62</v>
      </c>
      <c r="BY8" s="38">
        <v>601</v>
      </c>
      <c r="BZ8" s="38">
        <v>198</v>
      </c>
      <c r="CA8" s="38">
        <v>501</v>
      </c>
      <c r="CB8" s="38">
        <v>15343</v>
      </c>
      <c r="CC8" s="38">
        <v>103</v>
      </c>
      <c r="CD8" s="38">
        <v>95</v>
      </c>
      <c r="CE8" s="38">
        <v>0</v>
      </c>
      <c r="CF8" s="38">
        <v>62</v>
      </c>
      <c r="CG8" s="38">
        <f t="shared" si="13"/>
        <v>1195</v>
      </c>
      <c r="CH8" s="39">
        <v>8</v>
      </c>
      <c r="CI8" s="39">
        <v>133</v>
      </c>
      <c r="CJ8" s="39">
        <v>86</v>
      </c>
      <c r="CK8" s="39">
        <v>20</v>
      </c>
      <c r="CQ8" s="27"/>
      <c r="CR8" s="27"/>
      <c r="CS8" s="27"/>
      <c r="DC8">
        <v>1151</v>
      </c>
      <c r="DE8" s="24">
        <v>0.29899999999999999</v>
      </c>
      <c r="DF8" s="24">
        <v>0.106</v>
      </c>
      <c r="DG8" s="24">
        <f t="shared" si="23"/>
        <v>0.40499999999999997</v>
      </c>
      <c r="DK8" s="28">
        <v>320442</v>
      </c>
    </row>
    <row r="9" spans="1:115" ht="12.75" customHeight="1" x14ac:dyDescent="0.45">
      <c r="A9" s="92" t="s">
        <v>27</v>
      </c>
      <c r="B9" s="70">
        <f>'[1]Демо+РИК_Разделы 1,3'!DG8</f>
        <v>1.5412066060216199</v>
      </c>
      <c r="C9" s="71">
        <f t="shared" si="0"/>
        <v>0.61</v>
      </c>
      <c r="D9" s="108">
        <f t="shared" si="1"/>
        <v>152.95846573628481</v>
      </c>
      <c r="E9" s="167">
        <f t="shared" si="1"/>
        <v>597430.6</v>
      </c>
      <c r="F9" s="108">
        <f t="shared" si="1"/>
        <v>8</v>
      </c>
      <c r="G9" s="108">
        <f t="shared" si="1"/>
        <v>4.9000000000000004</v>
      </c>
      <c r="H9" s="164">
        <f t="shared" si="2"/>
        <v>0.10167216851213054</v>
      </c>
      <c r="I9" s="168">
        <f t="shared" si="3"/>
        <v>2.5187462861131285E-2</v>
      </c>
      <c r="J9" s="169">
        <f t="shared" si="4"/>
        <v>1.64440683182028</v>
      </c>
      <c r="K9" s="170">
        <f t="shared" si="5"/>
        <v>0.16576960715783587</v>
      </c>
      <c r="L9" s="164">
        <f t="shared" si="6"/>
        <v>7.7333123425692693E-2</v>
      </c>
      <c r="M9" s="107">
        <f t="shared" si="7"/>
        <v>0.74579390508651378</v>
      </c>
      <c r="N9" s="108">
        <f t="shared" si="8"/>
        <v>12.583485651484173</v>
      </c>
      <c r="O9" s="35"/>
      <c r="P9" s="41">
        <f t="shared" si="9"/>
        <v>6.1141304347826088E-2</v>
      </c>
      <c r="Q9" s="41">
        <v>4.8349056603773588E-2</v>
      </c>
      <c r="R9" s="41">
        <f t="shared" si="10"/>
        <v>0.1111111111111111</v>
      </c>
      <c r="S9" s="41">
        <v>0.33195020746887965</v>
      </c>
      <c r="T9" s="41" t="e">
        <f>#REF!/BQ9</f>
        <v>#REF!</v>
      </c>
      <c r="U9" s="41">
        <f t="shared" si="11"/>
        <v>5.3097345132743362E-2</v>
      </c>
      <c r="V9" s="43" t="e">
        <f>SUM(CK9:CK9)/#REF!</f>
        <v>#REF!</v>
      </c>
      <c r="W9" s="27"/>
      <c r="X9" s="20">
        <v>12550144117.040001</v>
      </c>
      <c r="Y9" s="27">
        <v>1145</v>
      </c>
      <c r="Z9" s="94" t="e">
        <f>CJ9/#REF!*1000</f>
        <v>#REF!</v>
      </c>
      <c r="AA9" s="27"/>
      <c r="AB9" s="95">
        <v>5.88</v>
      </c>
      <c r="AD9" s="22"/>
      <c r="AE9" s="53" t="s">
        <v>27</v>
      </c>
      <c r="AF9" s="40">
        <v>52</v>
      </c>
      <c r="AG9" s="119">
        <f>[2]КДН_Свод!M8</f>
        <v>3081817</v>
      </c>
      <c r="AH9" s="120">
        <f>'[1]Демо+РИК_Разделы 1,3'!P8</f>
        <v>602043</v>
      </c>
      <c r="AI9" s="120">
        <f>'[1]Демо+РИК_Разделы 1,3'!X8</f>
        <v>225963</v>
      </c>
      <c r="AJ9" s="120">
        <f>'[1]Демо+РИК_Разделы 1,3'!AE8</f>
        <v>160250</v>
      </c>
      <c r="AK9" s="120">
        <f>'[1]Демо+РИК_Разделы 1,3'!AK8</f>
        <v>28612</v>
      </c>
      <c r="AL9" s="182">
        <f>'[1]Демо+РИК_Разделы 1,3'!BR8</f>
        <v>876</v>
      </c>
      <c r="AM9" s="121">
        <v>0.61</v>
      </c>
      <c r="AN9" s="122">
        <f>[2]КДН_Свод!H8</f>
        <v>3878</v>
      </c>
      <c r="AO9" s="123">
        <f t="shared" si="14"/>
        <v>12.583485651484173</v>
      </c>
      <c r="AP9" s="123">
        <f>[3]Лист2!B7</f>
        <v>449</v>
      </c>
      <c r="AQ9" s="124">
        <f t="shared" si="15"/>
        <v>0.74579390508651378</v>
      </c>
      <c r="AR9" s="126">
        <v>47139</v>
      </c>
      <c r="AS9" s="124">
        <f t="shared" si="16"/>
        <v>152.95846573628481</v>
      </c>
      <c r="AT9" s="123">
        <f>[2]КДН_Свод!AC8</f>
        <v>597430.6</v>
      </c>
      <c r="AU9" s="128">
        <v>8</v>
      </c>
      <c r="AV9" s="136">
        <v>4.9000000000000004</v>
      </c>
      <c r="AW9" s="144">
        <v>252124</v>
      </c>
      <c r="AX9" s="134">
        <f t="shared" si="17"/>
        <v>0.10167216851213054</v>
      </c>
      <c r="AY9" s="147">
        <v>3611</v>
      </c>
      <c r="AZ9" s="147">
        <v>9741</v>
      </c>
      <c r="BA9" s="151">
        <f t="shared" si="18"/>
        <v>13352</v>
      </c>
      <c r="BB9" s="224">
        <f>[4]Данные!$E$50</f>
        <v>530105</v>
      </c>
      <c r="BC9" s="231">
        <f t="shared" si="19"/>
        <v>2.5187462861131285E-2</v>
      </c>
      <c r="BD9" s="233">
        <v>13055</v>
      </c>
      <c r="BE9" s="227">
        <f t="shared" si="20"/>
        <v>2.168449761894084E-2</v>
      </c>
      <c r="BF9" s="154">
        <v>21374</v>
      </c>
      <c r="BG9" s="154">
        <v>12998</v>
      </c>
      <c r="BH9" s="160">
        <f t="shared" si="12"/>
        <v>1.64440683182028</v>
      </c>
      <c r="BI9" s="163">
        <v>4743</v>
      </c>
      <c r="BJ9" s="164">
        <f t="shared" si="21"/>
        <v>0.16576960715783587</v>
      </c>
      <c r="BK9" s="166">
        <v>317600</v>
      </c>
      <c r="BL9" s="166">
        <v>24561</v>
      </c>
      <c r="BM9" s="221">
        <f t="shared" si="22"/>
        <v>7.7333123425692693E-2</v>
      </c>
      <c r="BO9" s="38">
        <v>987</v>
      </c>
      <c r="BP9" s="38">
        <v>251</v>
      </c>
      <c r="BQ9" s="38">
        <v>339</v>
      </c>
      <c r="BR9" s="38">
        <v>53</v>
      </c>
      <c r="BS9" s="38">
        <v>608</v>
      </c>
      <c r="BT9" s="38">
        <v>217</v>
      </c>
      <c r="BU9" s="38">
        <v>5</v>
      </c>
      <c r="BV9" s="38">
        <v>470</v>
      </c>
      <c r="BW9" s="38">
        <v>18</v>
      </c>
      <c r="BX9" s="38">
        <v>45</v>
      </c>
      <c r="BY9" s="38">
        <v>746</v>
      </c>
      <c r="BZ9" s="38">
        <v>822</v>
      </c>
      <c r="CA9" s="38">
        <v>683</v>
      </c>
      <c r="CB9" s="38">
        <v>8513</v>
      </c>
      <c r="CC9" s="38">
        <v>56</v>
      </c>
      <c r="CD9" s="38">
        <v>32</v>
      </c>
      <c r="CE9" s="38">
        <v>18</v>
      </c>
      <c r="CF9" s="38">
        <v>45</v>
      </c>
      <c r="CG9" s="38">
        <f t="shared" si="13"/>
        <v>736</v>
      </c>
      <c r="CH9" s="39">
        <v>8</v>
      </c>
      <c r="CI9" s="39">
        <v>72</v>
      </c>
      <c r="CJ9" s="39">
        <v>151</v>
      </c>
      <c r="CK9" s="39">
        <v>20</v>
      </c>
      <c r="CQ9" s="27"/>
      <c r="CR9" s="27"/>
      <c r="CS9" s="27"/>
      <c r="DC9">
        <v>806</v>
      </c>
      <c r="DE9" s="15">
        <v>0.31</v>
      </c>
      <c r="DF9" s="24">
        <v>6.9000000000000006E-2</v>
      </c>
      <c r="DG9" s="24">
        <f t="shared" si="23"/>
        <v>0.379</v>
      </c>
      <c r="DK9" s="28">
        <v>121513</v>
      </c>
    </row>
    <row r="10" spans="1:115" ht="12.75" customHeight="1" x14ac:dyDescent="0.45">
      <c r="A10" s="92" t="s">
        <v>28</v>
      </c>
      <c r="B10" s="70">
        <f>'[1]Демо+РИК_Разделы 1,3'!DG9</f>
        <v>1.2132901941264309</v>
      </c>
      <c r="C10" s="71">
        <f t="shared" si="0"/>
        <v>0.47</v>
      </c>
      <c r="D10" s="108">
        <f t="shared" si="1"/>
        <v>42.91645820405072</v>
      </c>
      <c r="E10" s="167">
        <f t="shared" si="1"/>
        <v>581018.30000000005</v>
      </c>
      <c r="F10" s="108">
        <f t="shared" si="1"/>
        <v>11.3</v>
      </c>
      <c r="G10" s="108">
        <f t="shared" si="1"/>
        <v>22.3</v>
      </c>
      <c r="H10" s="164">
        <f t="shared" si="2"/>
        <v>7.904397740277197E-2</v>
      </c>
      <c r="I10" s="168">
        <f t="shared" si="3"/>
        <v>1.4971600993965212E-2</v>
      </c>
      <c r="J10" s="169">
        <f t="shared" si="4"/>
        <v>1.6221918202764978</v>
      </c>
      <c r="K10" s="170">
        <f t="shared" si="5"/>
        <v>0.20658812535460402</v>
      </c>
      <c r="L10" s="164">
        <f t="shared" si="6"/>
        <v>0.10326234158719297</v>
      </c>
      <c r="M10" s="107">
        <f t="shared" si="7"/>
        <v>0.20093680453070281</v>
      </c>
      <c r="N10" s="108">
        <f t="shared" si="8"/>
        <v>9.938209175504408</v>
      </c>
      <c r="O10" s="35"/>
      <c r="P10" s="41">
        <f t="shared" si="9"/>
        <v>4.2253521126760563E-2</v>
      </c>
      <c r="Q10" s="41">
        <v>3.5483870967741936E-2</v>
      </c>
      <c r="R10" s="41">
        <f t="shared" si="10"/>
        <v>6.1946902654867256E-2</v>
      </c>
      <c r="S10" s="41">
        <v>0.98852295409181634</v>
      </c>
      <c r="T10" s="41" t="e">
        <f>#REF!/BQ10</f>
        <v>#REF!</v>
      </c>
      <c r="U10" s="41">
        <f t="shared" si="11"/>
        <v>7.0671378091872791E-3</v>
      </c>
      <c r="V10" s="43" t="e">
        <f>SUM(CK10:CK10)/#REF!</f>
        <v>#REF!</v>
      </c>
      <c r="W10" s="27"/>
      <c r="X10" s="20">
        <v>17969857087.459999</v>
      </c>
      <c r="Y10" s="27">
        <v>736</v>
      </c>
      <c r="Z10" s="94" t="e">
        <f>CJ10/#REF!*1000</f>
        <v>#REF!</v>
      </c>
      <c r="AA10" s="27"/>
      <c r="AB10" s="95">
        <v>5.94</v>
      </c>
      <c r="AD10" s="22"/>
      <c r="AE10" s="53" t="s">
        <v>28</v>
      </c>
      <c r="AF10" s="40">
        <v>54</v>
      </c>
      <c r="AG10" s="119">
        <f>[2]КДН_Свод!M9</f>
        <v>2794266</v>
      </c>
      <c r="AH10" s="120">
        <f>'[1]Демо+РИК_Разделы 1,3'!P9</f>
        <v>592226</v>
      </c>
      <c r="AI10" s="120">
        <f>'[1]Демо+РИК_Разделы 1,3'!X9</f>
        <v>232093</v>
      </c>
      <c r="AJ10" s="120">
        <f>'[1]Демо+РИК_Разделы 1,3'!AE9</f>
        <v>164160</v>
      </c>
      <c r="AK10" s="120">
        <f>'[1]Демо+РИК_Разделы 1,3'!AK9</f>
        <v>29963</v>
      </c>
      <c r="AL10" s="182">
        <f>'[1]Демо+РИК_Разделы 1,3'!BR9</f>
        <v>704</v>
      </c>
      <c r="AM10" s="121">
        <v>0.47</v>
      </c>
      <c r="AN10" s="122">
        <f>[2]КДН_Свод!H9</f>
        <v>2777</v>
      </c>
      <c r="AO10" s="123">
        <f t="shared" si="14"/>
        <v>9.938209175504408</v>
      </c>
      <c r="AP10" s="123">
        <f>[3]Лист2!B8</f>
        <v>119</v>
      </c>
      <c r="AQ10" s="124">
        <f t="shared" si="15"/>
        <v>0.20093680453070281</v>
      </c>
      <c r="AR10" s="129">
        <v>11992</v>
      </c>
      <c r="AS10" s="124">
        <f t="shared" si="16"/>
        <v>42.91645820405072</v>
      </c>
      <c r="AT10" s="123">
        <f>[2]КДН_Свод!AC9</f>
        <v>581018.30000000005</v>
      </c>
      <c r="AU10" s="118">
        <v>11.3</v>
      </c>
      <c r="AV10" s="136">
        <v>22.3</v>
      </c>
      <c r="AW10" s="142">
        <v>174058</v>
      </c>
      <c r="AX10" s="134">
        <f t="shared" si="17"/>
        <v>7.904397740277197E-2</v>
      </c>
      <c r="AY10" s="147">
        <v>485</v>
      </c>
      <c r="AZ10" s="147">
        <v>6263</v>
      </c>
      <c r="BA10" s="151">
        <f t="shared" si="18"/>
        <v>6748</v>
      </c>
      <c r="BB10" s="224">
        <f>[4]Данные!$E$55</f>
        <v>450720</v>
      </c>
      <c r="BC10" s="231">
        <f t="shared" si="19"/>
        <v>1.4971600993965212E-2</v>
      </c>
      <c r="BD10" s="233">
        <v>11528</v>
      </c>
      <c r="BE10" s="227">
        <f t="shared" si="20"/>
        <v>1.9465541870839848E-2</v>
      </c>
      <c r="BF10" s="154">
        <v>22529</v>
      </c>
      <c r="BG10" s="154">
        <v>13888</v>
      </c>
      <c r="BH10" s="160">
        <f t="shared" si="12"/>
        <v>1.6221918202764978</v>
      </c>
      <c r="BI10" s="163">
        <v>6190</v>
      </c>
      <c r="BJ10" s="164">
        <f t="shared" si="21"/>
        <v>0.20658812535460402</v>
      </c>
      <c r="BK10" s="166">
        <v>280596</v>
      </c>
      <c r="BL10" s="166">
        <v>28975</v>
      </c>
      <c r="BM10" s="221">
        <f t="shared" si="22"/>
        <v>0.10326234158719297</v>
      </c>
      <c r="BO10" s="38">
        <v>872</v>
      </c>
      <c r="BP10" s="38">
        <v>375</v>
      </c>
      <c r="BQ10" s="38">
        <v>283</v>
      </c>
      <c r="BR10" s="38">
        <v>43</v>
      </c>
      <c r="BS10" s="38">
        <v>437</v>
      </c>
      <c r="BT10" s="38">
        <v>142</v>
      </c>
      <c r="BU10" s="38">
        <v>3</v>
      </c>
      <c r="BV10" s="38">
        <v>561</v>
      </c>
      <c r="BW10" s="38">
        <v>2</v>
      </c>
      <c r="BX10" s="38">
        <v>21</v>
      </c>
      <c r="BY10" s="38">
        <v>660</v>
      </c>
      <c r="BZ10" s="38">
        <v>882</v>
      </c>
      <c r="CA10" s="38">
        <v>469</v>
      </c>
      <c r="CB10" s="38">
        <v>7891</v>
      </c>
      <c r="CC10" s="38">
        <v>37</v>
      </c>
      <c r="CD10" s="38">
        <v>17</v>
      </c>
      <c r="CE10" s="38">
        <v>13</v>
      </c>
      <c r="CF10" s="38">
        <v>21</v>
      </c>
      <c r="CG10" s="38">
        <f t="shared" si="13"/>
        <v>497</v>
      </c>
      <c r="CH10" s="39">
        <v>7</v>
      </c>
      <c r="CI10" s="39">
        <v>113</v>
      </c>
      <c r="CJ10" s="39">
        <v>90</v>
      </c>
      <c r="CK10" s="39">
        <v>4</v>
      </c>
      <c r="CQ10" s="27"/>
      <c r="CR10" s="27"/>
      <c r="CS10" s="27"/>
      <c r="DC10">
        <v>602</v>
      </c>
      <c r="DE10" s="24">
        <v>0.30399999999999999</v>
      </c>
      <c r="DF10" s="24">
        <v>4.5999999999999999E-2</v>
      </c>
      <c r="DG10" s="24">
        <f t="shared" si="23"/>
        <v>0.35</v>
      </c>
      <c r="DK10" s="28">
        <v>99373</v>
      </c>
    </row>
    <row r="11" spans="1:115" ht="12" customHeight="1" x14ac:dyDescent="0.45">
      <c r="A11" s="92" t="s">
        <v>29</v>
      </c>
      <c r="B11" s="70">
        <f>'[1]Демо+РИК_Разделы 1,3'!DG10</f>
        <v>0.87060195906884186</v>
      </c>
      <c r="C11" s="71">
        <f t="shared" si="0"/>
        <v>0.41</v>
      </c>
      <c r="D11" s="108">
        <f t="shared" si="1"/>
        <v>98.098120581513527</v>
      </c>
      <c r="E11" s="167">
        <f t="shared" si="1"/>
        <v>418946.1</v>
      </c>
      <c r="F11" s="108">
        <f t="shared" si="1"/>
        <v>11.5</v>
      </c>
      <c r="G11" s="108">
        <f t="shared" si="1"/>
        <v>18.7</v>
      </c>
      <c r="H11" s="164">
        <f t="shared" si="2"/>
        <v>8.7742127812301118E-2</v>
      </c>
      <c r="I11" s="168">
        <f t="shared" si="3"/>
        <v>2.3952598444636465E-2</v>
      </c>
      <c r="J11" s="169">
        <f t="shared" si="4"/>
        <v>1.4445707788516202</v>
      </c>
      <c r="K11" s="170">
        <f t="shared" si="5"/>
        <v>0.13455717215115712</v>
      </c>
      <c r="L11" s="164">
        <f t="shared" si="6"/>
        <v>7.8116816066324465E-2</v>
      </c>
      <c r="M11" s="107">
        <f t="shared" si="7"/>
        <v>1.3268796727324024</v>
      </c>
      <c r="N11" s="108">
        <f t="shared" si="8"/>
        <v>9.0726121823282195</v>
      </c>
      <c r="O11" s="35"/>
      <c r="P11" s="41">
        <f t="shared" si="9"/>
        <v>1.8604651162790697E-2</v>
      </c>
      <c r="Q11" s="41">
        <v>3.8461538461538464E-2</v>
      </c>
      <c r="R11" s="41">
        <f t="shared" si="10"/>
        <v>0.10344827586206896</v>
      </c>
      <c r="S11" s="41">
        <v>1</v>
      </c>
      <c r="T11" s="41" t="e">
        <f>#REF!/BQ11</f>
        <v>#REF!</v>
      </c>
      <c r="U11" s="41">
        <f t="shared" si="11"/>
        <v>0.18072289156626506</v>
      </c>
      <c r="V11" s="43" t="e">
        <f>SUM(CK11:CK11)/#REF!</f>
        <v>#REF!</v>
      </c>
      <c r="W11" s="27"/>
      <c r="X11" s="20">
        <v>5547967036.9399996</v>
      </c>
      <c r="Y11" s="27">
        <v>22</v>
      </c>
      <c r="Z11" s="94" t="e">
        <f>CJ11/#REF!*1000</f>
        <v>#REF!</v>
      </c>
      <c r="AA11" s="27"/>
      <c r="AB11" s="95">
        <v>5.7</v>
      </c>
      <c r="AD11" s="22"/>
      <c r="AE11" s="53" t="s">
        <v>29</v>
      </c>
      <c r="AF11" s="40">
        <v>58</v>
      </c>
      <c r="AG11" s="119">
        <f>[2]КДН_Свод!M10</f>
        <v>1246609</v>
      </c>
      <c r="AH11" s="120">
        <f>'[1]Демо+РИК_Разделы 1,3'!P10</f>
        <v>226848</v>
      </c>
      <c r="AI11" s="120">
        <f>'[1]Демо+РИК_Разделы 1,3'!X10</f>
        <v>79460</v>
      </c>
      <c r="AJ11" s="120">
        <f>'[1]Демо+РИК_Разделы 1,3'!AE10</f>
        <v>56247</v>
      </c>
      <c r="AK11" s="120">
        <f>'[1]Демо+РИК_Разделы 1,3'!AK10</f>
        <v>10241</v>
      </c>
      <c r="AL11" s="182">
        <f>'[1]Демо+РИК_Разделы 1,3'!BR10</f>
        <v>185</v>
      </c>
      <c r="AM11" s="121">
        <v>0.41</v>
      </c>
      <c r="AN11" s="122">
        <f>[2]КДН_Свод!H10</f>
        <v>1131</v>
      </c>
      <c r="AO11" s="123">
        <f t="shared" si="14"/>
        <v>9.0726121823282195</v>
      </c>
      <c r="AP11" s="123">
        <f>[3]Лист2!B9</f>
        <v>301</v>
      </c>
      <c r="AQ11" s="124">
        <f t="shared" si="15"/>
        <v>1.3268796727324024</v>
      </c>
      <c r="AR11" s="129">
        <v>12229</v>
      </c>
      <c r="AS11" s="124">
        <f t="shared" si="16"/>
        <v>98.098120581513527</v>
      </c>
      <c r="AT11" s="123">
        <f>[2]КДН_Свод!AC10</f>
        <v>418946.1</v>
      </c>
      <c r="AU11" s="118">
        <v>11.5</v>
      </c>
      <c r="AV11" s="136">
        <v>18.7</v>
      </c>
      <c r="AW11" s="142">
        <v>89476</v>
      </c>
      <c r="AX11" s="134">
        <f t="shared" si="17"/>
        <v>8.7742127812301118E-2</v>
      </c>
      <c r="AY11" s="147">
        <v>2819</v>
      </c>
      <c r="AZ11" s="147">
        <v>2032</v>
      </c>
      <c r="BA11" s="151">
        <f t="shared" si="18"/>
        <v>4851</v>
      </c>
      <c r="BB11" s="224">
        <f>[4]Данные!$E$60</f>
        <v>202525</v>
      </c>
      <c r="BC11" s="231">
        <f t="shared" si="19"/>
        <v>2.3952598444636465E-2</v>
      </c>
      <c r="BD11" s="233">
        <v>5027</v>
      </c>
      <c r="BE11" s="227">
        <f t="shared" si="20"/>
        <v>2.2160213006065736E-2</v>
      </c>
      <c r="BF11" s="154">
        <v>7623</v>
      </c>
      <c r="BG11" s="154">
        <v>5277</v>
      </c>
      <c r="BH11" s="160">
        <f t="shared" si="12"/>
        <v>1.4445707788516202</v>
      </c>
      <c r="BI11" s="163">
        <v>1378</v>
      </c>
      <c r="BJ11" s="164">
        <f t="shared" si="21"/>
        <v>0.13455717215115712</v>
      </c>
      <c r="BK11" s="166">
        <v>133646</v>
      </c>
      <c r="BL11" s="166">
        <v>10440</v>
      </c>
      <c r="BM11" s="221">
        <f t="shared" si="22"/>
        <v>7.8116816066324465E-2</v>
      </c>
      <c r="BO11" s="38">
        <v>287</v>
      </c>
      <c r="BP11" s="38">
        <v>72</v>
      </c>
      <c r="BQ11" s="38">
        <v>83</v>
      </c>
      <c r="BR11" s="38">
        <v>16</v>
      </c>
      <c r="BS11" s="38">
        <v>103</v>
      </c>
      <c r="BT11" s="38">
        <v>51</v>
      </c>
      <c r="BU11" s="38">
        <v>2</v>
      </c>
      <c r="BV11" s="38">
        <v>137</v>
      </c>
      <c r="BW11" s="38">
        <v>15</v>
      </c>
      <c r="BX11" s="38">
        <v>4</v>
      </c>
      <c r="BY11" s="38">
        <v>123</v>
      </c>
      <c r="BZ11" s="38">
        <v>213</v>
      </c>
      <c r="CA11" s="38">
        <v>133</v>
      </c>
      <c r="CB11" s="38">
        <v>2335</v>
      </c>
      <c r="CC11" s="38">
        <v>20</v>
      </c>
      <c r="CD11" s="38">
        <v>15</v>
      </c>
      <c r="CE11" s="38"/>
      <c r="CF11" s="38">
        <v>4</v>
      </c>
      <c r="CG11" s="38">
        <f t="shared" si="13"/>
        <v>215</v>
      </c>
      <c r="CH11" s="39">
        <v>3</v>
      </c>
      <c r="CI11" s="39">
        <v>29</v>
      </c>
      <c r="CJ11" s="39">
        <v>6</v>
      </c>
      <c r="CK11" s="39">
        <v>1</v>
      </c>
      <c r="CQ11" s="27"/>
      <c r="CR11" s="27"/>
      <c r="CS11" s="27"/>
      <c r="DC11">
        <v>261</v>
      </c>
      <c r="DE11" s="24">
        <v>0.29399999999999998</v>
      </c>
      <c r="DF11" s="24">
        <v>5.0999999999999997E-2</v>
      </c>
      <c r="DG11" s="24">
        <f t="shared" si="23"/>
        <v>0.34499999999999997</v>
      </c>
      <c r="DK11" s="28">
        <v>46818</v>
      </c>
    </row>
    <row r="12" spans="1:115" ht="12" customHeight="1" x14ac:dyDescent="0.45">
      <c r="A12" s="92" t="s">
        <v>30</v>
      </c>
      <c r="B12" s="70">
        <f>'[1]Демо+РИК_Разделы 1,3'!DG11</f>
        <v>1.8017491910163308</v>
      </c>
      <c r="C12" s="71">
        <f t="shared" si="0"/>
        <v>0.05</v>
      </c>
      <c r="D12" s="108">
        <f t="shared" si="1"/>
        <v>74.411406373587127</v>
      </c>
      <c r="E12" s="167">
        <f t="shared" si="1"/>
        <v>677759.9</v>
      </c>
      <c r="F12" s="108">
        <f t="shared" si="1"/>
        <v>11.5</v>
      </c>
      <c r="G12" s="108">
        <f t="shared" si="1"/>
        <v>11.3</v>
      </c>
      <c r="H12" s="164">
        <f t="shared" si="2"/>
        <v>9.3709885796691705E-2</v>
      </c>
      <c r="I12" s="168">
        <f t="shared" si="3"/>
        <v>1.9134799540656364E-2</v>
      </c>
      <c r="J12" s="169">
        <f t="shared" si="4"/>
        <v>1.554209723869219</v>
      </c>
      <c r="K12" s="170">
        <f t="shared" si="5"/>
        <v>5.1964703220454031E-2</v>
      </c>
      <c r="L12" s="164">
        <f t="shared" si="6"/>
        <v>0.10995110524955787</v>
      </c>
      <c r="M12" s="107">
        <f t="shared" si="7"/>
        <v>7.623707651603491E-2</v>
      </c>
      <c r="N12" s="108">
        <f t="shared" si="8"/>
        <v>25.853628198913071</v>
      </c>
      <c r="O12" s="35"/>
      <c r="P12" s="41">
        <f t="shared" si="9"/>
        <v>4.17607223476298E-2</v>
      </c>
      <c r="Q12" s="41">
        <v>4.5738045738045741E-2</v>
      </c>
      <c r="R12" s="41">
        <f t="shared" si="10"/>
        <v>0.17721518987341772</v>
      </c>
      <c r="S12" s="41">
        <v>0.8311296682904199</v>
      </c>
      <c r="T12" s="41" t="e">
        <f>#REF!/BQ12</f>
        <v>#REF!</v>
      </c>
      <c r="U12" s="41">
        <f t="shared" si="11"/>
        <v>6.2790697674418611E-2</v>
      </c>
      <c r="V12" s="43" t="e">
        <f>SUM(CK12:CK12)/#REF!</f>
        <v>#REF!</v>
      </c>
      <c r="W12" s="27"/>
      <c r="X12" s="20">
        <v>14915181379.870001</v>
      </c>
      <c r="Y12" s="27">
        <v>377</v>
      </c>
      <c r="Z12" s="94" t="e">
        <f>CJ12/#REF!*1000</f>
        <v>#REF!</v>
      </c>
      <c r="AA12" s="27"/>
      <c r="AB12" s="95">
        <v>5.64</v>
      </c>
      <c r="AD12" s="22"/>
      <c r="AE12" s="53" t="s">
        <v>30</v>
      </c>
      <c r="AF12" s="40">
        <v>59</v>
      </c>
      <c r="AG12" s="119">
        <f>[2]КДН_Свод!M11</f>
        <v>2508352</v>
      </c>
      <c r="AH12" s="120">
        <f>'[1]Демо+РИК_Разделы 1,3'!P11</f>
        <v>577147</v>
      </c>
      <c r="AI12" s="120">
        <f>'[1]Демо+РИК_Разделы 1,3'!X11</f>
        <v>212109</v>
      </c>
      <c r="AJ12" s="120">
        <f>'[1]Демо+РИК_Разделы 1,3'!AE11</f>
        <v>149322</v>
      </c>
      <c r="AK12" s="120">
        <f>'[1]Демо+РИК_Разделы 1,3'!AK11</f>
        <v>26518</v>
      </c>
      <c r="AL12" s="182">
        <f>'[1]Демо+РИК_Разделы 1,3'!BR11</f>
        <v>1078</v>
      </c>
      <c r="AM12" s="121">
        <v>0.05</v>
      </c>
      <c r="AN12" s="122">
        <f>[2]КДН_Свод!H11</f>
        <v>6485</v>
      </c>
      <c r="AO12" s="123">
        <f t="shared" si="14"/>
        <v>25.853628198913071</v>
      </c>
      <c r="AP12" s="123">
        <f>[3]Лист2!B10</f>
        <v>44</v>
      </c>
      <c r="AQ12" s="124">
        <f t="shared" si="15"/>
        <v>7.623707651603491E-2</v>
      </c>
      <c r="AR12" s="126">
        <v>18665</v>
      </c>
      <c r="AS12" s="124">
        <f t="shared" si="16"/>
        <v>74.411406373587127</v>
      </c>
      <c r="AT12" s="123">
        <f>[2]КДН_Свод!AC11</f>
        <v>677759.9</v>
      </c>
      <c r="AU12" s="118">
        <v>11.5</v>
      </c>
      <c r="AV12" s="136">
        <v>11.3</v>
      </c>
      <c r="AW12" s="142">
        <v>180973</v>
      </c>
      <c r="AX12" s="134">
        <f t="shared" si="17"/>
        <v>9.3709885796691705E-2</v>
      </c>
      <c r="AY12" s="147">
        <v>7554</v>
      </c>
      <c r="AZ12" s="147">
        <v>2327</v>
      </c>
      <c r="BA12" s="151">
        <f t="shared" si="18"/>
        <v>9881</v>
      </c>
      <c r="BB12" s="224">
        <f>[4]Данные!$E$15</f>
        <v>516389</v>
      </c>
      <c r="BC12" s="231">
        <f t="shared" si="19"/>
        <v>1.9134799540656364E-2</v>
      </c>
      <c r="BD12" s="233">
        <v>9940</v>
      </c>
      <c r="BE12" s="227">
        <f t="shared" si="20"/>
        <v>1.7222648649304249E-2</v>
      </c>
      <c r="BF12" s="154">
        <v>18349</v>
      </c>
      <c r="BG12" s="154">
        <v>11806</v>
      </c>
      <c r="BH12" s="160">
        <f t="shared" si="12"/>
        <v>1.554209723869219</v>
      </c>
      <c r="BI12" s="163">
        <v>1378</v>
      </c>
      <c r="BJ12" s="164">
        <f t="shared" si="21"/>
        <v>5.1964703220454031E-2</v>
      </c>
      <c r="BK12" s="166">
        <v>297987</v>
      </c>
      <c r="BL12" s="166">
        <v>32764</v>
      </c>
      <c r="BM12" s="221">
        <f t="shared" si="22"/>
        <v>0.10995110524955787</v>
      </c>
      <c r="BO12" s="38">
        <v>1220</v>
      </c>
      <c r="BP12" s="38">
        <v>334</v>
      </c>
      <c r="BQ12" s="38">
        <v>430</v>
      </c>
      <c r="BR12" s="38">
        <v>5</v>
      </c>
      <c r="BS12" s="38">
        <v>422</v>
      </c>
      <c r="BT12" s="38">
        <v>252</v>
      </c>
      <c r="BU12" s="38">
        <v>0</v>
      </c>
      <c r="BV12" s="38">
        <v>691</v>
      </c>
      <c r="BW12" s="38">
        <v>27</v>
      </c>
      <c r="BX12" s="38">
        <v>37</v>
      </c>
      <c r="BY12" s="38">
        <v>482</v>
      </c>
      <c r="BZ12" s="38">
        <v>579</v>
      </c>
      <c r="CA12" s="38">
        <v>486</v>
      </c>
      <c r="CB12" s="38">
        <v>9234</v>
      </c>
      <c r="CC12" s="38">
        <v>31</v>
      </c>
      <c r="CD12" s="38">
        <v>26</v>
      </c>
      <c r="CE12" s="38">
        <v>5</v>
      </c>
      <c r="CF12" s="38">
        <v>37</v>
      </c>
      <c r="CG12" s="38">
        <f t="shared" si="13"/>
        <v>886</v>
      </c>
      <c r="CH12" s="39">
        <v>28</v>
      </c>
      <c r="CI12" s="39">
        <v>158</v>
      </c>
      <c r="CJ12" s="39">
        <v>10</v>
      </c>
      <c r="CK12" s="39">
        <v>18</v>
      </c>
      <c r="CQ12" s="27"/>
      <c r="CR12" s="27"/>
      <c r="CS12" s="27"/>
      <c r="DC12">
        <v>1067</v>
      </c>
      <c r="DE12" s="15">
        <v>0.32</v>
      </c>
      <c r="DF12" s="24">
        <v>5.7000000000000002E-2</v>
      </c>
      <c r="DG12" s="24">
        <f t="shared" si="23"/>
        <v>0.377</v>
      </c>
      <c r="DK12" s="28">
        <v>114019</v>
      </c>
    </row>
    <row r="13" spans="1:115" ht="12" customHeight="1" x14ac:dyDescent="0.45">
      <c r="A13" s="92" t="s">
        <v>22</v>
      </c>
      <c r="B13" s="70">
        <f>'[1]Демо+РИК_Разделы 1,3'!DG12</f>
        <v>1.8569682801126401</v>
      </c>
      <c r="C13" s="71">
        <f t="shared" si="0"/>
        <v>0.28999999999999998</v>
      </c>
      <c r="D13" s="108">
        <f t="shared" si="1"/>
        <v>91.836824396343886</v>
      </c>
      <c r="E13" s="167">
        <f t="shared" si="1"/>
        <v>699777.8</v>
      </c>
      <c r="F13" s="108">
        <f t="shared" si="1"/>
        <v>11.5</v>
      </c>
      <c r="G13" s="108">
        <f t="shared" si="1"/>
        <v>8</v>
      </c>
      <c r="H13" s="164">
        <f t="shared" si="2"/>
        <v>7.1636576629096144E-2</v>
      </c>
      <c r="I13" s="168">
        <f t="shared" si="3"/>
        <v>1.9739038172671135E-2</v>
      </c>
      <c r="J13" s="169">
        <f t="shared" si="4"/>
        <v>1.7345080763582965</v>
      </c>
      <c r="K13" s="170">
        <f t="shared" si="5"/>
        <v>0.23147638445447538</v>
      </c>
      <c r="L13" s="164">
        <f t="shared" si="6"/>
        <v>8.2357065999298776E-2</v>
      </c>
      <c r="M13" s="107">
        <f t="shared" si="7"/>
        <v>0.17727162848164166</v>
      </c>
      <c r="N13" s="108">
        <f t="shared" si="8"/>
        <v>13.51042483940231</v>
      </c>
      <c r="O13" s="35"/>
      <c r="P13" s="41">
        <f t="shared" si="9"/>
        <v>6.8607068607068611E-2</v>
      </c>
      <c r="Q13" s="41">
        <v>2.6948989412897015E-2</v>
      </c>
      <c r="R13" s="41">
        <f t="shared" si="10"/>
        <v>0.09</v>
      </c>
      <c r="S13" s="41">
        <v>0.80156898938624832</v>
      </c>
      <c r="T13" s="41" t="e">
        <f>#REF!/BQ13</f>
        <v>#REF!</v>
      </c>
      <c r="U13" s="41">
        <f t="shared" si="11"/>
        <v>4.4999999999999998E-2</v>
      </c>
      <c r="V13" s="43" t="e">
        <f>SUM(CK13:CK13)/#REF!</f>
        <v>#REF!</v>
      </c>
      <c r="W13" s="27"/>
      <c r="X13" s="20">
        <v>14440306872.530001</v>
      </c>
      <c r="Y13" s="27">
        <v>479</v>
      </c>
      <c r="Z13" s="94" t="e">
        <f>CJ13/#REF!*1000</f>
        <v>#REF!</v>
      </c>
      <c r="AA13" s="27"/>
      <c r="AB13" s="95">
        <v>5.48</v>
      </c>
      <c r="AD13" s="22"/>
      <c r="AE13" s="53" t="s">
        <v>22</v>
      </c>
      <c r="AF13" s="40">
        <v>25</v>
      </c>
      <c r="AG13" s="119">
        <f>[2]КДН_Свод!M12</f>
        <v>1820076</v>
      </c>
      <c r="AH13" s="120">
        <f>'[1]Демо+РИК_Разделы 1,3'!P12</f>
        <v>372310</v>
      </c>
      <c r="AI13" s="120">
        <f>'[1]Демо+РИК_Разделы 1,3'!X12</f>
        <v>141205</v>
      </c>
      <c r="AJ13" s="120">
        <f>'[1]Демо+РИК_Разделы 1,3'!AE12</f>
        <v>100013</v>
      </c>
      <c r="AK13" s="120">
        <f>'[1]Демо+РИК_Разделы 1,3'!AK12</f>
        <v>18166</v>
      </c>
      <c r="AL13" s="182">
        <f>'[1]Демо+РИК_Разделы 1,3'!BR12</f>
        <v>704</v>
      </c>
      <c r="AM13" s="121">
        <v>0.28999999999999998</v>
      </c>
      <c r="AN13" s="122">
        <f>[2]КДН_Свод!H12</f>
        <v>2459</v>
      </c>
      <c r="AO13" s="123">
        <f t="shared" si="14"/>
        <v>13.51042483940231</v>
      </c>
      <c r="AP13" s="123">
        <f>[3]Лист2!B11</f>
        <v>66</v>
      </c>
      <c r="AQ13" s="124">
        <f t="shared" si="15"/>
        <v>0.17727162848164166</v>
      </c>
      <c r="AR13" s="126">
        <v>16715</v>
      </c>
      <c r="AS13" s="124">
        <f t="shared" si="16"/>
        <v>91.836824396343886</v>
      </c>
      <c r="AT13" s="123">
        <f>[2]КДН_Свод!AC12</f>
        <v>699777.8</v>
      </c>
      <c r="AU13" s="118">
        <v>11.5</v>
      </c>
      <c r="AV13" s="136">
        <v>8</v>
      </c>
      <c r="AW13" s="142">
        <v>103713</v>
      </c>
      <c r="AX13" s="134">
        <f t="shared" si="17"/>
        <v>7.1636576629096144E-2</v>
      </c>
      <c r="AY13" s="147">
        <v>1215</v>
      </c>
      <c r="AZ13" s="147">
        <v>5408</v>
      </c>
      <c r="BA13" s="151">
        <f t="shared" si="18"/>
        <v>6623</v>
      </c>
      <c r="BB13" s="224">
        <f>[4]Данные!$E$20</f>
        <v>335528</v>
      </c>
      <c r="BC13" s="231">
        <f t="shared" si="19"/>
        <v>1.9739038172671135E-2</v>
      </c>
      <c r="BD13" s="233">
        <v>6643</v>
      </c>
      <c r="BE13" s="227">
        <f t="shared" si="20"/>
        <v>1.7842658000053718E-2</v>
      </c>
      <c r="BF13" s="154">
        <v>17718</v>
      </c>
      <c r="BG13" s="154">
        <v>10215</v>
      </c>
      <c r="BH13" s="160">
        <f t="shared" si="12"/>
        <v>1.7345080763582965</v>
      </c>
      <c r="BI13" s="163">
        <v>4205</v>
      </c>
      <c r="BJ13" s="164">
        <f t="shared" si="21"/>
        <v>0.23147638445447538</v>
      </c>
      <c r="BK13" s="166">
        <v>165426</v>
      </c>
      <c r="BL13" s="166">
        <v>13624</v>
      </c>
      <c r="BM13" s="221">
        <f t="shared" si="22"/>
        <v>8.2357065999298776E-2</v>
      </c>
      <c r="BO13" s="38">
        <v>687</v>
      </c>
      <c r="BP13" s="38">
        <v>206</v>
      </c>
      <c r="BQ13" s="38">
        <v>200</v>
      </c>
      <c r="BR13" s="38">
        <v>17</v>
      </c>
      <c r="BS13" s="38">
        <v>217</v>
      </c>
      <c r="BT13" s="38">
        <v>64</v>
      </c>
      <c r="BU13" s="38">
        <v>1</v>
      </c>
      <c r="BV13" s="38">
        <v>398</v>
      </c>
      <c r="BW13" s="38">
        <v>9</v>
      </c>
      <c r="BX13" s="38">
        <v>33</v>
      </c>
      <c r="BY13" s="38">
        <v>1250</v>
      </c>
      <c r="BZ13" s="38">
        <v>221</v>
      </c>
      <c r="CA13" s="38">
        <v>1026</v>
      </c>
      <c r="CB13" s="38">
        <v>5236</v>
      </c>
      <c r="CC13" s="38">
        <v>37</v>
      </c>
      <c r="CD13" s="38">
        <v>33</v>
      </c>
      <c r="CE13" s="38">
        <v>4</v>
      </c>
      <c r="CF13" s="38">
        <v>33</v>
      </c>
      <c r="CG13" s="38">
        <f t="shared" si="13"/>
        <v>481</v>
      </c>
      <c r="CH13" s="39">
        <v>9</v>
      </c>
      <c r="CI13" s="39">
        <v>100</v>
      </c>
      <c r="CJ13" s="39">
        <v>0</v>
      </c>
      <c r="CK13" s="39">
        <v>6</v>
      </c>
      <c r="CQ13" s="27"/>
      <c r="CR13" s="27"/>
      <c r="CS13" s="27"/>
      <c r="DC13">
        <v>475</v>
      </c>
      <c r="DE13" s="24">
        <v>0.33800000000000002</v>
      </c>
      <c r="DF13" s="24">
        <v>6.6000000000000003E-2</v>
      </c>
      <c r="DG13" s="24">
        <f t="shared" si="23"/>
        <v>0.40400000000000003</v>
      </c>
      <c r="DK13" s="28">
        <v>67548</v>
      </c>
    </row>
    <row r="14" spans="1:115" ht="12" customHeight="1" x14ac:dyDescent="0.45">
      <c r="A14" s="92" t="s">
        <v>34</v>
      </c>
      <c r="B14" s="70">
        <f>'[1]Демо+РИК_Разделы 1,3'!DG13</f>
        <v>1.2477273537485296</v>
      </c>
      <c r="C14" s="71">
        <f t="shared" si="0"/>
        <v>0.56999999999999995</v>
      </c>
      <c r="D14" s="108">
        <f t="shared" si="1"/>
        <v>102.19318626379579</v>
      </c>
      <c r="E14" s="167">
        <f t="shared" si="1"/>
        <v>487276.4</v>
      </c>
      <c r="F14" s="108">
        <f t="shared" si="1"/>
        <v>11.8</v>
      </c>
      <c r="G14" s="108">
        <f t="shared" si="1"/>
        <v>15.5</v>
      </c>
      <c r="H14" s="164">
        <f t="shared" si="2"/>
        <v>0.12981352364407509</v>
      </c>
      <c r="I14" s="168">
        <f t="shared" si="3"/>
        <v>2.4213101093997796E-2</v>
      </c>
      <c r="J14" s="169">
        <f t="shared" si="4"/>
        <v>1.612317235268055</v>
      </c>
      <c r="K14" s="170">
        <f t="shared" si="5"/>
        <v>0.17379475459788879</v>
      </c>
      <c r="L14" s="164">
        <f t="shared" si="6"/>
        <v>9.4776869705446118E-2</v>
      </c>
      <c r="M14" s="107">
        <f t="shared" si="7"/>
        <v>1.7645757558609123</v>
      </c>
      <c r="N14" s="108">
        <f t="shared" si="8"/>
        <v>3.5815369017685446</v>
      </c>
      <c r="O14" s="35"/>
      <c r="P14" s="41">
        <f t="shared" si="9"/>
        <v>3.0303030303030304E-2</v>
      </c>
      <c r="Q14" s="41">
        <v>3.3149171270718231E-2</v>
      </c>
      <c r="R14" s="41">
        <f t="shared" si="10"/>
        <v>0.11688311688311688</v>
      </c>
      <c r="S14" s="42">
        <v>1</v>
      </c>
      <c r="T14" s="41" t="e">
        <f>#REF!/BQ14</f>
        <v>#REF!</v>
      </c>
      <c r="U14" s="41">
        <f t="shared" si="11"/>
        <v>0.12149532710280374</v>
      </c>
      <c r="V14" s="43" t="e">
        <f>SUM(CK14:CK14)/#REF!</f>
        <v>#REF!</v>
      </c>
      <c r="W14" s="27"/>
      <c r="X14" s="20">
        <v>4028064293.6199999</v>
      </c>
      <c r="Y14" s="96" t="s">
        <v>36</v>
      </c>
      <c r="Z14" s="94" t="e">
        <f>CJ14/#REF!*1000</f>
        <v>#REF!</v>
      </c>
      <c r="AA14" s="27"/>
      <c r="AB14" s="95">
        <v>5.59</v>
      </c>
      <c r="AD14" s="22"/>
      <c r="AE14" s="53" t="s">
        <v>34</v>
      </c>
      <c r="AF14" s="38">
        <v>62</v>
      </c>
      <c r="AG14" s="119">
        <f>[2]КДН_Свод!M13</f>
        <v>1088918</v>
      </c>
      <c r="AH14" s="120">
        <f>'[1]Демо+РИК_Разделы 1,3'!P13</f>
        <v>194381</v>
      </c>
      <c r="AI14" s="120">
        <f>'[1]Демо+РИК_Разделы 1,3'!X13</f>
        <v>71885</v>
      </c>
      <c r="AJ14" s="120">
        <f>'[1]Демо+РИК_Разделы 1,3'!AE13</f>
        <v>51585</v>
      </c>
      <c r="AK14" s="120">
        <f>'[1]Демо+РИК_Разделы 1,3'!AK13</f>
        <v>9189</v>
      </c>
      <c r="AL14" s="182">
        <f>'[1]Демо+РИК_Разделы 1,3'!BR13</f>
        <v>190</v>
      </c>
      <c r="AM14" s="121">
        <v>0.56999999999999995</v>
      </c>
      <c r="AN14" s="122">
        <f>[2]КДН_Свод!H13</f>
        <v>390</v>
      </c>
      <c r="AO14" s="123">
        <f t="shared" si="14"/>
        <v>3.5815369017685446</v>
      </c>
      <c r="AP14" s="123">
        <f>[3]Лист2!B12</f>
        <v>343</v>
      </c>
      <c r="AQ14" s="124">
        <f t="shared" si="15"/>
        <v>1.7645757558609123</v>
      </c>
      <c r="AR14" s="126">
        <v>11128</v>
      </c>
      <c r="AS14" s="124">
        <f t="shared" si="16"/>
        <v>102.19318626379579</v>
      </c>
      <c r="AT14" s="123">
        <f>[2]КДН_Свод!AC13</f>
        <v>487276.4</v>
      </c>
      <c r="AU14" s="118">
        <v>11.8</v>
      </c>
      <c r="AV14" s="136">
        <v>15.5</v>
      </c>
      <c r="AW14" s="142">
        <v>116123</v>
      </c>
      <c r="AX14" s="134">
        <f t="shared" si="17"/>
        <v>0.12981352364407509</v>
      </c>
      <c r="AY14" s="147">
        <v>492</v>
      </c>
      <c r="AZ14" s="147">
        <v>4012</v>
      </c>
      <c r="BA14" s="151">
        <f t="shared" si="18"/>
        <v>4504</v>
      </c>
      <c r="BB14" s="224">
        <f>[4]Данные!$E$65</f>
        <v>186015</v>
      </c>
      <c r="BC14" s="231">
        <f t="shared" si="19"/>
        <v>2.4213101093997796E-2</v>
      </c>
      <c r="BD14" s="233">
        <v>4232</v>
      </c>
      <c r="BE14" s="227">
        <f t="shared" si="20"/>
        <v>2.1771675215170205E-2</v>
      </c>
      <c r="BF14" s="154">
        <v>7278</v>
      </c>
      <c r="BG14" s="154">
        <v>4514</v>
      </c>
      <c r="BH14" s="160">
        <f t="shared" si="12"/>
        <v>1.612317235268055</v>
      </c>
      <c r="BI14" s="163">
        <v>1597</v>
      </c>
      <c r="BJ14" s="164">
        <f t="shared" si="21"/>
        <v>0.17379475459788879</v>
      </c>
      <c r="BK14" s="166">
        <v>100457</v>
      </c>
      <c r="BL14" s="166">
        <v>9521</v>
      </c>
      <c r="BM14" s="221">
        <f t="shared" si="22"/>
        <v>9.4776869705446118E-2</v>
      </c>
      <c r="BO14" s="38">
        <v>303</v>
      </c>
      <c r="BP14" s="38">
        <v>105</v>
      </c>
      <c r="BQ14" s="38">
        <v>107</v>
      </c>
      <c r="BR14" s="38">
        <v>9</v>
      </c>
      <c r="BS14" s="38">
        <v>120</v>
      </c>
      <c r="BT14" s="38">
        <v>49</v>
      </c>
      <c r="BU14" s="38">
        <v>0</v>
      </c>
      <c r="BV14" s="38">
        <v>171</v>
      </c>
      <c r="BW14" s="38">
        <v>13</v>
      </c>
      <c r="BX14" s="38">
        <v>6</v>
      </c>
      <c r="BY14" s="38">
        <v>279</v>
      </c>
      <c r="BZ14" s="38">
        <v>133</v>
      </c>
      <c r="CA14" s="38">
        <v>240</v>
      </c>
      <c r="CB14" s="38">
        <v>2011</v>
      </c>
      <c r="CC14" s="38">
        <v>16</v>
      </c>
      <c r="CD14" s="38">
        <v>13</v>
      </c>
      <c r="CE14" s="38">
        <v>3</v>
      </c>
      <c r="CF14" s="38">
        <v>6</v>
      </c>
      <c r="CG14" s="38">
        <f t="shared" si="13"/>
        <v>198</v>
      </c>
      <c r="CH14" s="39">
        <v>9</v>
      </c>
      <c r="CI14" s="39">
        <v>77</v>
      </c>
      <c r="CJ14" s="39">
        <v>0</v>
      </c>
      <c r="CK14" s="39">
        <v>4</v>
      </c>
      <c r="CQ14" s="27"/>
      <c r="CR14" s="27"/>
      <c r="CS14" s="27"/>
      <c r="DC14">
        <v>180</v>
      </c>
      <c r="DE14" s="24">
        <v>0.36199999999999999</v>
      </c>
      <c r="DF14" s="24">
        <v>8.5999999999999993E-2</v>
      </c>
      <c r="DG14" s="24">
        <f t="shared" si="23"/>
        <v>0.44799999999999995</v>
      </c>
      <c r="DK14" s="28">
        <v>46111</v>
      </c>
    </row>
    <row r="15" spans="1:115" ht="14.25" customHeight="1" x14ac:dyDescent="0.45">
      <c r="A15" s="92" t="s">
        <v>23</v>
      </c>
      <c r="B15" s="70">
        <f>'[1]Демо+РИК_Разделы 1,3'!DG14</f>
        <v>0.72276751773678305</v>
      </c>
      <c r="C15" s="71">
        <f t="shared" si="0"/>
        <v>0.3</v>
      </c>
      <c r="D15" s="108">
        <f t="shared" si="1"/>
        <v>68.238007418362727</v>
      </c>
      <c r="E15" s="167">
        <f t="shared" si="1"/>
        <v>367687.1</v>
      </c>
      <c r="F15" s="108">
        <f t="shared" si="1"/>
        <v>11.7</v>
      </c>
      <c r="G15" s="108">
        <f t="shared" si="1"/>
        <v>18.3</v>
      </c>
      <c r="H15" s="164">
        <f t="shared" si="2"/>
        <v>8.5413513374149014E-2</v>
      </c>
      <c r="I15" s="168">
        <f t="shared" si="3"/>
        <v>2.89402656013906E-2</v>
      </c>
      <c r="J15" s="169">
        <f t="shared" si="4"/>
        <v>1.3044476100031657</v>
      </c>
      <c r="K15" s="170">
        <f t="shared" si="5"/>
        <v>0.221661115289567</v>
      </c>
      <c r="L15" s="164">
        <f t="shared" si="6"/>
        <v>0.13481622219583383</v>
      </c>
      <c r="M15" s="107">
        <f t="shared" si="7"/>
        <v>1.0661072174773023</v>
      </c>
      <c r="N15" s="108">
        <f t="shared" si="8"/>
        <v>3.5763647255607007</v>
      </c>
      <c r="O15" s="35"/>
      <c r="P15" s="41">
        <f t="shared" si="9"/>
        <v>4.3701799485861184E-2</v>
      </c>
      <c r="Q15" s="41">
        <v>6.5517241379310351E-2</v>
      </c>
      <c r="R15" s="41">
        <f t="shared" si="10"/>
        <v>5.6179775280898875E-2</v>
      </c>
      <c r="S15" s="41">
        <v>0.99319827397059901</v>
      </c>
      <c r="T15" s="41" t="e">
        <f>#REF!/BQ15</f>
        <v>#REF!</v>
      </c>
      <c r="U15" s="41">
        <f t="shared" si="11"/>
        <v>6.8783068783068779E-2</v>
      </c>
      <c r="V15" s="43" t="e">
        <f>SUM(CK15:CK15)/#REF!</f>
        <v>#REF!</v>
      </c>
      <c r="W15" s="27"/>
      <c r="X15" s="20">
        <v>18311871398.419998</v>
      </c>
      <c r="Y15" s="27">
        <v>1181</v>
      </c>
      <c r="Z15" s="94" t="e">
        <f>CJ15/#REF!*1000</f>
        <v>#REF!</v>
      </c>
      <c r="AA15" s="27"/>
      <c r="AB15" s="95">
        <v>5.53</v>
      </c>
      <c r="AD15" s="22"/>
      <c r="AE15" s="53" t="s">
        <v>23</v>
      </c>
      <c r="AF15" s="40">
        <v>26</v>
      </c>
      <c r="AG15" s="119">
        <f>[2]КДН_Свод!M14</f>
        <v>2891204</v>
      </c>
      <c r="AH15" s="120">
        <f>'[1]Демо+РИК_Разделы 1,3'!P14</f>
        <v>583431</v>
      </c>
      <c r="AI15" s="120">
        <f>'[1]Демо+РИК_Разделы 1,3'!X14</f>
        <v>217564</v>
      </c>
      <c r="AJ15" s="120">
        <f>'[1]Демо+РИК_Разделы 1,3'!AE14</f>
        <v>154291</v>
      </c>
      <c r="AK15" s="120">
        <f>'[1]Демо+РИК_Разделы 1,3'!AK14</f>
        <v>27921</v>
      </c>
      <c r="AL15" s="182">
        <f>'[1]Демо+РИК_Разделы 1,3'!BR14</f>
        <v>399</v>
      </c>
      <c r="AM15" s="121">
        <v>0.3</v>
      </c>
      <c r="AN15" s="122">
        <f>[2]КДН_Свод!H14</f>
        <v>1034</v>
      </c>
      <c r="AO15" s="123">
        <f t="shared" si="14"/>
        <v>3.5763647255607007</v>
      </c>
      <c r="AP15" s="123">
        <f>[3]Лист2!B13</f>
        <v>622</v>
      </c>
      <c r="AQ15" s="124">
        <f t="shared" si="15"/>
        <v>1.0661072174773023</v>
      </c>
      <c r="AR15" s="129">
        <v>19729</v>
      </c>
      <c r="AS15" s="124">
        <f t="shared" si="16"/>
        <v>68.238007418362727</v>
      </c>
      <c r="AT15" s="123">
        <f>[2]КДН_Свод!AC14</f>
        <v>367687.1</v>
      </c>
      <c r="AU15" s="128">
        <v>11.7</v>
      </c>
      <c r="AV15" s="136">
        <v>18.3</v>
      </c>
      <c r="AW15" s="144">
        <v>197115</v>
      </c>
      <c r="AX15" s="134">
        <f t="shared" si="17"/>
        <v>8.5413513374149014E-2</v>
      </c>
      <c r="AY15" s="147">
        <v>1452</v>
      </c>
      <c r="AZ15" s="147">
        <v>13066</v>
      </c>
      <c r="BA15" s="151">
        <f t="shared" si="18"/>
        <v>14518</v>
      </c>
      <c r="BB15" s="224">
        <f>[4]Данные!$E$25</f>
        <v>501654</v>
      </c>
      <c r="BC15" s="231">
        <f t="shared" si="19"/>
        <v>2.89402656013906E-2</v>
      </c>
      <c r="BD15" s="233">
        <v>13609</v>
      </c>
      <c r="BE15" s="227">
        <f t="shared" si="20"/>
        <v>2.3325808878856283E-2</v>
      </c>
      <c r="BF15" s="154">
        <v>16483</v>
      </c>
      <c r="BG15" s="154">
        <v>12636</v>
      </c>
      <c r="BH15" s="160">
        <f t="shared" si="12"/>
        <v>1.3044476100031657</v>
      </c>
      <c r="BI15" s="163">
        <v>6189</v>
      </c>
      <c r="BJ15" s="164">
        <f t="shared" si="21"/>
        <v>0.221661115289567</v>
      </c>
      <c r="BK15" s="166">
        <v>320006</v>
      </c>
      <c r="BL15" s="166">
        <v>43142</v>
      </c>
      <c r="BM15" s="221">
        <f t="shared" si="22"/>
        <v>0.13481622219583383</v>
      </c>
      <c r="BO15" s="38">
        <v>549</v>
      </c>
      <c r="BP15" s="38">
        <v>160</v>
      </c>
      <c r="BQ15" s="38">
        <v>189</v>
      </c>
      <c r="BR15" s="38">
        <v>4</v>
      </c>
      <c r="BS15" s="38">
        <v>153</v>
      </c>
      <c r="BT15" s="38">
        <v>46</v>
      </c>
      <c r="BU15" s="38">
        <v>0</v>
      </c>
      <c r="BV15" s="38">
        <v>338</v>
      </c>
      <c r="BW15" s="38">
        <v>13</v>
      </c>
      <c r="BX15" s="38">
        <v>17</v>
      </c>
      <c r="BY15" s="38">
        <v>670</v>
      </c>
      <c r="BZ15" s="38">
        <v>35</v>
      </c>
      <c r="CA15" s="38">
        <v>559</v>
      </c>
      <c r="CB15" s="38">
        <v>3698</v>
      </c>
      <c r="CC15" s="38">
        <v>28</v>
      </c>
      <c r="CD15" s="38">
        <v>27</v>
      </c>
      <c r="CE15" s="38">
        <v>1</v>
      </c>
      <c r="CF15" s="38">
        <v>17</v>
      </c>
      <c r="CG15" s="38">
        <f t="shared" si="13"/>
        <v>389</v>
      </c>
      <c r="CH15" s="39">
        <v>5</v>
      </c>
      <c r="CI15" s="39">
        <v>89</v>
      </c>
      <c r="CJ15" s="39">
        <v>58</v>
      </c>
      <c r="CK15" s="39">
        <v>21</v>
      </c>
      <c r="CQ15" s="27"/>
      <c r="CR15" s="27"/>
      <c r="CS15" s="27"/>
      <c r="DC15">
        <v>297</v>
      </c>
      <c r="DE15" s="24">
        <v>0.28100000000000003</v>
      </c>
      <c r="DF15" s="24">
        <v>4.2000000000000003E-2</v>
      </c>
      <c r="DG15" s="24">
        <f t="shared" si="23"/>
        <v>0.32300000000000001</v>
      </c>
      <c r="DK15" s="28">
        <v>105168</v>
      </c>
    </row>
    <row r="16" spans="1:115" ht="12.75" customHeight="1" x14ac:dyDescent="0.45">
      <c r="A16" s="92" t="s">
        <v>31</v>
      </c>
      <c r="B16" s="70">
        <f>'[1]Демо+РИК_Разделы 1,3'!DG15</f>
        <v>1.252964603749944</v>
      </c>
      <c r="C16" s="71">
        <f t="shared" si="0"/>
        <v>0.47</v>
      </c>
      <c r="D16" s="108">
        <f t="shared" si="1"/>
        <v>98.807199060933357</v>
      </c>
      <c r="E16" s="171">
        <f t="shared" si="1"/>
        <v>867817</v>
      </c>
      <c r="F16" s="108">
        <f t="shared" si="1"/>
        <v>9.5</v>
      </c>
      <c r="G16" s="108">
        <f t="shared" si="1"/>
        <v>6.7</v>
      </c>
      <c r="H16" s="164">
        <f t="shared" si="2"/>
        <v>0.10761208382941026</v>
      </c>
      <c r="I16" s="168">
        <f t="shared" si="3"/>
        <v>2.686725177390939E-2</v>
      </c>
      <c r="J16" s="169">
        <f t="shared" si="4"/>
        <v>1.6859016393442623</v>
      </c>
      <c r="K16" s="170">
        <f t="shared" si="5"/>
        <v>0.2043540584124709</v>
      </c>
      <c r="L16" s="164">
        <f t="shared" si="6"/>
        <v>8.1708258661358765E-2</v>
      </c>
      <c r="M16" s="107">
        <f t="shared" si="7"/>
        <v>2.897419719058214</v>
      </c>
      <c r="N16" s="108">
        <f t="shared" si="8"/>
        <v>33.284485487734827</v>
      </c>
      <c r="O16" s="35"/>
      <c r="P16" s="41">
        <f t="shared" si="9"/>
        <v>1.9157088122605363E-2</v>
      </c>
      <c r="Q16" s="41">
        <v>3.1620553359683792E-2</v>
      </c>
      <c r="R16" s="41">
        <f t="shared" si="10"/>
        <v>9.0909090909090912E-2</v>
      </c>
      <c r="S16" s="41">
        <v>0.38714816781731282</v>
      </c>
      <c r="T16" s="41" t="e">
        <f>#REF!/BQ16</f>
        <v>#REF!</v>
      </c>
      <c r="U16" s="41">
        <f t="shared" si="11"/>
        <v>4.72972972972973E-2</v>
      </c>
      <c r="V16" s="43" t="e">
        <f>SUM(CK16:CK16)/#REF!</f>
        <v>#REF!</v>
      </c>
      <c r="W16" s="27"/>
      <c r="X16" s="20">
        <v>5464985577.8900003</v>
      </c>
      <c r="Y16" s="27">
        <v>125</v>
      </c>
      <c r="Z16" s="94" t="e">
        <f>CJ16/#REF!*1000</f>
        <v>#REF!</v>
      </c>
      <c r="AA16" s="27"/>
      <c r="AB16" s="95">
        <v>5.62</v>
      </c>
      <c r="AD16" s="22"/>
      <c r="AE16" s="53" t="s">
        <v>31</v>
      </c>
      <c r="AF16" s="40">
        <v>71</v>
      </c>
      <c r="AG16" s="119">
        <f>[2]КДН_Свод!M15</f>
        <v>1481471</v>
      </c>
      <c r="AH16" s="120">
        <f>'[1]Демо+РИК_Разделы 1,3'!P15</f>
        <v>240904</v>
      </c>
      <c r="AI16" s="120">
        <f>'[1]Демо+РИК_Разделы 1,3'!X15</f>
        <v>87576</v>
      </c>
      <c r="AJ16" s="120">
        <f>'[1]Демо+РИК_Разделы 1,3'!AE15</f>
        <v>61988</v>
      </c>
      <c r="AK16" s="120">
        <f>'[1]Демо+РИК_Разделы 1,3'!AK15</f>
        <v>11162</v>
      </c>
      <c r="AL16" s="182">
        <f>'[1]Демо+РИК_Разделы 1,3'!BR15</f>
        <v>330</v>
      </c>
      <c r="AM16" s="121">
        <v>0.47</v>
      </c>
      <c r="AN16" s="122">
        <f>[2]КДН_Свод!H15</f>
        <v>4931</v>
      </c>
      <c r="AO16" s="123">
        <f t="shared" si="14"/>
        <v>33.284485487734827</v>
      </c>
      <c r="AP16" s="123">
        <f>[3]Лист2!B14</f>
        <v>698</v>
      </c>
      <c r="AQ16" s="124">
        <f t="shared" si="15"/>
        <v>2.897419719058214</v>
      </c>
      <c r="AR16" s="126">
        <v>14638</v>
      </c>
      <c r="AS16" s="124">
        <f t="shared" si="16"/>
        <v>98.807199060933357</v>
      </c>
      <c r="AT16" s="123">
        <f>[2]КДН_Свод!AC15</f>
        <v>867817</v>
      </c>
      <c r="AU16" s="118">
        <v>9.5</v>
      </c>
      <c r="AV16" s="136">
        <v>6.7</v>
      </c>
      <c r="AW16" s="142">
        <v>133500</v>
      </c>
      <c r="AX16" s="134">
        <f t="shared" si="17"/>
        <v>0.10761208382941026</v>
      </c>
      <c r="AY16" s="147">
        <v>1050</v>
      </c>
      <c r="AZ16" s="147">
        <v>5599</v>
      </c>
      <c r="BA16" s="151">
        <f t="shared" si="18"/>
        <v>6649</v>
      </c>
      <c r="BB16" s="224">
        <f>[4]Данные!$E$70</f>
        <v>247476</v>
      </c>
      <c r="BC16" s="231">
        <f t="shared" si="19"/>
        <v>2.686725177390939E-2</v>
      </c>
      <c r="BD16" s="233">
        <v>5327</v>
      </c>
      <c r="BE16" s="227">
        <f t="shared" si="20"/>
        <v>2.2112542755620496E-2</v>
      </c>
      <c r="BF16" s="154">
        <v>10284</v>
      </c>
      <c r="BG16" s="154">
        <v>6100</v>
      </c>
      <c r="BH16" s="160">
        <f t="shared" si="12"/>
        <v>1.6859016393442623</v>
      </c>
      <c r="BI16" s="163">
        <v>2281</v>
      </c>
      <c r="BJ16" s="164">
        <f t="shared" si="21"/>
        <v>0.2043540584124709</v>
      </c>
      <c r="BK16" s="166">
        <v>141173</v>
      </c>
      <c r="BL16" s="166">
        <v>11535</v>
      </c>
      <c r="BM16" s="221">
        <f t="shared" si="22"/>
        <v>8.1708258661358765E-2</v>
      </c>
      <c r="BO16" s="38">
        <v>374</v>
      </c>
      <c r="BP16" s="38">
        <v>113</v>
      </c>
      <c r="BQ16" s="38">
        <v>148</v>
      </c>
      <c r="BR16" s="38">
        <v>30</v>
      </c>
      <c r="BS16" s="38">
        <v>205</v>
      </c>
      <c r="BT16" s="38">
        <v>77</v>
      </c>
      <c r="BU16" s="38">
        <v>1</v>
      </c>
      <c r="BV16" s="38">
        <v>144</v>
      </c>
      <c r="BW16" s="38">
        <v>7</v>
      </c>
      <c r="BX16" s="38">
        <v>5</v>
      </c>
      <c r="BY16" s="38">
        <v>401</v>
      </c>
      <c r="BZ16" s="38">
        <v>198</v>
      </c>
      <c r="CA16" s="38">
        <v>319</v>
      </c>
      <c r="CB16" s="38">
        <v>2649</v>
      </c>
      <c r="CC16" s="38">
        <v>6</v>
      </c>
      <c r="CD16" s="38">
        <v>3</v>
      </c>
      <c r="CE16" s="38">
        <v>2</v>
      </c>
      <c r="CF16" s="38">
        <v>5</v>
      </c>
      <c r="CG16" s="38">
        <f t="shared" si="13"/>
        <v>261</v>
      </c>
      <c r="CH16" s="39">
        <v>10</v>
      </c>
      <c r="CI16" s="39">
        <v>110</v>
      </c>
      <c r="CJ16" s="39">
        <v>39</v>
      </c>
      <c r="CK16" s="39">
        <v>15</v>
      </c>
      <c r="CQ16" s="27"/>
      <c r="CR16" s="27"/>
      <c r="CS16" s="27"/>
      <c r="DC16">
        <v>252</v>
      </c>
      <c r="DE16" s="24">
        <v>0.40400000000000003</v>
      </c>
      <c r="DF16" s="24">
        <v>9.6000000000000002E-2</v>
      </c>
      <c r="DG16" s="24">
        <f t="shared" si="23"/>
        <v>0.5</v>
      </c>
      <c r="DK16" s="28">
        <v>71876</v>
      </c>
    </row>
    <row r="17" spans="1:115" ht="17" thickBot="1" x14ac:dyDescent="0.5">
      <c r="A17" s="97" t="s">
        <v>32</v>
      </c>
      <c r="B17" s="70">
        <f>'[1]Демо+РИК_Разделы 1,3'!DG16</f>
        <v>0.53043648885544314</v>
      </c>
      <c r="C17" s="71">
        <f t="shared" si="0"/>
        <v>0.87</v>
      </c>
      <c r="D17" s="108">
        <f t="shared" si="1"/>
        <v>25.92415833470519</v>
      </c>
      <c r="E17" s="167">
        <f t="shared" si="1"/>
        <v>2992775.4</v>
      </c>
      <c r="F17" s="108">
        <f t="shared" si="1"/>
        <v>10.8</v>
      </c>
      <c r="G17" s="108">
        <f t="shared" si="1"/>
        <v>3.2</v>
      </c>
      <c r="H17" s="164">
        <f t="shared" si="2"/>
        <v>5.9463268562134519E-2</v>
      </c>
      <c r="I17" s="168">
        <f t="shared" si="3"/>
        <v>2.5262279771134263E-2</v>
      </c>
      <c r="J17" s="169">
        <f t="shared" si="4"/>
        <v>1.4895315559572224</v>
      </c>
      <c r="K17" s="170">
        <f t="shared" si="5"/>
        <v>9.0969356114877151E-2</v>
      </c>
      <c r="L17" s="164">
        <f t="shared" si="6"/>
        <v>0.13659210962444565</v>
      </c>
      <c r="M17" s="107">
        <f t="shared" si="7"/>
        <v>0.15486334100275595</v>
      </c>
      <c r="N17" s="108">
        <f t="shared" si="8"/>
        <v>12.930920323200304</v>
      </c>
      <c r="O17" s="35"/>
      <c r="P17" s="98">
        <f t="shared" si="9"/>
        <v>6.8527918781725886E-2</v>
      </c>
      <c r="Q17" s="98">
        <v>1.3422818791946308E-2</v>
      </c>
      <c r="R17" s="98">
        <f t="shared" si="10"/>
        <v>0.23943661971830985</v>
      </c>
      <c r="S17" s="98">
        <v>1.3886956521739131</v>
      </c>
      <c r="T17" s="98" t="e">
        <f>#REF!/BQ17</f>
        <v>#REF!</v>
      </c>
      <c r="U17" s="98">
        <f t="shared" si="11"/>
        <v>6.6666666666666666E-2</v>
      </c>
      <c r="V17" s="99" t="e">
        <f>SUM(CK17:CK17)/#REF!</f>
        <v>#REF!</v>
      </c>
      <c r="W17" s="50"/>
      <c r="X17" s="100">
        <v>14285908868.66</v>
      </c>
      <c r="Y17" s="50">
        <v>1130</v>
      </c>
      <c r="Z17" s="101" t="e">
        <f>CJ17/#REF!*1000</f>
        <v>#REF!</v>
      </c>
      <c r="AA17" s="50"/>
      <c r="AB17" s="102">
        <v>5.74</v>
      </c>
      <c r="AD17" s="22"/>
      <c r="AE17" s="53" t="s">
        <v>32</v>
      </c>
      <c r="AF17" s="40">
        <v>72</v>
      </c>
      <c r="AG17" s="119">
        <f>[2]КДН_Свод!M16</f>
        <v>3851234</v>
      </c>
      <c r="AH17" s="120">
        <f>'[1]Демо+РИК_Разделы 1,3'!P16</f>
        <v>949224</v>
      </c>
      <c r="AI17" s="120">
        <f>'[1]Демо+РИК_Разделы 1,3'!X16</f>
        <v>362358</v>
      </c>
      <c r="AJ17" s="120">
        <f>'[1]Демо+РИК_Разделы 1,3'!AE16</f>
        <v>254703</v>
      </c>
      <c r="AK17" s="120">
        <f>'[1]Демо+РИК_Разделы 1,3'!AK16</f>
        <v>46763</v>
      </c>
      <c r="AL17" s="182">
        <f>'[1]Демо+РИК_Разделы 1,3'!BR16</f>
        <v>458</v>
      </c>
      <c r="AM17" s="121">
        <v>0.87</v>
      </c>
      <c r="AN17" s="122">
        <f>[2]КДН_Свод!H16</f>
        <v>4980</v>
      </c>
      <c r="AO17" s="123">
        <f t="shared" si="14"/>
        <v>12.930920323200304</v>
      </c>
      <c r="AP17" s="123">
        <f>[3]Лист2!B15</f>
        <v>147</v>
      </c>
      <c r="AQ17" s="124">
        <f t="shared" si="15"/>
        <v>0.15486334100275595</v>
      </c>
      <c r="AR17" s="126">
        <v>9984</v>
      </c>
      <c r="AS17" s="124">
        <f t="shared" si="16"/>
        <v>25.92415833470519</v>
      </c>
      <c r="AT17" s="123">
        <f>[2]КДН_Свод!AC16</f>
        <v>2992775.4</v>
      </c>
      <c r="AU17" s="118">
        <v>10.8</v>
      </c>
      <c r="AV17" s="137">
        <v>3.2</v>
      </c>
      <c r="AW17" s="142">
        <v>172563</v>
      </c>
      <c r="AX17" s="134">
        <f t="shared" si="17"/>
        <v>5.9463268562134519E-2</v>
      </c>
      <c r="AY17" s="147">
        <v>130</v>
      </c>
      <c r="AZ17" s="147">
        <v>8228</v>
      </c>
      <c r="BA17" s="151">
        <f t="shared" si="18"/>
        <v>8358</v>
      </c>
      <c r="BB17" s="224">
        <f>[4]Данные!$E$75</f>
        <v>330849</v>
      </c>
      <c r="BC17" s="231">
        <f t="shared" si="19"/>
        <v>2.5262279771134263E-2</v>
      </c>
      <c r="BD17" s="233">
        <v>18947</v>
      </c>
      <c r="BE17" s="227">
        <f t="shared" si="20"/>
        <v>1.9960515115504875E-2</v>
      </c>
      <c r="BF17" s="154">
        <v>29667</v>
      </c>
      <c r="BG17" s="154">
        <v>19917</v>
      </c>
      <c r="BH17" s="160">
        <f t="shared" si="12"/>
        <v>1.4895315559572224</v>
      </c>
      <c r="BI17" s="163">
        <v>4254</v>
      </c>
      <c r="BJ17" s="164">
        <f t="shared" si="21"/>
        <v>9.0969356114877151E-2</v>
      </c>
      <c r="BK17" s="166">
        <v>476682</v>
      </c>
      <c r="BL17" s="166">
        <v>65111</v>
      </c>
      <c r="BM17" s="221">
        <f t="shared" si="22"/>
        <v>0.13659210962444565</v>
      </c>
      <c r="BO17" s="38">
        <v>603</v>
      </c>
      <c r="BP17" s="38">
        <v>209</v>
      </c>
      <c r="BQ17" s="38">
        <v>180</v>
      </c>
      <c r="BR17" s="38">
        <v>1</v>
      </c>
      <c r="BS17" s="38">
        <v>359</v>
      </c>
      <c r="BT17" s="38">
        <v>99</v>
      </c>
      <c r="BU17" s="38">
        <v>1</v>
      </c>
      <c r="BV17" s="38">
        <v>355</v>
      </c>
      <c r="BW17" s="38">
        <v>12</v>
      </c>
      <c r="BX17" s="38">
        <v>27</v>
      </c>
      <c r="BY17" s="38">
        <v>331</v>
      </c>
      <c r="BZ17" s="38">
        <v>161</v>
      </c>
      <c r="CA17" s="38">
        <v>275</v>
      </c>
      <c r="CB17" s="38">
        <v>4544</v>
      </c>
      <c r="CC17" s="38">
        <v>17</v>
      </c>
      <c r="CD17" s="38">
        <v>16</v>
      </c>
      <c r="CE17" s="38">
        <v>1</v>
      </c>
      <c r="CF17" s="38">
        <v>27</v>
      </c>
      <c r="CG17" s="38">
        <f t="shared" si="13"/>
        <v>394</v>
      </c>
      <c r="CH17" s="39">
        <v>17</v>
      </c>
      <c r="CI17" s="39">
        <v>71</v>
      </c>
      <c r="CJ17" s="39">
        <v>126</v>
      </c>
      <c r="CK17" s="39">
        <v>3</v>
      </c>
      <c r="CQ17" s="27"/>
      <c r="CR17" s="27"/>
      <c r="CS17" s="27"/>
      <c r="DC17">
        <v>294</v>
      </c>
      <c r="DE17" s="24">
        <v>0.33400000000000002</v>
      </c>
      <c r="DF17" s="24">
        <v>6.7000000000000004E-2</v>
      </c>
      <c r="DG17" s="24">
        <f t="shared" si="23"/>
        <v>0.40100000000000002</v>
      </c>
      <c r="DK17" s="28">
        <v>172502</v>
      </c>
    </row>
    <row r="18" spans="1:115" ht="15.5" x14ac:dyDescent="0.35">
      <c r="A18" s="73" t="s">
        <v>3</v>
      </c>
      <c r="B18" s="72">
        <f>'[1]Демо+РИК_Разделы 1,3'!$DG$19</f>
        <v>1.0906755796175769</v>
      </c>
      <c r="C18" s="71">
        <f>AVERAGE(C4:C17)</f>
        <v>0.43571428571428567</v>
      </c>
      <c r="D18" s="108">
        <f t="shared" si="1"/>
        <v>73.810057185035433</v>
      </c>
      <c r="E18" s="115">
        <f>AVERAGE(E4:E17)</f>
        <v>801717.63571428577</v>
      </c>
      <c r="F18" s="108">
        <f t="shared" si="1"/>
        <v>9.8214285714285712</v>
      </c>
      <c r="G18" s="108">
        <f t="shared" si="1"/>
        <v>11.950000000000001</v>
      </c>
      <c r="H18" s="173">
        <f t="shared" si="2"/>
        <v>8.2449897409457532E-2</v>
      </c>
      <c r="I18" s="174">
        <f t="shared" si="3"/>
        <v>2.4034983853187312E-2</v>
      </c>
      <c r="J18" s="109">
        <f t="shared" si="4"/>
        <v>1.6119895164235536</v>
      </c>
      <c r="K18" s="175">
        <f t="shared" si="5"/>
        <v>0.16969700637570653</v>
      </c>
      <c r="L18" s="173">
        <f t="shared" si="6"/>
        <v>9.8613978277083292E-2</v>
      </c>
      <c r="M18" s="172">
        <f>AVERAGE(M4:M17)</f>
        <v>2.138612824323737</v>
      </c>
      <c r="N18" s="172">
        <f t="shared" si="8"/>
        <v>11.411701599562877</v>
      </c>
      <c r="O18" s="75"/>
      <c r="P18" s="74"/>
      <c r="Q18" s="74"/>
      <c r="R18" s="74"/>
      <c r="S18" s="74"/>
      <c r="T18" s="75"/>
      <c r="U18" s="74"/>
      <c r="V18" s="76"/>
      <c r="W18" s="73"/>
      <c r="X18" s="73"/>
      <c r="Y18" s="73"/>
      <c r="Z18" s="73"/>
      <c r="AA18" s="73"/>
      <c r="AB18" s="73"/>
      <c r="AE18" s="53" t="s">
        <v>164</v>
      </c>
      <c r="AG18" s="130">
        <f>SUM(AG4:AG17)</f>
        <v>40007180</v>
      </c>
      <c r="AH18" s="130">
        <f>SUM(AH4:AH17)</f>
        <v>8012028</v>
      </c>
      <c r="AI18" s="130">
        <f>SUM(AI4:AI17)</f>
        <v>3051820</v>
      </c>
      <c r="AJ18" s="130">
        <f>SUM(AJ4:AJ17)</f>
        <v>2160752</v>
      </c>
      <c r="AK18" s="130">
        <f>SUM(AK4:AK17)</f>
        <v>385107</v>
      </c>
      <c r="AL18" s="130"/>
      <c r="AM18" s="117">
        <f>AVERAGE(AM4:AM17)</f>
        <v>0.43571428571428567</v>
      </c>
      <c r="AN18" s="130">
        <f>SUM(AN4:AN17)</f>
        <v>45655</v>
      </c>
      <c r="AO18" s="123">
        <f t="shared" si="14"/>
        <v>11.411701599562877</v>
      </c>
      <c r="AP18" s="116">
        <f t="shared" ref="AP18:AV18" si="24">AVERAGE(AP4:AP17)</f>
        <v>1212.1428571428571</v>
      </c>
      <c r="AQ18" s="116">
        <f t="shared" si="24"/>
        <v>2.138612824323737</v>
      </c>
      <c r="AR18" s="116">
        <f t="shared" si="24"/>
        <v>15775.571428571429</v>
      </c>
      <c r="AS18" s="116">
        <f t="shared" si="24"/>
        <v>73.810057185035433</v>
      </c>
      <c r="AT18" s="116">
        <f t="shared" si="24"/>
        <v>801717.63571428577</v>
      </c>
      <c r="AU18" s="118">
        <f t="shared" si="24"/>
        <v>9.8214285714285712</v>
      </c>
      <c r="AV18" s="118">
        <f t="shared" si="24"/>
        <v>11.950000000000001</v>
      </c>
      <c r="AW18" s="142">
        <f>SUM(AW4:AW17)</f>
        <v>2637997</v>
      </c>
      <c r="AX18" s="134">
        <f t="shared" si="17"/>
        <v>8.2449897409457532E-2</v>
      </c>
      <c r="AY18" s="148">
        <f>SUM(AY4:AY17)</f>
        <v>33223</v>
      </c>
      <c r="AZ18" s="148">
        <f>SUM(AZ4:AZ17)</f>
        <v>121249</v>
      </c>
      <c r="BA18" s="151">
        <f t="shared" si="18"/>
        <v>154472</v>
      </c>
      <c r="BB18" s="142">
        <f>SUM(BB4:BB17)</f>
        <v>6426965</v>
      </c>
      <c r="BC18" s="231">
        <f t="shared" si="19"/>
        <v>2.4034983853187312E-2</v>
      </c>
      <c r="BD18" s="234">
        <f>SUM(BD4:BD17)</f>
        <v>165562</v>
      </c>
      <c r="BE18" s="227">
        <f t="shared" si="20"/>
        <v>2.06641814032602E-2</v>
      </c>
      <c r="BF18" s="116">
        <f>SUM(BF4:BF17)</f>
        <v>300146</v>
      </c>
      <c r="BG18" s="116">
        <f>SUM(BG4:BG17)</f>
        <v>186196</v>
      </c>
      <c r="BH18" s="160">
        <f t="shared" si="12"/>
        <v>1.6119895164235536</v>
      </c>
      <c r="BI18" s="116">
        <f>SUM(BI4:BI17)</f>
        <v>66710</v>
      </c>
      <c r="BJ18" s="161">
        <f>AVERAGE(BJ4:BJ17)</f>
        <v>0.16969700637570653</v>
      </c>
      <c r="BK18" s="116">
        <f>SUM(BK4:BK17)</f>
        <v>4147049</v>
      </c>
      <c r="BL18" s="116">
        <f>SUM(BL4:BL17)</f>
        <v>408957</v>
      </c>
      <c r="BM18" s="221">
        <f t="shared" si="22"/>
        <v>9.8613978277083292E-2</v>
      </c>
      <c r="CQ18" s="27"/>
      <c r="CR18" s="27"/>
      <c r="CS18" s="27"/>
      <c r="DC18">
        <f>SUM(DC4:DC17)</f>
        <v>7330</v>
      </c>
    </row>
    <row r="19" spans="1:115" ht="16" thickBot="1" x14ac:dyDescent="0.4">
      <c r="A19" s="73" t="s">
        <v>2</v>
      </c>
      <c r="B19" s="72">
        <f>'[1]Демо+РИК_Разделы 1,3'!$DG$18</f>
        <v>1.5981904340707063</v>
      </c>
      <c r="C19" s="69" t="s">
        <v>36</v>
      </c>
      <c r="D19" s="108">
        <f t="shared" si="1"/>
        <v>73.481319821644661</v>
      </c>
      <c r="E19" s="176">
        <f>AT19</f>
        <v>830792.7</v>
      </c>
      <c r="F19" s="108">
        <f t="shared" si="1"/>
        <v>9.8214285714285712</v>
      </c>
      <c r="G19" s="108">
        <f t="shared" si="1"/>
        <v>12.2</v>
      </c>
      <c r="H19" s="164">
        <f t="shared" si="2"/>
        <v>8.7933762789375092E-2</v>
      </c>
      <c r="I19" s="177">
        <f t="shared" si="3"/>
        <v>2.6154826856769085E-2</v>
      </c>
      <c r="J19" s="108">
        <f t="shared" si="4"/>
        <v>1.5427712333720289</v>
      </c>
      <c r="K19" s="114">
        <f t="shared" si="5"/>
        <v>0.22</v>
      </c>
      <c r="L19" s="164" t="e">
        <f t="shared" si="6"/>
        <v>#REF!</v>
      </c>
      <c r="M19" s="107">
        <f>AQ19</f>
        <v>14.254911826033805</v>
      </c>
      <c r="N19" s="109">
        <f t="shared" si="8"/>
        <v>14.360716921862689</v>
      </c>
      <c r="O19" s="35"/>
      <c r="P19" s="27"/>
      <c r="Q19" s="27"/>
      <c r="R19" s="27"/>
      <c r="S19" s="27"/>
      <c r="T19" s="35"/>
      <c r="U19" s="27"/>
      <c r="V19" s="45"/>
      <c r="AE19" s="29" t="s">
        <v>91</v>
      </c>
      <c r="AF19" s="106" t="s">
        <v>132</v>
      </c>
      <c r="AG19" s="131">
        <f>[2]КДН_Свод!M17</f>
        <v>146447424</v>
      </c>
      <c r="AH19" s="131">
        <f>'[1]Демо+РИК_Разделы 1,3'!$P$18</f>
        <v>30328283</v>
      </c>
      <c r="AI19" s="131">
        <f>'[1]Демо+РИК_Разделы 1,3'!X18</f>
        <v>11423761</v>
      </c>
      <c r="AJ19" s="131">
        <f>'[1]Демо+РИК_Разделы 1,3'!AE18</f>
        <v>8079561</v>
      </c>
      <c r="AK19" s="131">
        <f>'[1]Демо+РИК_Разделы 1,3'!AK18</f>
        <v>1476347</v>
      </c>
      <c r="AL19" s="131"/>
      <c r="AM19" s="121">
        <f>AVERAGE(AM4:AM17)</f>
        <v>0.43571428571428567</v>
      </c>
      <c r="AN19" s="122">
        <f>[2]КДН_Свод!H17</f>
        <v>210309</v>
      </c>
      <c r="AO19" s="123">
        <f>(AN19/AG19)*10000</f>
        <v>14.360716921862689</v>
      </c>
      <c r="AP19" s="132">
        <f>[3]Лист2!B16</f>
        <v>432327</v>
      </c>
      <c r="AQ19" s="124">
        <f>(AP19/AH19)*1000</f>
        <v>14.254911826033805</v>
      </c>
      <c r="AR19" s="133">
        <v>1076115</v>
      </c>
      <c r="AS19" s="124">
        <f>(AR19/AG19)*10000</f>
        <v>73.481319821644661</v>
      </c>
      <c r="AT19" s="123">
        <f>[2]КДН_Свод!AC17</f>
        <v>830792.7</v>
      </c>
      <c r="AU19" s="118">
        <f>AVERAGE(AU4:AU17)</f>
        <v>9.8214285714285712</v>
      </c>
      <c r="AV19" s="135">
        <v>12.2</v>
      </c>
      <c r="AW19" s="142">
        <v>10210793</v>
      </c>
      <c r="AX19" s="134">
        <f t="shared" si="17"/>
        <v>8.7933762789375092E-2</v>
      </c>
      <c r="AY19" s="149">
        <v>146030</v>
      </c>
      <c r="AZ19" s="149">
        <v>504623</v>
      </c>
      <c r="BA19" s="151">
        <f t="shared" si="18"/>
        <v>650653</v>
      </c>
      <c r="BB19" s="225">
        <f>[4]Данные!$E$5</f>
        <v>24876976</v>
      </c>
      <c r="BC19" s="235">
        <f t="shared" si="19"/>
        <v>2.6154826856769085E-2</v>
      </c>
      <c r="BD19" s="236">
        <v>721827</v>
      </c>
      <c r="BE19" s="227">
        <f t="shared" si="20"/>
        <v>2.3800457150838377E-2</v>
      </c>
      <c r="BF19" s="159">
        <v>1053884</v>
      </c>
      <c r="BG19" s="159">
        <v>683111</v>
      </c>
      <c r="BH19" s="160">
        <f t="shared" si="12"/>
        <v>1.5427712333720289</v>
      </c>
      <c r="BI19" s="165">
        <f>AK19*0.22</f>
        <v>324796.34000000003</v>
      </c>
      <c r="BJ19" s="153">
        <v>0.22</v>
      </c>
      <c r="BK19" s="110" t="e">
        <f>#REF!</f>
        <v>#REF!</v>
      </c>
      <c r="BL19" s="159" t="e">
        <f>#REF!</f>
        <v>#REF!</v>
      </c>
      <c r="BM19" s="222" t="e">
        <f t="shared" si="22"/>
        <v>#REF!</v>
      </c>
      <c r="CQ19" s="27"/>
      <c r="CR19" s="27"/>
      <c r="CS19" s="58"/>
    </row>
    <row r="20" spans="1:115" ht="145" x14ac:dyDescent="0.35">
      <c r="A20" s="103" t="s">
        <v>127</v>
      </c>
      <c r="B20" s="68">
        <v>2021</v>
      </c>
      <c r="C20" s="68">
        <v>2023</v>
      </c>
      <c r="P20" s="44"/>
      <c r="Q20" s="27"/>
      <c r="R20" s="27"/>
      <c r="S20" s="27"/>
      <c r="T20" s="35"/>
      <c r="U20" s="27"/>
      <c r="V20" s="45"/>
      <c r="W20" t="s">
        <v>61</v>
      </c>
      <c r="AG20" t="s">
        <v>94</v>
      </c>
      <c r="AH20" t="s">
        <v>94</v>
      </c>
      <c r="AI20" t="s">
        <v>94</v>
      </c>
      <c r="AJ20" t="s">
        <v>94</v>
      </c>
      <c r="AM20" s="1" t="s">
        <v>138</v>
      </c>
      <c r="AN20" t="s">
        <v>134</v>
      </c>
      <c r="AP20" s="1" t="s">
        <v>145</v>
      </c>
      <c r="AR20" s="111" t="s">
        <v>148</v>
      </c>
      <c r="AT20" s="1" t="s">
        <v>150</v>
      </c>
      <c r="AU20" s="1" t="s">
        <v>153</v>
      </c>
      <c r="AV20" s="1" t="s">
        <v>153</v>
      </c>
      <c r="AW20" s="1" t="s">
        <v>160</v>
      </c>
      <c r="AY20" s="1" t="s">
        <v>169</v>
      </c>
      <c r="BD20" s="1" t="s">
        <v>160</v>
      </c>
      <c r="BF20" t="s">
        <v>159</v>
      </c>
      <c r="BI20" t="s">
        <v>94</v>
      </c>
      <c r="CQ20" s="27"/>
      <c r="CR20" s="27"/>
      <c r="CS20" s="27"/>
    </row>
    <row r="21" spans="1:115" ht="141" customHeight="1" x14ac:dyDescent="0.35">
      <c r="A21" t="s">
        <v>38</v>
      </c>
      <c r="B21" s="1" t="s">
        <v>71</v>
      </c>
      <c r="C21" s="1" t="s">
        <v>72</v>
      </c>
      <c r="D21" s="1" t="s">
        <v>44</v>
      </c>
      <c r="E21" s="3" t="s">
        <v>92</v>
      </c>
      <c r="F21" s="32" t="s">
        <v>93</v>
      </c>
      <c r="G21" s="32"/>
      <c r="H21" s="1" t="s">
        <v>48</v>
      </c>
      <c r="I21" s="1" t="s">
        <v>47</v>
      </c>
      <c r="J21" s="1"/>
      <c r="K21" s="1" t="s">
        <v>50</v>
      </c>
      <c r="L21" s="1" t="s">
        <v>116</v>
      </c>
      <c r="M21" s="1" t="s">
        <v>42</v>
      </c>
      <c r="N21" s="1" t="s">
        <v>78</v>
      </c>
      <c r="O21" s="1"/>
      <c r="P21" s="46" t="s">
        <v>100</v>
      </c>
      <c r="Q21" s="47" t="s">
        <v>101</v>
      </c>
      <c r="R21" s="47" t="s">
        <v>102</v>
      </c>
      <c r="S21" s="47" t="s">
        <v>103</v>
      </c>
      <c r="T21" s="47" t="s">
        <v>104</v>
      </c>
      <c r="U21" s="47" t="s">
        <v>105</v>
      </c>
      <c r="V21" s="48" t="s">
        <v>106</v>
      </c>
      <c r="W21" s="1" t="s">
        <v>59</v>
      </c>
      <c r="AB21" s="55" t="s">
        <v>63</v>
      </c>
      <c r="AG21" s="1" t="s">
        <v>129</v>
      </c>
      <c r="AH21" s="1" t="s">
        <v>131</v>
      </c>
      <c r="AI21" s="1" t="s">
        <v>131</v>
      </c>
      <c r="AJ21" s="1" t="s">
        <v>131</v>
      </c>
      <c r="AK21" s="1"/>
      <c r="AL21" s="1"/>
      <c r="AM21" s="1" t="s">
        <v>139</v>
      </c>
      <c r="AP21" s="1" t="s">
        <v>142</v>
      </c>
      <c r="AT21" s="1" t="s">
        <v>151</v>
      </c>
      <c r="AU21" s="1" t="s">
        <v>152</v>
      </c>
      <c r="AV21" s="1" t="s">
        <v>162</v>
      </c>
      <c r="AW21" s="1" t="s">
        <v>161</v>
      </c>
      <c r="AX21" s="1"/>
      <c r="AY21" s="1" t="s">
        <v>167</v>
      </c>
      <c r="AZ21" s="1"/>
      <c r="BA21" s="1"/>
      <c r="BB21" s="1"/>
      <c r="BC21" s="1"/>
      <c r="BD21" s="1" t="s">
        <v>161</v>
      </c>
      <c r="BE21" s="1"/>
      <c r="BF21" s="1" t="s">
        <v>177</v>
      </c>
      <c r="BG21" s="1"/>
      <c r="BH21" s="1"/>
      <c r="BI21" s="1" t="s">
        <v>178</v>
      </c>
      <c r="CM21" s="196"/>
      <c r="CO21" s="183"/>
      <c r="CP21" s="27"/>
    </row>
    <row r="22" spans="1:115" ht="29.5" thickBot="1" x14ac:dyDescent="0.4">
      <c r="A22" s="1" t="s">
        <v>4</v>
      </c>
      <c r="B22" t="s">
        <v>73</v>
      </c>
      <c r="C22" t="s">
        <v>74</v>
      </c>
      <c r="D22" t="s">
        <v>45</v>
      </c>
      <c r="E22" t="s">
        <v>94</v>
      </c>
      <c r="F22" t="s">
        <v>95</v>
      </c>
      <c r="H22" t="s">
        <v>49</v>
      </c>
      <c r="I22" t="s">
        <v>83</v>
      </c>
      <c r="K22" t="s">
        <v>49</v>
      </c>
      <c r="L22" t="s">
        <v>117</v>
      </c>
      <c r="M22" t="s">
        <v>43</v>
      </c>
      <c r="N22" t="s">
        <v>41</v>
      </c>
      <c r="P22" s="49" t="s">
        <v>51</v>
      </c>
      <c r="Q22" s="50" t="s">
        <v>51</v>
      </c>
      <c r="R22" s="50" t="s">
        <v>56</v>
      </c>
      <c r="S22" s="51" t="s">
        <v>107</v>
      </c>
      <c r="T22" s="51" t="s">
        <v>108</v>
      </c>
      <c r="U22" s="50" t="s">
        <v>51</v>
      </c>
      <c r="V22" s="52" t="s">
        <v>109</v>
      </c>
      <c r="W22" s="1" t="s">
        <v>69</v>
      </c>
      <c r="X22" s="56" t="s">
        <v>112</v>
      </c>
      <c r="Z22" t="s">
        <v>60</v>
      </c>
      <c r="AA22" t="s">
        <v>64</v>
      </c>
      <c r="AB22" t="s">
        <v>64</v>
      </c>
      <c r="AR22" s="105"/>
      <c r="CM22" s="196"/>
      <c r="CO22" s="183"/>
      <c r="CP22" s="27"/>
    </row>
    <row r="23" spans="1:115" ht="406" x14ac:dyDescent="0.35">
      <c r="A23" t="s">
        <v>39</v>
      </c>
      <c r="B23" s="1" t="s">
        <v>40</v>
      </c>
      <c r="C23" s="1"/>
      <c r="D23" s="1" t="s">
        <v>46</v>
      </c>
      <c r="E23" s="1" t="s">
        <v>96</v>
      </c>
      <c r="F23" s="1"/>
      <c r="G23" s="1"/>
      <c r="H23" s="1" t="s">
        <v>82</v>
      </c>
      <c r="I23" t="s">
        <v>84</v>
      </c>
      <c r="M23" s="21" t="s">
        <v>81</v>
      </c>
      <c r="N23" s="1" t="s">
        <v>75</v>
      </c>
      <c r="X23" s="21" t="s">
        <v>113</v>
      </c>
      <c r="Y23" s="1" t="s">
        <v>76</v>
      </c>
      <c r="AR23" s="105"/>
      <c r="CO23" s="183"/>
      <c r="CP23" s="27"/>
    </row>
    <row r="24" spans="1:115" ht="409.5" x14ac:dyDescent="0.35">
      <c r="A24" t="s">
        <v>79</v>
      </c>
      <c r="I24" s="1" t="s">
        <v>85</v>
      </c>
      <c r="J24" s="1"/>
      <c r="AR24" s="105"/>
      <c r="CO24" s="183"/>
      <c r="CP24" s="27"/>
    </row>
    <row r="25" spans="1:115" x14ac:dyDescent="0.35">
      <c r="AR25" s="105"/>
      <c r="CM25" s="196"/>
      <c r="CN25" s="196"/>
      <c r="CO25" s="183"/>
      <c r="CP25" s="27"/>
    </row>
    <row r="26" spans="1:115" x14ac:dyDescent="0.35">
      <c r="AR26" s="105"/>
      <c r="CM26" s="196"/>
      <c r="CN26" s="196"/>
      <c r="CO26" s="183"/>
      <c r="CP26" s="27"/>
    </row>
    <row r="27" spans="1:115" x14ac:dyDescent="0.35">
      <c r="AR27" s="104"/>
      <c r="CN27" s="196"/>
      <c r="CO27" s="183"/>
      <c r="CP27" s="27"/>
    </row>
    <row r="28" spans="1:115" x14ac:dyDescent="0.35">
      <c r="AR28" s="105"/>
      <c r="CN28" s="196"/>
      <c r="CO28" s="183"/>
      <c r="CP28" s="27"/>
    </row>
    <row r="29" spans="1:115" x14ac:dyDescent="0.35">
      <c r="Y29" s="1"/>
      <c r="AR29" s="105"/>
      <c r="CN29" s="196"/>
      <c r="CO29" s="183"/>
      <c r="CP29" s="27"/>
    </row>
    <row r="30" spans="1:115" x14ac:dyDescent="0.35">
      <c r="A30" s="27"/>
      <c r="B30" s="30"/>
      <c r="C30" s="30"/>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N30" s="196"/>
      <c r="CO30" s="183"/>
      <c r="CP30" s="27"/>
    </row>
    <row r="31" spans="1:115" x14ac:dyDescent="0.35">
      <c r="A31" s="63"/>
      <c r="B31" s="18"/>
      <c r="C31" s="18"/>
      <c r="D31" s="35"/>
      <c r="E31" s="35"/>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N31" s="196"/>
      <c r="CO31" s="183"/>
      <c r="CP31" s="27"/>
    </row>
    <row r="32" spans="1:115" x14ac:dyDescent="0.35">
      <c r="A32" s="63"/>
      <c r="B32" s="18"/>
      <c r="C32" s="18"/>
      <c r="D32" s="35"/>
      <c r="E32" s="35"/>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7"/>
      <c r="CG32" s="27"/>
      <c r="CH32" s="27"/>
      <c r="CN32" s="196"/>
      <c r="CO32" s="183"/>
      <c r="CP32" s="27"/>
    </row>
    <row r="33" spans="1:86" x14ac:dyDescent="0.35">
      <c r="A33" s="63"/>
      <c r="B33" s="18"/>
      <c r="C33" s="18"/>
      <c r="D33" s="35"/>
      <c r="E33" s="35"/>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row>
    <row r="34" spans="1:86" x14ac:dyDescent="0.35">
      <c r="A34" s="63"/>
      <c r="B34" s="18"/>
      <c r="C34" s="18"/>
      <c r="D34" s="35"/>
      <c r="E34" s="35"/>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c r="CC34" s="27"/>
      <c r="CD34" s="27"/>
      <c r="CE34" s="27"/>
      <c r="CF34" s="27"/>
      <c r="CG34" s="27"/>
      <c r="CH34" s="27"/>
    </row>
    <row r="35" spans="1:86" x14ac:dyDescent="0.35">
      <c r="A35" s="63"/>
      <c r="B35" s="18"/>
      <c r="C35" s="18"/>
      <c r="D35" s="35"/>
      <c r="E35" s="35"/>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row>
    <row r="36" spans="1:86" x14ac:dyDescent="0.35">
      <c r="A36" s="63"/>
      <c r="B36" s="18"/>
      <c r="C36" s="18"/>
      <c r="D36" s="35"/>
      <c r="E36" s="35"/>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row>
    <row r="37" spans="1:86" x14ac:dyDescent="0.35">
      <c r="A37" s="63"/>
      <c r="B37" s="18"/>
      <c r="C37" s="18"/>
      <c r="D37" s="35"/>
      <c r="E37" s="35"/>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row>
    <row r="38" spans="1:86" x14ac:dyDescent="0.35">
      <c r="A38" s="63"/>
      <c r="B38" s="18"/>
      <c r="C38" s="18"/>
      <c r="D38" s="35"/>
      <c r="E38" s="35"/>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row>
    <row r="39" spans="1:86" x14ac:dyDescent="0.35">
      <c r="A39" s="63"/>
      <c r="B39" s="18"/>
      <c r="C39" s="18"/>
      <c r="D39" s="35"/>
      <c r="E39" s="35"/>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row>
    <row r="40" spans="1:86" x14ac:dyDescent="0.35">
      <c r="A40" s="63"/>
      <c r="B40" s="18"/>
      <c r="C40" s="18"/>
      <c r="D40" s="35"/>
      <c r="E40" s="35"/>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row>
    <row r="41" spans="1:86" x14ac:dyDescent="0.35">
      <c r="A41" s="63"/>
      <c r="B41" s="18"/>
      <c r="C41" s="18"/>
      <c r="D41" s="35"/>
      <c r="E41" s="35"/>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row>
    <row r="42" spans="1:86" x14ac:dyDescent="0.35">
      <c r="A42" s="63"/>
      <c r="B42" s="18"/>
      <c r="C42" s="18"/>
      <c r="D42" s="35"/>
      <c r="E42" s="35"/>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row>
    <row r="43" spans="1:86" x14ac:dyDescent="0.35">
      <c r="A43" s="63"/>
      <c r="B43" s="18"/>
      <c r="C43" s="18"/>
      <c r="D43" s="35"/>
      <c r="E43" s="35"/>
      <c r="F43" s="27"/>
      <c r="G43" s="27"/>
      <c r="H43" s="27"/>
      <c r="I43" s="27"/>
      <c r="J43" s="27"/>
      <c r="K43" s="27"/>
      <c r="L43" s="27"/>
      <c r="M43" s="27"/>
      <c r="N43" s="27"/>
      <c r="O43" s="27"/>
      <c r="P43" s="27"/>
      <c r="Q43" s="27"/>
      <c r="R43" s="27"/>
      <c r="S43" s="30"/>
      <c r="T43" s="27"/>
      <c r="U43" s="58"/>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c r="BZ43" s="27"/>
      <c r="CA43" s="27"/>
      <c r="CB43" s="27"/>
      <c r="CC43" s="27"/>
      <c r="CD43" s="27"/>
      <c r="CE43" s="27"/>
      <c r="CF43" s="27"/>
      <c r="CG43" s="27"/>
      <c r="CH43" s="27"/>
    </row>
    <row r="44" spans="1:86" x14ac:dyDescent="0.35">
      <c r="A44" s="63"/>
      <c r="B44" s="18"/>
      <c r="C44" s="18"/>
      <c r="D44" s="35"/>
      <c r="E44" s="35"/>
      <c r="F44" s="27"/>
      <c r="G44" s="27"/>
      <c r="H44" s="27"/>
      <c r="I44" s="27"/>
      <c r="J44" s="27"/>
      <c r="K44" s="27"/>
      <c r="L44" s="27"/>
      <c r="M44" s="27"/>
      <c r="N44" s="27"/>
      <c r="O44" s="27"/>
      <c r="P44" s="27"/>
      <c r="Q44" s="27"/>
      <c r="R44" s="27"/>
      <c r="S44" s="30"/>
      <c r="T44" s="27"/>
      <c r="U44" s="58"/>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row>
    <row r="45" spans="1:86" x14ac:dyDescent="0.35">
      <c r="A45" s="27"/>
      <c r="B45" s="64"/>
      <c r="C45" s="64"/>
      <c r="D45" s="27"/>
      <c r="E45" s="27"/>
      <c r="F45" s="27"/>
      <c r="G45" s="27"/>
      <c r="H45" s="27"/>
      <c r="I45" s="27"/>
      <c r="J45" s="27"/>
      <c r="K45" s="27"/>
      <c r="L45" s="27"/>
      <c r="M45" s="27"/>
      <c r="N45" s="27"/>
      <c r="O45" s="27"/>
      <c r="P45" s="27"/>
      <c r="Q45" s="27"/>
      <c r="R45" s="27"/>
      <c r="S45" s="30"/>
      <c r="T45" s="27"/>
      <c r="U45" s="58"/>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row>
    <row r="46" spans="1:86" x14ac:dyDescent="0.35">
      <c r="A46" s="27"/>
      <c r="B46" s="64"/>
      <c r="C46" s="64"/>
      <c r="D46" s="27"/>
      <c r="E46" s="27"/>
      <c r="F46" s="27"/>
      <c r="G46" s="27"/>
      <c r="H46" s="27"/>
      <c r="I46" s="27"/>
      <c r="J46" s="27"/>
      <c r="K46" s="27"/>
      <c r="L46" s="27"/>
      <c r="M46" s="27"/>
      <c r="N46" s="27"/>
      <c r="O46" s="27"/>
      <c r="P46" s="27"/>
      <c r="Q46" s="27"/>
      <c r="R46" s="27"/>
      <c r="S46" s="30"/>
      <c r="T46" s="27"/>
      <c r="U46" s="58"/>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c r="CE46" s="27"/>
      <c r="CF46" s="27"/>
      <c r="CG46" s="27"/>
      <c r="CH46" s="27"/>
    </row>
    <row r="47" spans="1:86" x14ac:dyDescent="0.35">
      <c r="A47" s="27"/>
      <c r="B47" s="27"/>
      <c r="C47" s="27"/>
      <c r="D47" s="27"/>
      <c r="E47" s="27"/>
      <c r="F47" s="27"/>
      <c r="G47" s="27"/>
      <c r="H47" s="27"/>
      <c r="I47" s="27"/>
      <c r="J47" s="27"/>
      <c r="K47" s="27"/>
      <c r="L47" s="27"/>
      <c r="M47" s="27"/>
      <c r="N47" s="27"/>
      <c r="O47" s="27"/>
      <c r="P47" s="27"/>
      <c r="Q47" s="27"/>
      <c r="R47" s="27"/>
      <c r="S47" s="30"/>
      <c r="T47" s="27"/>
      <c r="U47" s="58"/>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row>
    <row r="48" spans="1:86" x14ac:dyDescent="0.35">
      <c r="A48" s="27"/>
      <c r="B48" s="27"/>
      <c r="C48" s="27"/>
      <c r="D48" s="27"/>
      <c r="E48" s="27"/>
      <c r="F48" s="27"/>
      <c r="G48" s="27"/>
      <c r="H48" s="27"/>
      <c r="I48" s="27"/>
      <c r="J48" s="27"/>
      <c r="K48" s="27"/>
      <c r="L48" s="27"/>
      <c r="M48" s="27"/>
      <c r="N48" s="27"/>
      <c r="O48" s="27"/>
      <c r="P48" s="27"/>
      <c r="Q48" s="27"/>
      <c r="R48" s="27"/>
      <c r="S48" s="30"/>
      <c r="T48" s="27"/>
      <c r="U48" s="58"/>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row>
    <row r="49" spans="1:86" x14ac:dyDescent="0.35">
      <c r="A49" s="27"/>
      <c r="B49" s="27"/>
      <c r="C49" s="27"/>
      <c r="D49" s="27"/>
      <c r="E49" s="27"/>
      <c r="F49" s="27"/>
      <c r="G49" s="27"/>
      <c r="H49" s="27"/>
      <c r="I49" s="27"/>
      <c r="J49" s="27"/>
      <c r="K49" s="27"/>
      <c r="L49" s="27"/>
      <c r="M49" s="27"/>
      <c r="N49" s="27"/>
      <c r="O49" s="27"/>
      <c r="P49" s="27"/>
      <c r="Q49" s="27"/>
      <c r="R49" s="27"/>
      <c r="S49" s="30"/>
      <c r="T49" s="27"/>
      <c r="U49" s="58"/>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row>
    <row r="50" spans="1:86" x14ac:dyDescent="0.35">
      <c r="A50" s="27"/>
      <c r="B50" s="27"/>
      <c r="C50" s="27"/>
      <c r="D50" s="27"/>
      <c r="E50" s="27"/>
      <c r="F50" s="27"/>
      <c r="G50" s="27"/>
      <c r="H50" s="27"/>
      <c r="I50" s="27"/>
      <c r="J50" s="27"/>
      <c r="K50" s="27"/>
      <c r="L50" s="27"/>
      <c r="M50" s="27"/>
      <c r="N50" s="27"/>
      <c r="O50" s="27"/>
      <c r="P50" s="27"/>
      <c r="Q50" s="27"/>
      <c r="R50" s="27"/>
      <c r="S50" s="30"/>
      <c r="T50" s="27"/>
      <c r="U50" s="58"/>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c r="CC50" s="27"/>
      <c r="CD50" s="27"/>
      <c r="CE50" s="27"/>
      <c r="CF50" s="27"/>
      <c r="CG50" s="27"/>
      <c r="CH50" s="27"/>
    </row>
    <row r="51" spans="1:86" x14ac:dyDescent="0.35">
      <c r="A51" s="27"/>
      <c r="B51" s="27"/>
      <c r="C51" s="27"/>
      <c r="D51" s="27"/>
      <c r="E51" s="27"/>
      <c r="F51" s="27"/>
      <c r="G51" s="27"/>
      <c r="H51" s="27"/>
      <c r="I51" s="27"/>
      <c r="J51" s="27"/>
      <c r="K51" s="27"/>
      <c r="L51" s="27"/>
      <c r="M51" s="27"/>
      <c r="N51" s="27"/>
      <c r="O51" s="27"/>
      <c r="P51" s="27"/>
      <c r="Q51" s="27"/>
      <c r="R51" s="27"/>
      <c r="S51" s="30"/>
      <c r="T51" s="27"/>
      <c r="U51" s="58"/>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c r="CE51" s="27"/>
      <c r="CF51" s="27"/>
      <c r="CG51" s="27"/>
      <c r="CH51" s="27"/>
    </row>
    <row r="52" spans="1:86" x14ac:dyDescent="0.35">
      <c r="A52" s="27"/>
      <c r="B52" s="27"/>
      <c r="C52" s="27"/>
      <c r="D52" s="27"/>
      <c r="E52" s="27"/>
      <c r="F52" s="27"/>
      <c r="G52" s="27"/>
      <c r="H52" s="27"/>
      <c r="I52" s="27"/>
      <c r="J52" s="27"/>
      <c r="K52" s="27"/>
      <c r="L52" s="27"/>
      <c r="M52" s="27"/>
      <c r="N52" s="27"/>
      <c r="O52" s="27"/>
      <c r="P52" s="27"/>
      <c r="Q52" s="27"/>
      <c r="R52" s="27"/>
      <c r="S52" s="30"/>
      <c r="T52" s="27"/>
      <c r="U52" s="58"/>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c r="CE52" s="27"/>
      <c r="CF52" s="27"/>
      <c r="CG52" s="27"/>
      <c r="CH52" s="27"/>
    </row>
    <row r="53" spans="1:86" x14ac:dyDescent="0.35">
      <c r="A53" s="27"/>
      <c r="B53" s="27"/>
      <c r="C53" s="27"/>
      <c r="D53" s="27"/>
      <c r="E53" s="27"/>
      <c r="F53" s="27"/>
      <c r="G53" s="27"/>
      <c r="H53" s="27"/>
      <c r="I53" s="27"/>
      <c r="J53" s="27"/>
      <c r="K53" s="27"/>
      <c r="L53" s="27"/>
      <c r="M53" s="27"/>
      <c r="N53" s="27"/>
      <c r="O53" s="27"/>
      <c r="P53" s="27"/>
      <c r="Q53" s="27"/>
      <c r="R53" s="27"/>
      <c r="S53" s="30"/>
      <c r="T53" s="27"/>
      <c r="U53" s="58"/>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row>
    <row r="54" spans="1:86" x14ac:dyDescent="0.35">
      <c r="A54" s="27"/>
      <c r="B54" s="27"/>
      <c r="C54" s="27"/>
      <c r="D54" s="27"/>
      <c r="E54" s="27"/>
      <c r="F54" s="27"/>
      <c r="G54" s="27"/>
      <c r="H54" s="27"/>
      <c r="I54" s="27"/>
      <c r="J54" s="27"/>
      <c r="K54" s="27"/>
      <c r="L54" s="27"/>
      <c r="M54" s="27"/>
      <c r="N54" s="35"/>
      <c r="O54" s="27"/>
      <c r="P54" s="27"/>
      <c r="Q54" s="27"/>
      <c r="R54" s="27"/>
      <c r="S54" s="30"/>
      <c r="T54" s="27"/>
      <c r="U54" s="58"/>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c r="BW54" s="27"/>
      <c r="BX54" s="27"/>
      <c r="BY54" s="27"/>
      <c r="BZ54" s="27"/>
      <c r="CA54" s="27"/>
      <c r="CB54" s="27"/>
      <c r="CC54" s="27"/>
      <c r="CD54" s="27"/>
      <c r="CE54" s="27"/>
      <c r="CF54" s="27"/>
      <c r="CG54" s="27"/>
      <c r="CH54" s="27"/>
    </row>
    <row r="55" spans="1:86" x14ac:dyDescent="0.35">
      <c r="A55" s="27"/>
      <c r="B55" s="27"/>
      <c r="C55" s="27"/>
      <c r="D55" s="27"/>
      <c r="E55" s="27"/>
      <c r="F55" s="27"/>
      <c r="G55" s="27"/>
      <c r="H55" s="27"/>
      <c r="I55" s="27"/>
      <c r="J55" s="27"/>
      <c r="K55" s="27"/>
      <c r="L55" s="27"/>
      <c r="M55" s="27"/>
      <c r="N55" s="35"/>
      <c r="O55" s="27"/>
      <c r="P55" s="27"/>
      <c r="Q55" s="27"/>
      <c r="R55" s="27"/>
      <c r="S55" s="30"/>
      <c r="T55" s="27"/>
      <c r="U55" s="58"/>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c r="BZ55" s="27"/>
      <c r="CA55" s="27"/>
      <c r="CB55" s="27"/>
      <c r="CC55" s="27"/>
      <c r="CD55" s="27"/>
      <c r="CE55" s="27"/>
      <c r="CF55" s="27"/>
      <c r="CG55" s="27"/>
      <c r="CH55" s="27"/>
    </row>
    <row r="56" spans="1:86" x14ac:dyDescent="0.35">
      <c r="A56" s="27"/>
      <c r="B56" s="27"/>
      <c r="C56" s="27"/>
      <c r="D56" s="27"/>
      <c r="E56" s="27"/>
      <c r="F56" s="27"/>
      <c r="G56" s="27"/>
      <c r="H56" s="27"/>
      <c r="I56" s="27"/>
      <c r="J56" s="27"/>
      <c r="K56" s="27"/>
      <c r="L56" s="27"/>
      <c r="M56" s="27"/>
      <c r="N56" s="35"/>
      <c r="O56" s="27"/>
      <c r="P56" s="27"/>
      <c r="Q56" s="27"/>
      <c r="R56" s="27"/>
      <c r="S56" s="30"/>
      <c r="T56" s="27"/>
      <c r="U56" s="58"/>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c r="BW56" s="27"/>
      <c r="BX56" s="27"/>
      <c r="BY56" s="27"/>
      <c r="BZ56" s="27"/>
      <c r="CA56" s="27"/>
      <c r="CB56" s="27"/>
      <c r="CC56" s="27"/>
      <c r="CD56" s="27"/>
      <c r="CE56" s="27"/>
      <c r="CF56" s="27"/>
      <c r="CG56" s="27"/>
      <c r="CH56" s="27"/>
    </row>
    <row r="57" spans="1:86" x14ac:dyDescent="0.35">
      <c r="A57" s="27"/>
      <c r="B57" s="27"/>
      <c r="C57" s="27"/>
      <c r="D57" s="27"/>
      <c r="E57" s="27"/>
      <c r="F57" s="27"/>
      <c r="G57" s="27"/>
      <c r="H57" s="27"/>
      <c r="I57" s="27"/>
      <c r="J57" s="27"/>
      <c r="K57" s="27"/>
      <c r="L57" s="27"/>
      <c r="M57" s="27"/>
      <c r="N57" s="35"/>
      <c r="O57" s="27"/>
      <c r="P57" s="65"/>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c r="BV57" s="27"/>
      <c r="BW57" s="27"/>
      <c r="BX57" s="27"/>
      <c r="BY57" s="27"/>
      <c r="BZ57" s="27"/>
      <c r="CA57" s="27"/>
      <c r="CB57" s="27"/>
      <c r="CC57" s="27"/>
      <c r="CD57" s="27"/>
      <c r="CE57" s="27"/>
      <c r="CF57" s="27"/>
      <c r="CG57" s="27"/>
      <c r="CH57" s="27"/>
    </row>
    <row r="58" spans="1:86" x14ac:dyDescent="0.35">
      <c r="A58" s="27"/>
      <c r="B58" s="27"/>
      <c r="C58" s="27"/>
      <c r="D58" s="27"/>
      <c r="E58" s="27"/>
      <c r="F58" s="27"/>
      <c r="G58" s="27"/>
      <c r="H58" s="27"/>
      <c r="I58" s="27"/>
      <c r="J58" s="27"/>
      <c r="K58" s="27"/>
      <c r="L58" s="27"/>
      <c r="M58" s="27"/>
      <c r="N58" s="35"/>
      <c r="O58" s="27"/>
      <c r="P58" s="65"/>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27"/>
      <c r="BZ58" s="27"/>
      <c r="CA58" s="27"/>
      <c r="CB58" s="27"/>
      <c r="CC58" s="27"/>
      <c r="CD58" s="27"/>
      <c r="CE58" s="27"/>
      <c r="CF58" s="27"/>
      <c r="CG58" s="27"/>
      <c r="CH58" s="27"/>
    </row>
    <row r="59" spans="1:86" x14ac:dyDescent="0.35">
      <c r="A59" s="27"/>
      <c r="B59" s="27"/>
      <c r="C59" s="27"/>
      <c r="D59" s="27"/>
      <c r="E59" s="27"/>
      <c r="F59" s="27"/>
      <c r="G59" s="27"/>
      <c r="H59" s="27"/>
      <c r="I59" s="27"/>
      <c r="J59" s="27"/>
      <c r="K59" s="27"/>
      <c r="L59" s="27"/>
      <c r="M59" s="27"/>
      <c r="N59" s="35"/>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c r="BV59" s="27"/>
      <c r="BW59" s="27"/>
      <c r="BX59" s="27"/>
      <c r="BY59" s="27"/>
      <c r="BZ59" s="27"/>
      <c r="CA59" s="27"/>
      <c r="CB59" s="27"/>
      <c r="CC59" s="27"/>
      <c r="CD59" s="27"/>
      <c r="CE59" s="27"/>
      <c r="CF59" s="27"/>
      <c r="CG59" s="27"/>
      <c r="CH59" s="27"/>
    </row>
    <row r="60" spans="1:86" x14ac:dyDescent="0.35">
      <c r="A60" s="27"/>
      <c r="B60" s="27"/>
      <c r="G60" s="27"/>
      <c r="H60" s="27"/>
      <c r="I60" s="27"/>
      <c r="J60" s="27"/>
      <c r="K60" s="27"/>
      <c r="L60" s="27"/>
      <c r="M60" s="27"/>
      <c r="N60" s="35"/>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c r="BV60" s="27"/>
      <c r="BW60" s="27"/>
      <c r="BX60" s="27"/>
      <c r="BY60" s="27"/>
      <c r="BZ60" s="27"/>
      <c r="CA60" s="27"/>
      <c r="CB60" s="27"/>
      <c r="CC60" s="27"/>
      <c r="CD60" s="27"/>
      <c r="CE60" s="27"/>
      <c r="CF60" s="27"/>
      <c r="CG60" s="27"/>
      <c r="CH60" s="27"/>
    </row>
    <row r="61" spans="1:86" x14ac:dyDescent="0.35">
      <c r="A61" s="27"/>
      <c r="B61" s="27"/>
      <c r="G61" s="63"/>
      <c r="H61" s="27"/>
      <c r="I61" s="27"/>
      <c r="J61" s="27"/>
      <c r="K61" s="27"/>
      <c r="L61" s="27"/>
      <c r="M61" s="27"/>
      <c r="N61" s="35"/>
      <c r="O61" s="27"/>
      <c r="P61" s="27"/>
      <c r="Q61" s="27"/>
      <c r="R61" s="27"/>
      <c r="S61" s="27"/>
      <c r="T61" s="27"/>
      <c r="U61" s="27"/>
      <c r="V61" s="27"/>
      <c r="W61" s="26"/>
      <c r="X61" s="26"/>
      <c r="Y61" s="26"/>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c r="BV61" s="27"/>
      <c r="BW61" s="27"/>
      <c r="BX61" s="27"/>
      <c r="BY61" s="27"/>
      <c r="BZ61" s="27"/>
      <c r="CA61" s="27"/>
      <c r="CB61" s="27"/>
      <c r="CC61" s="27"/>
      <c r="CD61" s="27"/>
      <c r="CE61" s="27"/>
      <c r="CF61" s="27"/>
      <c r="CG61" s="27"/>
      <c r="CH61" s="27"/>
    </row>
    <row r="62" spans="1:86" x14ac:dyDescent="0.35">
      <c r="A62" s="27"/>
      <c r="B62" s="27"/>
      <c r="G62" s="63"/>
      <c r="H62" s="27"/>
      <c r="I62" s="27"/>
      <c r="J62" s="27"/>
      <c r="K62" s="27"/>
      <c r="L62" s="27"/>
      <c r="M62" s="27"/>
      <c r="N62" s="35"/>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c r="BW62" s="27"/>
      <c r="BX62" s="27"/>
      <c r="BY62" s="27"/>
      <c r="BZ62" s="27"/>
      <c r="CA62" s="27"/>
      <c r="CB62" s="27"/>
      <c r="CC62" s="27"/>
      <c r="CD62" s="27"/>
      <c r="CE62" s="27"/>
      <c r="CF62" s="27"/>
      <c r="CG62" s="27"/>
      <c r="CH62" s="27"/>
    </row>
    <row r="63" spans="1:86" x14ac:dyDescent="0.35">
      <c r="A63" s="27"/>
      <c r="B63" s="27"/>
      <c r="G63" s="63"/>
      <c r="H63" s="27"/>
      <c r="I63" s="27"/>
      <c r="J63" s="27"/>
      <c r="K63" s="27"/>
      <c r="L63" s="27"/>
      <c r="M63" s="27"/>
      <c r="N63" s="35"/>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c r="BV63" s="27"/>
      <c r="BW63" s="27"/>
      <c r="BX63" s="27"/>
      <c r="BY63" s="27"/>
      <c r="BZ63" s="27"/>
      <c r="CA63" s="27"/>
      <c r="CB63" s="27"/>
      <c r="CC63" s="27"/>
      <c r="CD63" s="27"/>
      <c r="CE63" s="27"/>
      <c r="CF63" s="27"/>
      <c r="CG63" s="27"/>
      <c r="CH63" s="27"/>
    </row>
    <row r="64" spans="1:86" x14ac:dyDescent="0.35">
      <c r="A64" s="27"/>
      <c r="B64" s="27"/>
      <c r="G64" s="63"/>
      <c r="H64" s="27"/>
      <c r="I64" s="27"/>
      <c r="J64" s="27"/>
      <c r="K64" s="27"/>
      <c r="L64" s="27"/>
      <c r="M64" s="27"/>
      <c r="N64" s="35"/>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c r="BV64" s="27"/>
      <c r="BW64" s="27"/>
      <c r="BX64" s="27"/>
      <c r="BY64" s="27"/>
      <c r="BZ64" s="27"/>
      <c r="CA64" s="27"/>
      <c r="CB64" s="27"/>
      <c r="CC64" s="27"/>
      <c r="CD64" s="27"/>
      <c r="CE64" s="27"/>
      <c r="CF64" s="27"/>
      <c r="CG64" s="27"/>
      <c r="CH64" s="27"/>
    </row>
    <row r="65" spans="1:86" x14ac:dyDescent="0.35">
      <c r="A65" s="27"/>
      <c r="B65" s="27"/>
      <c r="G65" s="63"/>
      <c r="H65" s="27"/>
      <c r="I65" s="27"/>
      <c r="J65" s="27"/>
      <c r="K65" s="27"/>
      <c r="L65" s="27"/>
      <c r="M65" s="27"/>
      <c r="N65" s="35"/>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c r="BV65" s="27"/>
      <c r="BW65" s="27"/>
      <c r="BX65" s="27"/>
      <c r="BY65" s="27"/>
      <c r="BZ65" s="27"/>
      <c r="CA65" s="27"/>
      <c r="CB65" s="27"/>
      <c r="CC65" s="27"/>
      <c r="CD65" s="27"/>
      <c r="CE65" s="27"/>
      <c r="CF65" s="27"/>
      <c r="CG65" s="27"/>
      <c r="CH65" s="27"/>
    </row>
    <row r="66" spans="1:86" x14ac:dyDescent="0.35">
      <c r="A66" s="27"/>
      <c r="B66" s="27"/>
      <c r="G66" s="63"/>
      <c r="H66" s="27"/>
      <c r="I66" s="27"/>
      <c r="J66" s="27"/>
      <c r="K66" s="27"/>
      <c r="L66" s="27"/>
      <c r="M66" s="27"/>
      <c r="N66" s="35"/>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c r="BV66" s="27"/>
      <c r="BW66" s="27"/>
      <c r="BX66" s="27"/>
      <c r="BY66" s="27"/>
      <c r="BZ66" s="27"/>
      <c r="CA66" s="27"/>
      <c r="CB66" s="27"/>
      <c r="CC66" s="27"/>
      <c r="CD66" s="27"/>
      <c r="CE66" s="27"/>
      <c r="CF66" s="27"/>
      <c r="CG66" s="27"/>
      <c r="CH66" s="27"/>
    </row>
    <row r="67" spans="1:86" x14ac:dyDescent="0.35">
      <c r="A67" s="27"/>
      <c r="B67" s="27"/>
      <c r="G67" s="63"/>
      <c r="H67" s="27"/>
      <c r="I67" s="27"/>
      <c r="J67" s="27"/>
      <c r="K67" s="27"/>
      <c r="L67" s="27"/>
      <c r="M67" s="27"/>
      <c r="N67" s="35"/>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c r="BV67" s="27"/>
      <c r="BW67" s="27"/>
      <c r="BX67" s="27"/>
      <c r="BY67" s="27"/>
      <c r="BZ67" s="27"/>
      <c r="CA67" s="27"/>
      <c r="CB67" s="27"/>
      <c r="CC67" s="27"/>
      <c r="CD67" s="27"/>
      <c r="CE67" s="27"/>
      <c r="CF67" s="27"/>
      <c r="CG67" s="27"/>
      <c r="CH67" s="27"/>
    </row>
    <row r="68" spans="1:86" x14ac:dyDescent="0.35">
      <c r="A68" s="27"/>
      <c r="B68" s="195"/>
      <c r="G68" s="63"/>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c r="BV68" s="27"/>
      <c r="BW68" s="27"/>
      <c r="BX68" s="27"/>
      <c r="BY68" s="27"/>
      <c r="BZ68" s="27"/>
      <c r="CA68" s="27"/>
      <c r="CB68" s="27"/>
      <c r="CC68" s="27"/>
      <c r="CD68" s="27"/>
      <c r="CE68" s="27"/>
      <c r="CF68" s="27"/>
      <c r="CG68" s="27"/>
      <c r="CH68" s="27"/>
    </row>
    <row r="69" spans="1:86" x14ac:dyDescent="0.35">
      <c r="A69" s="27"/>
      <c r="B69" s="196"/>
      <c r="G69" s="63"/>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c r="BW69" s="27"/>
      <c r="BX69" s="27"/>
      <c r="BY69" s="27"/>
      <c r="BZ69" s="27"/>
      <c r="CA69" s="27"/>
      <c r="CB69" s="27"/>
      <c r="CC69" s="27"/>
      <c r="CD69" s="27"/>
      <c r="CE69" s="27"/>
      <c r="CF69" s="27"/>
      <c r="CG69" s="27"/>
      <c r="CH69" s="27"/>
    </row>
    <row r="70" spans="1:86" x14ac:dyDescent="0.35">
      <c r="A70" s="27"/>
      <c r="B70" s="196"/>
      <c r="G70" s="63"/>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c r="BZ70" s="27"/>
      <c r="CA70" s="27"/>
      <c r="CB70" s="27"/>
      <c r="CC70" s="27"/>
      <c r="CD70" s="27"/>
      <c r="CE70" s="27"/>
      <c r="CF70" s="27"/>
      <c r="CG70" s="27"/>
      <c r="CH70" s="27"/>
    </row>
    <row r="71" spans="1:86" x14ac:dyDescent="0.35">
      <c r="A71" s="27"/>
      <c r="B71" s="196"/>
      <c r="G71" s="63"/>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27"/>
      <c r="BY71" s="27"/>
      <c r="BZ71" s="27"/>
      <c r="CA71" s="27"/>
      <c r="CB71" s="27"/>
      <c r="CC71" s="27"/>
      <c r="CD71" s="27"/>
      <c r="CE71" s="27"/>
      <c r="CF71" s="27"/>
      <c r="CG71" s="27"/>
      <c r="CH71" s="27"/>
    </row>
    <row r="72" spans="1:86" x14ac:dyDescent="0.35">
      <c r="A72" s="27"/>
      <c r="B72" s="196"/>
      <c r="G72" s="63"/>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c r="BW72" s="27"/>
      <c r="BX72" s="27"/>
      <c r="BY72" s="27"/>
      <c r="BZ72" s="27"/>
      <c r="CA72" s="27"/>
      <c r="CB72" s="27"/>
      <c r="CC72" s="27"/>
      <c r="CD72" s="27"/>
      <c r="CE72" s="27"/>
      <c r="CF72" s="27"/>
      <c r="CG72" s="27"/>
      <c r="CH72" s="27"/>
    </row>
    <row r="73" spans="1:86" x14ac:dyDescent="0.35">
      <c r="A73" s="27"/>
      <c r="B73" s="196"/>
      <c r="G73" s="63"/>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c r="BV73" s="27"/>
      <c r="BW73" s="27"/>
      <c r="BX73" s="27"/>
      <c r="BY73" s="27"/>
      <c r="BZ73" s="27"/>
      <c r="CA73" s="27"/>
      <c r="CB73" s="27"/>
      <c r="CC73" s="27"/>
      <c r="CD73" s="27"/>
      <c r="CE73" s="27"/>
      <c r="CF73" s="27"/>
      <c r="CG73" s="27"/>
      <c r="CH73" s="27"/>
    </row>
    <row r="74" spans="1:86" x14ac:dyDescent="0.35">
      <c r="A74" s="27"/>
      <c r="B74" s="196"/>
      <c r="G74" s="63"/>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c r="BW74" s="27"/>
      <c r="BX74" s="27"/>
      <c r="BY74" s="27"/>
      <c r="BZ74" s="27"/>
      <c r="CA74" s="27"/>
      <c r="CB74" s="27"/>
      <c r="CC74" s="27"/>
      <c r="CD74" s="27"/>
      <c r="CE74" s="27"/>
      <c r="CF74" s="27"/>
      <c r="CG74" s="27"/>
      <c r="CH74" s="27"/>
    </row>
    <row r="75" spans="1:86" x14ac:dyDescent="0.35">
      <c r="A75" s="27"/>
      <c r="B75" s="196"/>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c r="BV75" s="27"/>
      <c r="BW75" s="27"/>
      <c r="BX75" s="27"/>
      <c r="BY75" s="27"/>
      <c r="BZ75" s="27"/>
      <c r="CA75" s="27"/>
      <c r="CB75" s="27"/>
      <c r="CC75" s="27"/>
      <c r="CD75" s="27"/>
      <c r="CE75" s="27"/>
      <c r="CF75" s="27"/>
      <c r="CG75" s="27"/>
      <c r="CH75" s="27"/>
    </row>
    <row r="76" spans="1:86" x14ac:dyDescent="0.35">
      <c r="A76" s="27"/>
      <c r="B76" s="196"/>
      <c r="G76" s="27"/>
      <c r="H76" s="27"/>
      <c r="I76" s="27"/>
      <c r="J76" s="27"/>
      <c r="K76" s="27"/>
      <c r="L76" s="27"/>
      <c r="M76" s="27"/>
      <c r="N76" s="27"/>
      <c r="O76" s="27"/>
      <c r="P76" s="27"/>
      <c r="Q76" s="27"/>
      <c r="R76" s="27"/>
      <c r="S76" s="31"/>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row>
    <row r="77" spans="1:86" x14ac:dyDescent="0.35">
      <c r="A77" s="27"/>
      <c r="B77" s="196"/>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c r="BW77" s="27"/>
      <c r="BX77" s="27"/>
      <c r="BY77" s="27"/>
      <c r="BZ77" s="27"/>
      <c r="CA77" s="27"/>
      <c r="CB77" s="27"/>
      <c r="CC77" s="27"/>
      <c r="CD77" s="27"/>
      <c r="CE77" s="27"/>
      <c r="CF77" s="27"/>
      <c r="CG77" s="27"/>
      <c r="CH77" s="27"/>
    </row>
    <row r="78" spans="1:86" x14ac:dyDescent="0.35">
      <c r="A78" s="27"/>
      <c r="B78" s="196"/>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c r="BW78" s="27"/>
      <c r="BX78" s="27"/>
      <c r="BY78" s="27"/>
      <c r="BZ78" s="27"/>
      <c r="CA78" s="27"/>
      <c r="CB78" s="27"/>
      <c r="CC78" s="27"/>
      <c r="CD78" s="27"/>
      <c r="CE78" s="27"/>
      <c r="CF78" s="27"/>
      <c r="CG78" s="27"/>
      <c r="CH78" s="27"/>
    </row>
    <row r="79" spans="1:86" x14ac:dyDescent="0.35">
      <c r="A79" s="27"/>
      <c r="B79" s="196"/>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c r="BV79" s="27"/>
      <c r="BW79" s="27"/>
      <c r="BX79" s="27"/>
      <c r="BY79" s="27"/>
      <c r="BZ79" s="27"/>
      <c r="CA79" s="27"/>
      <c r="CB79" s="27"/>
      <c r="CC79" s="27"/>
      <c r="CD79" s="27"/>
      <c r="CE79" s="27"/>
      <c r="CF79" s="27"/>
      <c r="CG79" s="27"/>
      <c r="CH79" s="27"/>
    </row>
    <row r="80" spans="1:86" x14ac:dyDescent="0.35">
      <c r="A80" s="27"/>
      <c r="B80" s="196"/>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c r="BZ80" s="27"/>
      <c r="CA80" s="27"/>
      <c r="CB80" s="27"/>
      <c r="CC80" s="27"/>
      <c r="CD80" s="27"/>
      <c r="CE80" s="27"/>
      <c r="CF80" s="27"/>
      <c r="CG80" s="27"/>
      <c r="CH80" s="27"/>
    </row>
    <row r="81" spans="1:86" x14ac:dyDescent="0.35">
      <c r="A81" s="27"/>
      <c r="B81" s="196"/>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c r="BV81" s="27"/>
      <c r="BW81" s="27"/>
      <c r="BX81" s="27"/>
      <c r="BY81" s="27"/>
      <c r="BZ81" s="27"/>
      <c r="CA81" s="27"/>
      <c r="CB81" s="27"/>
      <c r="CC81" s="27"/>
      <c r="CD81" s="27"/>
      <c r="CE81" s="27"/>
      <c r="CF81" s="27"/>
      <c r="CG81" s="27"/>
      <c r="CH81" s="27"/>
    </row>
    <row r="82" spans="1:86" x14ac:dyDescent="0.35">
      <c r="A82" s="27"/>
      <c r="B82" s="196"/>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c r="BV82" s="27"/>
      <c r="BW82" s="27"/>
      <c r="BX82" s="27"/>
      <c r="BY82" s="27"/>
      <c r="BZ82" s="27"/>
      <c r="CA82" s="27"/>
      <c r="CB82" s="27"/>
      <c r="CC82" s="27"/>
      <c r="CD82" s="27"/>
      <c r="CE82" s="27"/>
      <c r="CF82" s="27"/>
      <c r="CG82" s="27"/>
      <c r="CH82" s="27"/>
    </row>
    <row r="83" spans="1:86" x14ac:dyDescent="0.35">
      <c r="A83" s="27"/>
      <c r="B83" s="196"/>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7"/>
      <c r="BK83" s="27"/>
      <c r="BL83" s="27"/>
      <c r="BM83" s="27"/>
      <c r="BN83" s="27"/>
      <c r="BO83" s="27"/>
      <c r="BP83" s="27"/>
      <c r="BQ83" s="27"/>
      <c r="BR83" s="27"/>
      <c r="BS83" s="27"/>
      <c r="BT83" s="27"/>
      <c r="BU83" s="27"/>
      <c r="BV83" s="27"/>
      <c r="BW83" s="27"/>
      <c r="BX83" s="27"/>
      <c r="BY83" s="27"/>
      <c r="BZ83" s="27"/>
      <c r="CA83" s="27"/>
      <c r="CB83" s="27"/>
      <c r="CC83" s="27"/>
      <c r="CD83" s="27"/>
      <c r="CE83" s="27"/>
      <c r="CF83" s="27"/>
      <c r="CG83" s="27"/>
      <c r="CH83" s="27"/>
    </row>
    <row r="84" spans="1:86" x14ac:dyDescent="0.35">
      <c r="A84" s="27"/>
      <c r="B84" s="196"/>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c r="BV84" s="27"/>
      <c r="BW84" s="27"/>
      <c r="BX84" s="27"/>
      <c r="BY84" s="27"/>
      <c r="BZ84" s="27"/>
      <c r="CA84" s="27"/>
      <c r="CB84" s="27"/>
      <c r="CC84" s="27"/>
      <c r="CD84" s="27"/>
      <c r="CE84" s="27"/>
      <c r="CF84" s="27"/>
      <c r="CG84" s="27"/>
      <c r="CH84" s="27"/>
    </row>
    <row r="85" spans="1:86" x14ac:dyDescent="0.35">
      <c r="A85" s="27"/>
      <c r="B85" s="196"/>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c r="BV85" s="27"/>
      <c r="BW85" s="27"/>
      <c r="BX85" s="27"/>
      <c r="BY85" s="27"/>
      <c r="BZ85" s="27"/>
      <c r="CA85" s="27"/>
      <c r="CB85" s="27"/>
      <c r="CC85" s="27"/>
      <c r="CD85" s="27"/>
      <c r="CE85" s="27"/>
      <c r="CF85" s="27"/>
      <c r="CG85" s="27"/>
      <c r="CH85" s="27"/>
    </row>
    <row r="86" spans="1:86" x14ac:dyDescent="0.35">
      <c r="A86" s="27"/>
      <c r="B86" s="196"/>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c r="BV86" s="27"/>
      <c r="BW86" s="27"/>
      <c r="BX86" s="27"/>
      <c r="BY86" s="27"/>
      <c r="BZ86" s="27"/>
      <c r="CA86" s="27"/>
      <c r="CB86" s="27"/>
      <c r="CC86" s="27"/>
      <c r="CD86" s="27"/>
      <c r="CE86" s="27"/>
      <c r="CF86" s="27"/>
      <c r="CG86" s="27"/>
      <c r="CH86" s="27"/>
    </row>
    <row r="87" spans="1:86" x14ac:dyDescent="0.35">
      <c r="A87" s="27"/>
      <c r="B87" s="196"/>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c r="BV87" s="27"/>
      <c r="BW87" s="27"/>
      <c r="BX87" s="27"/>
      <c r="BY87" s="27"/>
      <c r="BZ87" s="27"/>
      <c r="CA87" s="27"/>
      <c r="CB87" s="27"/>
      <c r="CC87" s="27"/>
      <c r="CD87" s="27"/>
      <c r="CE87" s="27"/>
      <c r="CF87" s="27"/>
      <c r="CG87" s="27"/>
      <c r="CH87" s="27"/>
    </row>
    <row r="88" spans="1:86" x14ac:dyDescent="0.35">
      <c r="A88" s="27"/>
      <c r="B88" s="196"/>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c r="BV88" s="27"/>
      <c r="BW88" s="27"/>
      <c r="BX88" s="27"/>
      <c r="BY88" s="27"/>
      <c r="BZ88" s="27"/>
      <c r="CA88" s="27"/>
      <c r="CB88" s="27"/>
      <c r="CC88" s="27"/>
      <c r="CD88" s="27"/>
      <c r="CE88" s="27"/>
      <c r="CF88" s="27"/>
      <c r="CG88" s="27"/>
      <c r="CH88" s="27"/>
    </row>
    <row r="89" spans="1:86" x14ac:dyDescent="0.35">
      <c r="A89" s="27"/>
      <c r="B89" s="196"/>
      <c r="C89" s="196"/>
      <c r="D89" s="196"/>
      <c r="E89" s="183"/>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c r="BV89" s="27"/>
      <c r="BW89" s="27"/>
      <c r="BX89" s="27"/>
      <c r="BY89" s="27"/>
      <c r="BZ89" s="27"/>
      <c r="CA89" s="27"/>
      <c r="CB89" s="27"/>
      <c r="CC89" s="27"/>
      <c r="CD89" s="27"/>
      <c r="CE89" s="27"/>
      <c r="CF89" s="27"/>
      <c r="CG89" s="27"/>
      <c r="CH89" s="27"/>
    </row>
    <row r="90" spans="1:86" x14ac:dyDescent="0.35">
      <c r="A90" s="27"/>
      <c r="B90" s="196"/>
      <c r="C90" s="196"/>
      <c r="D90" s="196"/>
      <c r="E90" s="183"/>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c r="BV90" s="27"/>
      <c r="BW90" s="27"/>
      <c r="BX90" s="27"/>
      <c r="BY90" s="27"/>
      <c r="BZ90" s="27"/>
      <c r="CA90" s="27"/>
      <c r="CB90" s="27"/>
      <c r="CC90" s="27"/>
      <c r="CD90" s="27"/>
      <c r="CE90" s="27"/>
      <c r="CF90" s="27"/>
      <c r="CG90" s="27"/>
      <c r="CH90" s="27"/>
    </row>
    <row r="91" spans="1:86" x14ac:dyDescent="0.35">
      <c r="A91" s="27"/>
      <c r="B91" s="183"/>
      <c r="C91" s="183"/>
      <c r="D91" s="183"/>
      <c r="E91" s="183"/>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c r="BV91" s="27"/>
      <c r="BW91" s="27"/>
      <c r="BX91" s="27"/>
      <c r="BY91" s="27"/>
      <c r="BZ91" s="27"/>
      <c r="CA91" s="27"/>
      <c r="CB91" s="27"/>
      <c r="CC91" s="27"/>
      <c r="CD91" s="27"/>
      <c r="CE91" s="27"/>
      <c r="CF91" s="27"/>
      <c r="CG91" s="27"/>
      <c r="CH91" s="27"/>
    </row>
    <row r="92" spans="1:86" x14ac:dyDescent="0.35">
      <c r="A92" s="27"/>
      <c r="B92" s="183"/>
      <c r="C92" s="183"/>
      <c r="D92" s="183"/>
      <c r="E92" s="183"/>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c r="BV92" s="27"/>
      <c r="BW92" s="27"/>
      <c r="BX92" s="27"/>
      <c r="BY92" s="27"/>
      <c r="BZ92" s="27"/>
      <c r="CA92" s="27"/>
      <c r="CB92" s="27"/>
      <c r="CC92" s="27"/>
      <c r="CD92" s="27"/>
      <c r="CE92" s="27"/>
      <c r="CF92" s="27"/>
      <c r="CG92" s="27"/>
      <c r="CH92" s="27"/>
    </row>
    <row r="93" spans="1:86" x14ac:dyDescent="0.35">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c r="BV93" s="27"/>
      <c r="BW93" s="27"/>
      <c r="BX93" s="27"/>
      <c r="BY93" s="27"/>
      <c r="BZ93" s="27"/>
      <c r="CA93" s="27"/>
      <c r="CB93" s="27"/>
      <c r="CC93" s="27"/>
      <c r="CD93" s="27"/>
      <c r="CE93" s="27"/>
      <c r="CF93" s="27"/>
      <c r="CG93" s="27"/>
      <c r="CH93" s="27"/>
    </row>
    <row r="94" spans="1:86" x14ac:dyDescent="0.35">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c r="BV94" s="27"/>
      <c r="BW94" s="27"/>
      <c r="BX94" s="27"/>
      <c r="BY94" s="27"/>
      <c r="BZ94" s="27"/>
      <c r="CA94" s="27"/>
      <c r="CB94" s="27"/>
      <c r="CC94" s="27"/>
      <c r="CD94" s="27"/>
      <c r="CE94" s="27"/>
      <c r="CF94" s="27"/>
      <c r="CG94" s="27"/>
      <c r="CH94" s="27"/>
    </row>
    <row r="95" spans="1:86" x14ac:dyDescent="0.35">
      <c r="A95" s="27"/>
      <c r="B95" s="27"/>
      <c r="C95" s="27"/>
      <c r="D95" s="27"/>
      <c r="E95" s="27"/>
      <c r="F95" s="27"/>
      <c r="G95" s="27"/>
      <c r="H95" s="27"/>
      <c r="I95" s="27"/>
      <c r="J95" s="27"/>
      <c r="K95" s="27"/>
      <c r="L95" s="27"/>
      <c r="M95" s="27"/>
      <c r="N95" s="27"/>
      <c r="O95" s="27"/>
      <c r="P95" s="27"/>
      <c r="Q95" s="35"/>
      <c r="R95" s="35"/>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c r="BW95" s="27"/>
      <c r="BX95" s="27"/>
      <c r="BY95" s="27"/>
      <c r="BZ95" s="27"/>
      <c r="CA95" s="27"/>
      <c r="CB95" s="27"/>
      <c r="CC95" s="27"/>
      <c r="CD95" s="27"/>
      <c r="CE95" s="27"/>
      <c r="CF95" s="27"/>
      <c r="CG95" s="27"/>
      <c r="CH95" s="27"/>
    </row>
    <row r="96" spans="1:86" x14ac:dyDescent="0.35">
      <c r="A96" s="27"/>
      <c r="B96" s="27"/>
      <c r="C96" s="27"/>
      <c r="D96" s="27"/>
      <c r="E96" s="27"/>
      <c r="F96" s="27"/>
      <c r="G96" s="27"/>
      <c r="H96" s="27"/>
      <c r="I96" s="27"/>
      <c r="J96" s="27"/>
      <c r="K96" s="27"/>
      <c r="L96" s="27"/>
      <c r="M96" s="27"/>
      <c r="N96" s="27"/>
      <c r="O96" s="27"/>
      <c r="P96" s="27"/>
      <c r="Q96" s="35"/>
      <c r="R96" s="35"/>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c r="BV96" s="27"/>
      <c r="BW96" s="27"/>
      <c r="BX96" s="27"/>
      <c r="BY96" s="27"/>
      <c r="BZ96" s="27"/>
      <c r="CA96" s="27"/>
      <c r="CB96" s="27"/>
      <c r="CC96" s="27"/>
      <c r="CD96" s="27"/>
      <c r="CE96" s="27"/>
      <c r="CF96" s="27"/>
      <c r="CG96" s="27"/>
      <c r="CH96" s="27"/>
    </row>
    <row r="97" spans="1:86" x14ac:dyDescent="0.35">
      <c r="A97" s="27"/>
      <c r="B97" s="27"/>
      <c r="C97" s="27"/>
      <c r="D97" s="27"/>
      <c r="E97" s="27"/>
      <c r="F97" s="27"/>
      <c r="G97" s="27"/>
      <c r="H97" s="27"/>
      <c r="I97" s="27"/>
      <c r="J97" s="27"/>
      <c r="K97" s="27"/>
      <c r="L97" s="27"/>
      <c r="M97" s="27"/>
      <c r="N97" s="27"/>
      <c r="O97" s="27"/>
      <c r="P97" s="27"/>
      <c r="Q97" s="35"/>
      <c r="R97" s="35"/>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c r="BV97" s="27"/>
      <c r="BW97" s="27"/>
      <c r="BX97" s="27"/>
      <c r="BY97" s="27"/>
      <c r="BZ97" s="27"/>
      <c r="CA97" s="27"/>
      <c r="CB97" s="27"/>
      <c r="CC97" s="27"/>
      <c r="CD97" s="27"/>
      <c r="CE97" s="27"/>
      <c r="CF97" s="27"/>
      <c r="CG97" s="27"/>
      <c r="CH97" s="27"/>
    </row>
    <row r="98" spans="1:86" x14ac:dyDescent="0.35">
      <c r="A98" s="27"/>
      <c r="B98" s="27"/>
      <c r="C98" s="27"/>
      <c r="D98" s="27"/>
      <c r="E98" s="27"/>
      <c r="F98" s="27"/>
      <c r="G98" s="27"/>
      <c r="H98" s="27"/>
      <c r="I98" s="27"/>
      <c r="J98" s="27"/>
      <c r="K98" s="27"/>
      <c r="L98" s="27"/>
      <c r="M98" s="27"/>
      <c r="N98" s="27"/>
      <c r="O98" s="27"/>
      <c r="P98" s="27"/>
      <c r="Q98" s="35"/>
      <c r="R98" s="35"/>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c r="BV98" s="27"/>
      <c r="BW98" s="27"/>
      <c r="BX98" s="27"/>
      <c r="BY98" s="27"/>
      <c r="BZ98" s="27"/>
      <c r="CA98" s="27"/>
      <c r="CB98" s="27"/>
      <c r="CC98" s="27"/>
      <c r="CD98" s="27"/>
      <c r="CE98" s="27"/>
      <c r="CF98" s="27"/>
      <c r="CG98" s="27"/>
      <c r="CH98" s="27"/>
    </row>
    <row r="99" spans="1:86" x14ac:dyDescent="0.35">
      <c r="A99" s="27"/>
      <c r="B99" s="27"/>
      <c r="C99" s="27"/>
      <c r="D99" s="27"/>
      <c r="E99" s="27"/>
      <c r="F99" s="27"/>
      <c r="G99" s="27"/>
      <c r="H99" s="27"/>
      <c r="I99" s="27"/>
      <c r="J99" s="27"/>
      <c r="K99" s="27"/>
      <c r="L99" s="27"/>
      <c r="M99" s="27"/>
      <c r="N99" s="27"/>
      <c r="O99" s="27"/>
      <c r="P99" s="27"/>
      <c r="Q99" s="35"/>
      <c r="R99" s="35"/>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c r="BV99" s="27"/>
      <c r="BW99" s="27"/>
      <c r="BX99" s="27"/>
      <c r="BY99" s="27"/>
      <c r="BZ99" s="27"/>
      <c r="CA99" s="27"/>
      <c r="CB99" s="27"/>
      <c r="CC99" s="27"/>
      <c r="CD99" s="27"/>
      <c r="CE99" s="27"/>
      <c r="CF99" s="27"/>
      <c r="CG99" s="27"/>
      <c r="CH99" s="27"/>
    </row>
    <row r="100" spans="1:86" x14ac:dyDescent="0.35">
      <c r="A100" s="27"/>
      <c r="B100" s="27"/>
      <c r="C100" s="27"/>
      <c r="D100" s="27"/>
      <c r="E100" s="27"/>
      <c r="F100" s="27"/>
      <c r="G100" s="27"/>
      <c r="H100" s="27"/>
      <c r="I100" s="27"/>
      <c r="J100" s="27"/>
      <c r="K100" s="27"/>
      <c r="L100" s="27"/>
      <c r="M100" s="27"/>
      <c r="N100" s="27"/>
      <c r="O100" s="27"/>
      <c r="P100" s="27"/>
      <c r="Q100" s="35"/>
      <c r="R100" s="35"/>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c r="BV100" s="27"/>
      <c r="BW100" s="27"/>
      <c r="BX100" s="27"/>
      <c r="BY100" s="27"/>
      <c r="BZ100" s="27"/>
      <c r="CA100" s="27"/>
      <c r="CB100" s="27"/>
      <c r="CC100" s="27"/>
      <c r="CD100" s="27"/>
      <c r="CE100" s="27"/>
      <c r="CF100" s="27"/>
      <c r="CG100" s="27"/>
      <c r="CH100" s="27"/>
    </row>
    <row r="101" spans="1:86" x14ac:dyDescent="0.35">
      <c r="A101" s="27"/>
      <c r="B101" s="27"/>
      <c r="C101" s="27"/>
      <c r="D101" s="27"/>
      <c r="E101" s="27"/>
      <c r="F101" s="27"/>
      <c r="G101" s="27"/>
      <c r="H101" s="27"/>
      <c r="I101" s="27"/>
      <c r="J101" s="27"/>
      <c r="K101" s="27"/>
      <c r="L101" s="27"/>
      <c r="M101" s="27"/>
      <c r="N101" s="27"/>
      <c r="O101" s="27"/>
      <c r="P101" s="27"/>
      <c r="Q101" s="35"/>
      <c r="R101" s="35"/>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c r="BV101" s="27"/>
      <c r="BW101" s="27"/>
      <c r="BX101" s="27"/>
      <c r="BY101" s="27"/>
      <c r="BZ101" s="27"/>
      <c r="CA101" s="27"/>
      <c r="CB101" s="27"/>
      <c r="CC101" s="27"/>
      <c r="CD101" s="27"/>
      <c r="CE101" s="27"/>
      <c r="CF101" s="27"/>
      <c r="CG101" s="27"/>
      <c r="CH101" s="27"/>
    </row>
    <row r="102" spans="1:86" x14ac:dyDescent="0.35">
      <c r="A102" s="27"/>
      <c r="B102" s="27"/>
      <c r="C102" s="27"/>
      <c r="D102" s="27"/>
      <c r="E102" s="27"/>
      <c r="F102" s="27"/>
      <c r="G102" s="27"/>
      <c r="H102" s="27"/>
      <c r="I102" s="27"/>
      <c r="J102" s="27"/>
      <c r="K102" s="27"/>
      <c r="L102" s="27"/>
      <c r="M102" s="27"/>
      <c r="N102" s="27"/>
      <c r="O102" s="27"/>
      <c r="P102" s="27"/>
      <c r="Q102" s="35"/>
      <c r="R102" s="35"/>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c r="BV102" s="27"/>
      <c r="BW102" s="27"/>
      <c r="BX102" s="27"/>
      <c r="BY102" s="27"/>
      <c r="BZ102" s="27"/>
      <c r="CA102" s="27"/>
      <c r="CB102" s="27"/>
      <c r="CC102" s="27"/>
      <c r="CD102" s="27"/>
      <c r="CE102" s="27"/>
      <c r="CF102" s="27"/>
      <c r="CG102" s="27"/>
      <c r="CH102" s="27"/>
    </row>
    <row r="103" spans="1:86" x14ac:dyDescent="0.35">
      <c r="A103" s="27"/>
      <c r="B103" s="27"/>
      <c r="C103" s="27"/>
      <c r="D103" s="27"/>
      <c r="E103" s="27"/>
      <c r="F103" s="27"/>
      <c r="G103" s="27"/>
      <c r="H103" s="27"/>
      <c r="I103" s="27"/>
      <c r="J103" s="27"/>
      <c r="K103" s="27"/>
      <c r="L103" s="27"/>
      <c r="M103" s="27"/>
      <c r="N103" s="27"/>
      <c r="O103" s="27"/>
      <c r="P103" s="27"/>
      <c r="Q103" s="35"/>
      <c r="R103" s="35"/>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27"/>
      <c r="CC103" s="27"/>
      <c r="CD103" s="27"/>
      <c r="CE103" s="27"/>
      <c r="CF103" s="27"/>
      <c r="CG103" s="27"/>
      <c r="CH103" s="27"/>
    </row>
    <row r="104" spans="1:86" x14ac:dyDescent="0.35">
      <c r="A104" s="27"/>
      <c r="B104" s="27"/>
      <c r="C104" s="27"/>
      <c r="D104" s="27"/>
      <c r="E104" s="27"/>
      <c r="F104" s="27"/>
      <c r="G104" s="27"/>
      <c r="H104" s="27"/>
      <c r="I104" s="27"/>
      <c r="J104" s="27"/>
      <c r="K104" s="27"/>
      <c r="L104" s="27"/>
      <c r="M104" s="27"/>
      <c r="N104" s="27"/>
      <c r="O104" s="27"/>
      <c r="P104" s="27"/>
      <c r="Q104" s="35"/>
      <c r="R104" s="35"/>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c r="BG104" s="27"/>
      <c r="BH104" s="27"/>
      <c r="BI104" s="27"/>
      <c r="BJ104" s="27"/>
      <c r="BK104" s="27"/>
      <c r="BL104" s="27"/>
      <c r="BM104" s="27"/>
      <c r="BN104" s="27"/>
      <c r="BO104" s="27"/>
      <c r="BP104" s="27"/>
      <c r="BQ104" s="27"/>
      <c r="BR104" s="27"/>
      <c r="BS104" s="27"/>
      <c r="BT104" s="27"/>
      <c r="BU104" s="27"/>
      <c r="BV104" s="27"/>
      <c r="BW104" s="27"/>
      <c r="BX104" s="27"/>
      <c r="BY104" s="27"/>
      <c r="BZ104" s="27"/>
      <c r="CA104" s="27"/>
      <c r="CB104" s="27"/>
      <c r="CC104" s="27"/>
      <c r="CD104" s="27"/>
      <c r="CE104" s="27"/>
      <c r="CF104" s="27"/>
      <c r="CG104" s="27"/>
      <c r="CH104" s="27"/>
    </row>
    <row r="105" spans="1:86" x14ac:dyDescent="0.35">
      <c r="A105" s="27"/>
      <c r="B105" s="27"/>
      <c r="C105" s="27"/>
      <c r="D105" s="27"/>
      <c r="E105" s="27"/>
      <c r="F105" s="27"/>
      <c r="G105" s="27"/>
      <c r="H105" s="27"/>
      <c r="I105" s="27"/>
      <c r="J105" s="27"/>
      <c r="K105" s="27"/>
      <c r="L105" s="27"/>
      <c r="M105" s="27"/>
      <c r="N105" s="27"/>
      <c r="O105" s="27"/>
      <c r="P105" s="27"/>
      <c r="Q105" s="35"/>
      <c r="R105" s="35"/>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c r="BV105" s="27"/>
      <c r="BW105" s="27"/>
      <c r="BX105" s="27"/>
      <c r="BY105" s="27"/>
      <c r="BZ105" s="27"/>
      <c r="CA105" s="27"/>
      <c r="CB105" s="27"/>
      <c r="CC105" s="27"/>
      <c r="CD105" s="27"/>
      <c r="CE105" s="27"/>
      <c r="CF105" s="27"/>
      <c r="CG105" s="27"/>
      <c r="CH105" s="27"/>
    </row>
    <row r="106" spans="1:86" x14ac:dyDescent="0.35">
      <c r="A106" s="27"/>
      <c r="B106" s="27"/>
      <c r="C106" s="27"/>
      <c r="D106" s="27"/>
      <c r="E106" s="27"/>
      <c r="F106" s="27"/>
      <c r="G106" s="27"/>
      <c r="H106" s="27"/>
      <c r="I106" s="27"/>
      <c r="J106" s="27"/>
      <c r="K106" s="27"/>
      <c r="L106" s="27"/>
      <c r="M106" s="27"/>
      <c r="N106" s="27"/>
      <c r="O106" s="27"/>
      <c r="P106" s="27"/>
      <c r="Q106" s="35"/>
      <c r="R106" s="35"/>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c r="BV106" s="27"/>
      <c r="BW106" s="27"/>
      <c r="BX106" s="27"/>
      <c r="BY106" s="27"/>
      <c r="BZ106" s="27"/>
      <c r="CA106" s="27"/>
      <c r="CB106" s="27"/>
      <c r="CC106" s="27"/>
      <c r="CD106" s="27"/>
      <c r="CE106" s="27"/>
      <c r="CF106" s="27"/>
      <c r="CG106" s="27"/>
      <c r="CH106" s="27"/>
    </row>
    <row r="107" spans="1:86" x14ac:dyDescent="0.35">
      <c r="A107" s="27"/>
      <c r="B107" s="27"/>
      <c r="C107" s="27"/>
      <c r="D107" s="27"/>
      <c r="E107" s="27"/>
      <c r="F107" s="27"/>
      <c r="G107" s="27"/>
      <c r="H107" s="27"/>
      <c r="I107" s="27"/>
      <c r="J107" s="27"/>
      <c r="K107" s="27"/>
      <c r="L107" s="27"/>
      <c r="M107" s="27"/>
      <c r="N107" s="27"/>
      <c r="O107" s="27"/>
      <c r="P107" s="27"/>
      <c r="Q107" s="35"/>
      <c r="R107" s="35"/>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c r="BV107" s="27"/>
      <c r="BW107" s="27"/>
      <c r="BX107" s="27"/>
      <c r="BY107" s="27"/>
      <c r="BZ107" s="27"/>
      <c r="CA107" s="27"/>
      <c r="CB107" s="27"/>
      <c r="CC107" s="27"/>
      <c r="CD107" s="27"/>
      <c r="CE107" s="27"/>
      <c r="CF107" s="27"/>
      <c r="CG107" s="27"/>
      <c r="CH107" s="27"/>
    </row>
    <row r="108" spans="1:86" x14ac:dyDescent="0.35">
      <c r="A108" s="27"/>
      <c r="B108" s="27"/>
      <c r="C108" s="27"/>
      <c r="D108" s="27"/>
      <c r="E108" s="27"/>
      <c r="F108" s="27"/>
      <c r="G108" s="27"/>
      <c r="H108" s="27"/>
      <c r="I108" s="27"/>
      <c r="J108" s="27"/>
      <c r="K108" s="27"/>
      <c r="L108" s="27"/>
      <c r="M108" s="27"/>
      <c r="N108" s="27"/>
      <c r="O108" s="27"/>
      <c r="P108" s="27"/>
      <c r="Q108" s="35"/>
      <c r="R108" s="35"/>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c r="BP108" s="27"/>
      <c r="BQ108" s="27"/>
      <c r="BR108" s="27"/>
      <c r="BS108" s="27"/>
      <c r="BT108" s="27"/>
      <c r="BU108" s="27"/>
      <c r="BV108" s="27"/>
      <c r="BW108" s="27"/>
      <c r="BX108" s="27"/>
      <c r="BY108" s="27"/>
      <c r="BZ108" s="27"/>
      <c r="CA108" s="27"/>
      <c r="CB108" s="27"/>
      <c r="CC108" s="27"/>
      <c r="CD108" s="27"/>
      <c r="CE108" s="27"/>
      <c r="CF108" s="27"/>
      <c r="CG108" s="27"/>
      <c r="CH108" s="27"/>
    </row>
    <row r="109" spans="1:86" x14ac:dyDescent="0.35">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c r="BE109" s="27"/>
      <c r="BF109" s="27"/>
      <c r="BG109" s="27"/>
      <c r="BH109" s="27"/>
      <c r="BI109" s="27"/>
      <c r="BJ109" s="27"/>
      <c r="BK109" s="27"/>
      <c r="BL109" s="27"/>
      <c r="BM109" s="27"/>
      <c r="BN109" s="27"/>
      <c r="BO109" s="27"/>
      <c r="BP109" s="27"/>
      <c r="BQ109" s="27"/>
      <c r="BR109" s="27"/>
      <c r="BS109" s="27"/>
      <c r="BT109" s="27"/>
      <c r="BU109" s="27"/>
      <c r="BV109" s="27"/>
      <c r="BW109" s="27"/>
      <c r="BX109" s="27"/>
      <c r="BY109" s="27"/>
      <c r="BZ109" s="27"/>
      <c r="CA109" s="27"/>
      <c r="CB109" s="27"/>
      <c r="CC109" s="27"/>
      <c r="CD109" s="27"/>
      <c r="CE109" s="27"/>
      <c r="CF109" s="27"/>
      <c r="CG109" s="27"/>
      <c r="CH109" s="27"/>
    </row>
    <row r="110" spans="1:86" x14ac:dyDescent="0.35">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c r="BP110" s="27"/>
      <c r="BQ110" s="27"/>
      <c r="BR110" s="27"/>
      <c r="BS110" s="27"/>
      <c r="BT110" s="27"/>
      <c r="BU110" s="27"/>
      <c r="BV110" s="27"/>
      <c r="BW110" s="27"/>
      <c r="BX110" s="27"/>
      <c r="BY110" s="27"/>
      <c r="BZ110" s="27"/>
      <c r="CA110" s="27"/>
      <c r="CB110" s="27"/>
      <c r="CC110" s="27"/>
      <c r="CD110" s="27"/>
      <c r="CE110" s="27"/>
      <c r="CF110" s="27"/>
      <c r="CG110" s="27"/>
      <c r="CH110" s="27"/>
    </row>
    <row r="111" spans="1:86" x14ac:dyDescent="0.35">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c r="BE111" s="27"/>
      <c r="BF111" s="27"/>
      <c r="BG111" s="27"/>
      <c r="BH111" s="27"/>
      <c r="BI111" s="27"/>
      <c r="BJ111" s="27"/>
      <c r="BK111" s="27"/>
      <c r="BL111" s="27"/>
      <c r="BM111" s="27"/>
      <c r="BN111" s="27"/>
      <c r="BO111" s="27"/>
      <c r="BP111" s="27"/>
      <c r="BQ111" s="27"/>
      <c r="BR111" s="27"/>
      <c r="BS111" s="27"/>
      <c r="BT111" s="27"/>
      <c r="BU111" s="27"/>
      <c r="BV111" s="27"/>
      <c r="BW111" s="27"/>
      <c r="BX111" s="27"/>
      <c r="BY111" s="27"/>
      <c r="BZ111" s="27"/>
      <c r="CA111" s="27"/>
      <c r="CB111" s="27"/>
      <c r="CC111" s="27"/>
      <c r="CD111" s="27"/>
      <c r="CE111" s="27"/>
      <c r="CF111" s="27"/>
      <c r="CG111" s="27"/>
      <c r="CH111" s="27"/>
    </row>
    <row r="112" spans="1:86" x14ac:dyDescent="0.35">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c r="BE112" s="27"/>
      <c r="BF112" s="27"/>
      <c r="BG112" s="27"/>
      <c r="BH112" s="27"/>
      <c r="BI112" s="27"/>
      <c r="BJ112" s="27"/>
      <c r="BK112" s="27"/>
      <c r="BL112" s="27"/>
      <c r="BM112" s="27"/>
      <c r="BN112" s="27"/>
      <c r="BO112" s="27"/>
      <c r="BP112" s="27"/>
      <c r="BQ112" s="27"/>
      <c r="BR112" s="27"/>
      <c r="BS112" s="27"/>
      <c r="BT112" s="27"/>
      <c r="BU112" s="27"/>
      <c r="BV112" s="27"/>
      <c r="BW112" s="27"/>
      <c r="BX112" s="27"/>
      <c r="BY112" s="27"/>
      <c r="BZ112" s="27"/>
      <c r="CA112" s="27"/>
      <c r="CB112" s="27"/>
      <c r="CC112" s="27"/>
      <c r="CD112" s="27"/>
      <c r="CE112" s="27"/>
      <c r="CF112" s="27"/>
      <c r="CG112" s="27"/>
      <c r="CH112" s="27"/>
    </row>
    <row r="113" spans="1:86" x14ac:dyDescent="0.35">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c r="BE113" s="27"/>
      <c r="BF113" s="27"/>
      <c r="BG113" s="27"/>
      <c r="BH113" s="27"/>
      <c r="BI113" s="27"/>
      <c r="BJ113" s="27"/>
      <c r="BK113" s="27"/>
      <c r="BL113" s="27"/>
      <c r="BM113" s="27"/>
      <c r="BN113" s="27"/>
      <c r="BO113" s="27"/>
      <c r="BP113" s="27"/>
      <c r="BQ113" s="27"/>
      <c r="BR113" s="27"/>
      <c r="BS113" s="27"/>
      <c r="BT113" s="27"/>
      <c r="BU113" s="27"/>
      <c r="BV113" s="27"/>
      <c r="BW113" s="27"/>
      <c r="BX113" s="27"/>
      <c r="BY113" s="27"/>
      <c r="BZ113" s="27"/>
      <c r="CA113" s="27"/>
      <c r="CB113" s="27"/>
      <c r="CC113" s="27"/>
      <c r="CD113" s="27"/>
      <c r="CE113" s="27"/>
      <c r="CF113" s="27"/>
      <c r="CG113" s="27"/>
      <c r="CH113" s="27"/>
    </row>
    <row r="114" spans="1:86" x14ac:dyDescent="0.35">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c r="BC114" s="27"/>
      <c r="BD114" s="27"/>
      <c r="BE114" s="27"/>
      <c r="BF114" s="27"/>
      <c r="BG114" s="27"/>
      <c r="BH114" s="27"/>
      <c r="BI114" s="27"/>
      <c r="BJ114" s="27"/>
      <c r="BK114" s="27"/>
      <c r="BL114" s="27"/>
      <c r="BM114" s="27"/>
      <c r="BN114" s="27"/>
      <c r="BO114" s="27"/>
      <c r="BP114" s="27"/>
      <c r="BQ114" s="27"/>
      <c r="BR114" s="27"/>
      <c r="BS114" s="27"/>
      <c r="BT114" s="27"/>
      <c r="BU114" s="27"/>
      <c r="BV114" s="27"/>
      <c r="BW114" s="27"/>
      <c r="BX114" s="27"/>
      <c r="BY114" s="27"/>
      <c r="BZ114" s="27"/>
      <c r="CA114" s="27"/>
      <c r="CB114" s="27"/>
      <c r="CC114" s="27"/>
      <c r="CD114" s="27"/>
      <c r="CE114" s="27"/>
      <c r="CF114" s="27"/>
      <c r="CG114" s="27"/>
      <c r="CH114" s="27"/>
    </row>
    <row r="115" spans="1:86" x14ac:dyDescent="0.3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c r="BE115" s="27"/>
      <c r="BF115" s="27"/>
      <c r="BG115" s="27"/>
      <c r="BH115" s="27"/>
      <c r="BI115" s="27"/>
      <c r="BJ115" s="27"/>
      <c r="BK115" s="27"/>
      <c r="BL115" s="27"/>
      <c r="BM115" s="27"/>
      <c r="BN115" s="27"/>
      <c r="BO115" s="27"/>
      <c r="BP115" s="27"/>
      <c r="BQ115" s="27"/>
      <c r="BR115" s="27"/>
      <c r="BS115" s="27"/>
      <c r="BT115" s="27"/>
      <c r="BU115" s="27"/>
      <c r="BV115" s="27"/>
      <c r="BW115" s="27"/>
      <c r="BX115" s="27"/>
      <c r="BY115" s="27"/>
      <c r="BZ115" s="27"/>
      <c r="CA115" s="27"/>
      <c r="CB115" s="27"/>
      <c r="CC115" s="27"/>
      <c r="CD115" s="27"/>
      <c r="CE115" s="27"/>
      <c r="CF115" s="27"/>
      <c r="CG115" s="27"/>
      <c r="CH115" s="27"/>
    </row>
    <row r="116" spans="1:86" x14ac:dyDescent="0.35">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c r="BD116" s="27"/>
      <c r="BE116" s="27"/>
      <c r="BF116" s="27"/>
      <c r="BG116" s="27"/>
      <c r="BH116" s="27"/>
      <c r="BI116" s="27"/>
      <c r="BJ116" s="27"/>
      <c r="BK116" s="27"/>
      <c r="BL116" s="27"/>
      <c r="BM116" s="27"/>
      <c r="BN116" s="27"/>
      <c r="BO116" s="27"/>
      <c r="BP116" s="27"/>
      <c r="BQ116" s="27"/>
      <c r="BR116" s="27"/>
      <c r="BS116" s="27"/>
      <c r="BT116" s="27"/>
      <c r="BU116" s="27"/>
      <c r="BV116" s="27"/>
      <c r="BW116" s="27"/>
      <c r="BX116" s="27"/>
      <c r="BY116" s="27"/>
      <c r="BZ116" s="27"/>
      <c r="CA116" s="27"/>
      <c r="CB116" s="27"/>
      <c r="CC116" s="27"/>
      <c r="CD116" s="27"/>
      <c r="CE116" s="27"/>
      <c r="CF116" s="27"/>
      <c r="CG116" s="27"/>
      <c r="CH116" s="27"/>
    </row>
    <row r="117" spans="1:86" x14ac:dyDescent="0.35">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c r="BE117" s="27"/>
      <c r="BF117" s="27"/>
      <c r="BG117" s="27"/>
      <c r="BH117" s="27"/>
      <c r="BI117" s="27"/>
      <c r="BJ117" s="27"/>
      <c r="BK117" s="27"/>
      <c r="BL117" s="27"/>
      <c r="BM117" s="27"/>
      <c r="BN117" s="27"/>
      <c r="BO117" s="27"/>
      <c r="BP117" s="27"/>
      <c r="BQ117" s="27"/>
      <c r="BR117" s="27"/>
      <c r="BS117" s="27"/>
      <c r="BT117" s="27"/>
      <c r="BU117" s="27"/>
      <c r="BV117" s="27"/>
      <c r="BW117" s="27"/>
      <c r="BX117" s="27"/>
      <c r="BY117" s="27"/>
      <c r="BZ117" s="27"/>
      <c r="CA117" s="27"/>
      <c r="CB117" s="27"/>
      <c r="CC117" s="27"/>
      <c r="CD117" s="27"/>
      <c r="CE117" s="27"/>
      <c r="CF117" s="27"/>
      <c r="CG117" s="27"/>
      <c r="CH117" s="27"/>
    </row>
    <row r="118" spans="1:86" x14ac:dyDescent="0.35">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c r="BE118" s="27"/>
      <c r="BF118" s="27"/>
      <c r="BG118" s="27"/>
      <c r="BH118" s="27"/>
      <c r="BI118" s="27"/>
      <c r="BJ118" s="27"/>
      <c r="BK118" s="27"/>
      <c r="BL118" s="27"/>
      <c r="BM118" s="27"/>
      <c r="BN118" s="27"/>
      <c r="BO118" s="27"/>
      <c r="BP118" s="27"/>
      <c r="BQ118" s="27"/>
      <c r="BR118" s="27"/>
      <c r="BS118" s="27"/>
      <c r="BT118" s="27"/>
      <c r="BU118" s="27"/>
      <c r="BV118" s="27"/>
      <c r="BW118" s="27"/>
      <c r="BX118" s="27"/>
      <c r="BY118" s="27"/>
      <c r="BZ118" s="27"/>
      <c r="CA118" s="27"/>
      <c r="CB118" s="27"/>
      <c r="CC118" s="27"/>
      <c r="CD118" s="27"/>
      <c r="CE118" s="27"/>
      <c r="CF118" s="27"/>
      <c r="CG118" s="27"/>
      <c r="CH118" s="27"/>
    </row>
    <row r="119" spans="1:86" x14ac:dyDescent="0.35">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c r="BE119" s="27"/>
      <c r="BF119" s="27"/>
      <c r="BG119" s="27"/>
      <c r="BH119" s="27"/>
      <c r="BI119" s="27"/>
      <c r="BJ119" s="27"/>
      <c r="BK119" s="27"/>
      <c r="BL119" s="27"/>
      <c r="BM119" s="27"/>
      <c r="BN119" s="27"/>
      <c r="BO119" s="27"/>
      <c r="BP119" s="27"/>
      <c r="BQ119" s="27"/>
      <c r="BR119" s="27"/>
      <c r="BS119" s="27"/>
      <c r="BT119" s="27"/>
      <c r="BU119" s="27"/>
      <c r="BV119" s="27"/>
      <c r="BW119" s="27"/>
      <c r="BX119" s="27"/>
      <c r="BY119" s="27"/>
      <c r="BZ119" s="27"/>
      <c r="CA119" s="27"/>
      <c r="CB119" s="27"/>
      <c r="CC119" s="27"/>
      <c r="CD119" s="27"/>
      <c r="CE119" s="27"/>
      <c r="CF119" s="27"/>
      <c r="CG119" s="27"/>
      <c r="CH119" s="27"/>
    </row>
    <row r="120" spans="1:86" x14ac:dyDescent="0.35">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c r="BE120" s="27"/>
      <c r="BF120" s="27"/>
      <c r="BG120" s="27"/>
      <c r="BH120" s="27"/>
      <c r="BI120" s="27"/>
      <c r="BJ120" s="27"/>
      <c r="BK120" s="27"/>
      <c r="BL120" s="27"/>
      <c r="BM120" s="27"/>
      <c r="BN120" s="27"/>
      <c r="BO120" s="27"/>
      <c r="BP120" s="27"/>
      <c r="BQ120" s="27"/>
      <c r="BR120" s="27"/>
      <c r="BS120" s="27"/>
      <c r="BT120" s="27"/>
      <c r="BU120" s="27"/>
      <c r="BV120" s="27"/>
      <c r="BW120" s="27"/>
      <c r="BX120" s="27"/>
      <c r="BY120" s="27"/>
      <c r="BZ120" s="27"/>
      <c r="CA120" s="27"/>
      <c r="CB120" s="27"/>
      <c r="CC120" s="27"/>
      <c r="CD120" s="27"/>
      <c r="CE120" s="27"/>
      <c r="CF120" s="27"/>
      <c r="CG120" s="27"/>
      <c r="CH120" s="27"/>
    </row>
    <row r="121" spans="1:86" x14ac:dyDescent="0.35">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c r="BC121" s="27"/>
      <c r="BD121" s="27"/>
      <c r="BE121" s="27"/>
      <c r="BF121" s="27"/>
      <c r="BG121" s="27"/>
      <c r="BH121" s="27"/>
      <c r="BI121" s="27"/>
      <c r="BJ121" s="27"/>
      <c r="BK121" s="27"/>
      <c r="BL121" s="27"/>
      <c r="BM121" s="27"/>
      <c r="BN121" s="27"/>
      <c r="BO121" s="27"/>
      <c r="BP121" s="27"/>
      <c r="BQ121" s="27"/>
      <c r="BR121" s="27"/>
      <c r="BS121" s="27"/>
      <c r="BT121" s="27"/>
      <c r="BU121" s="27"/>
      <c r="BV121" s="27"/>
      <c r="BW121" s="27"/>
      <c r="BX121" s="27"/>
      <c r="BY121" s="27"/>
      <c r="BZ121" s="27"/>
      <c r="CA121" s="27"/>
      <c r="CB121" s="27"/>
      <c r="CC121" s="27"/>
      <c r="CD121" s="27"/>
      <c r="CE121" s="27"/>
      <c r="CF121" s="27"/>
      <c r="CG121" s="27"/>
      <c r="CH121" s="27"/>
    </row>
    <row r="122" spans="1:86" x14ac:dyDescent="0.35">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c r="BE122" s="27"/>
      <c r="BF122" s="27"/>
      <c r="BG122" s="27"/>
      <c r="BH122" s="27"/>
      <c r="BI122" s="27"/>
      <c r="BJ122" s="27"/>
      <c r="BK122" s="27"/>
      <c r="BL122" s="27"/>
      <c r="BM122" s="27"/>
      <c r="BN122" s="27"/>
      <c r="BO122" s="27"/>
      <c r="BP122" s="27"/>
      <c r="BQ122" s="27"/>
      <c r="BR122" s="27"/>
      <c r="BS122" s="27"/>
      <c r="BT122" s="27"/>
      <c r="BU122" s="27"/>
      <c r="BV122" s="27"/>
      <c r="BW122" s="27"/>
      <c r="BX122" s="27"/>
      <c r="BY122" s="27"/>
      <c r="BZ122" s="27"/>
      <c r="CA122" s="27"/>
      <c r="CB122" s="27"/>
      <c r="CC122" s="27"/>
      <c r="CD122" s="27"/>
      <c r="CE122" s="27"/>
      <c r="CF122" s="27"/>
      <c r="CG122" s="27"/>
      <c r="CH122" s="27"/>
    </row>
    <row r="123" spans="1:86" x14ac:dyDescent="0.35">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c r="BG123" s="27"/>
      <c r="BH123" s="27"/>
      <c r="BI123" s="27"/>
      <c r="BJ123" s="27"/>
      <c r="BK123" s="27"/>
      <c r="BL123" s="27"/>
      <c r="BM123" s="27"/>
      <c r="BN123" s="27"/>
      <c r="BO123" s="27"/>
      <c r="BP123" s="27"/>
      <c r="BQ123" s="27"/>
      <c r="BR123" s="27"/>
      <c r="BS123" s="27"/>
      <c r="BT123" s="27"/>
      <c r="BU123" s="27"/>
      <c r="BV123" s="27"/>
      <c r="BW123" s="27"/>
      <c r="BX123" s="27"/>
      <c r="BY123" s="27"/>
      <c r="BZ123" s="27"/>
      <c r="CA123" s="27"/>
      <c r="CB123" s="27"/>
      <c r="CC123" s="27"/>
      <c r="CD123" s="27"/>
      <c r="CE123" s="27"/>
      <c r="CF123" s="27"/>
      <c r="CG123" s="27"/>
      <c r="CH123" s="27"/>
    </row>
    <row r="124" spans="1:86" x14ac:dyDescent="0.35">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c r="BE124" s="27"/>
      <c r="BF124" s="27"/>
      <c r="BG124" s="27"/>
      <c r="BH124" s="27"/>
      <c r="BI124" s="27"/>
      <c r="BJ124" s="27"/>
      <c r="BK124" s="27"/>
      <c r="BL124" s="27"/>
      <c r="BM124" s="27"/>
      <c r="BN124" s="27"/>
      <c r="BO124" s="27"/>
      <c r="BP124" s="27"/>
      <c r="BQ124" s="27"/>
      <c r="BR124" s="27"/>
      <c r="BS124" s="27"/>
      <c r="BT124" s="27"/>
      <c r="BU124" s="27"/>
      <c r="BV124" s="27"/>
      <c r="BW124" s="27"/>
      <c r="BX124" s="27"/>
      <c r="BY124" s="27"/>
      <c r="BZ124" s="27"/>
      <c r="CA124" s="27"/>
      <c r="CB124" s="27"/>
      <c r="CC124" s="27"/>
      <c r="CD124" s="27"/>
      <c r="CE124" s="27"/>
      <c r="CF124" s="27"/>
      <c r="CG124" s="27"/>
      <c r="CH124" s="27"/>
    </row>
    <row r="125" spans="1:86" x14ac:dyDescent="0.3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c r="BE125" s="27"/>
      <c r="BF125" s="27"/>
      <c r="BG125" s="27"/>
      <c r="BH125" s="27"/>
      <c r="BI125" s="27"/>
      <c r="BJ125" s="27"/>
      <c r="BK125" s="27"/>
      <c r="BL125" s="27"/>
      <c r="BM125" s="27"/>
      <c r="BN125" s="27"/>
      <c r="BO125" s="27"/>
      <c r="BP125" s="27"/>
      <c r="BQ125" s="27"/>
      <c r="BR125" s="27"/>
      <c r="BS125" s="27"/>
      <c r="BT125" s="27"/>
      <c r="BU125" s="27"/>
      <c r="BV125" s="27"/>
      <c r="BW125" s="27"/>
      <c r="BX125" s="27"/>
      <c r="BY125" s="27"/>
      <c r="BZ125" s="27"/>
      <c r="CA125" s="27"/>
      <c r="CB125" s="27"/>
      <c r="CC125" s="27"/>
      <c r="CD125" s="27"/>
      <c r="CE125" s="27"/>
      <c r="CF125" s="27"/>
      <c r="CG125" s="27"/>
      <c r="CH125" s="27"/>
    </row>
    <row r="126" spans="1:86" x14ac:dyDescent="0.35">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c r="BE126" s="27"/>
      <c r="BF126" s="27"/>
      <c r="BG126" s="27"/>
      <c r="BH126" s="27"/>
      <c r="BI126" s="27"/>
      <c r="BJ126" s="27"/>
      <c r="BK126" s="27"/>
      <c r="BL126" s="27"/>
      <c r="BM126" s="27"/>
      <c r="BN126" s="27"/>
      <c r="BO126" s="27"/>
      <c r="BP126" s="27"/>
      <c r="BQ126" s="27"/>
      <c r="BR126" s="27"/>
      <c r="BS126" s="27"/>
      <c r="BT126" s="27"/>
      <c r="BU126" s="27"/>
      <c r="BV126" s="27"/>
      <c r="BW126" s="27"/>
      <c r="BX126" s="27"/>
      <c r="BY126" s="27"/>
      <c r="BZ126" s="27"/>
      <c r="CA126" s="27"/>
      <c r="CB126" s="27"/>
      <c r="CC126" s="27"/>
      <c r="CD126" s="27"/>
      <c r="CE126" s="27"/>
      <c r="CF126" s="27"/>
      <c r="CG126" s="27"/>
      <c r="CH126" s="27"/>
    </row>
    <row r="127" spans="1:86" x14ac:dyDescent="0.35">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c r="BE127" s="27"/>
      <c r="BF127" s="27"/>
      <c r="BG127" s="27"/>
      <c r="BH127" s="27"/>
      <c r="BI127" s="27"/>
      <c r="BJ127" s="27"/>
      <c r="BK127" s="27"/>
      <c r="BL127" s="27"/>
      <c r="BM127" s="27"/>
      <c r="BN127" s="27"/>
      <c r="BO127" s="27"/>
      <c r="BP127" s="27"/>
      <c r="BQ127" s="27"/>
      <c r="BR127" s="27"/>
      <c r="BS127" s="27"/>
      <c r="BT127" s="27"/>
      <c r="BU127" s="27"/>
      <c r="BV127" s="27"/>
      <c r="BW127" s="27"/>
      <c r="BX127" s="27"/>
      <c r="BY127" s="27"/>
      <c r="BZ127" s="27"/>
      <c r="CA127" s="27"/>
      <c r="CB127" s="27"/>
      <c r="CC127" s="27"/>
      <c r="CD127" s="27"/>
      <c r="CE127" s="27"/>
      <c r="CF127" s="27"/>
      <c r="CG127" s="27"/>
      <c r="CH127" s="27"/>
    </row>
    <row r="128" spans="1:86" x14ac:dyDescent="0.35">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c r="BE128" s="27"/>
      <c r="BF128" s="27"/>
      <c r="BG128" s="27"/>
      <c r="BH128" s="27"/>
      <c r="BI128" s="27"/>
      <c r="BJ128" s="27"/>
      <c r="BK128" s="27"/>
      <c r="BL128" s="27"/>
      <c r="BM128" s="27"/>
      <c r="BN128" s="27"/>
      <c r="BO128" s="27"/>
      <c r="BP128" s="27"/>
      <c r="BQ128" s="27"/>
      <c r="BR128" s="27"/>
      <c r="BS128" s="27"/>
      <c r="BT128" s="27"/>
      <c r="BU128" s="27"/>
      <c r="BV128" s="27"/>
      <c r="BW128" s="27"/>
      <c r="BX128" s="27"/>
      <c r="BY128" s="27"/>
      <c r="BZ128" s="27"/>
      <c r="CA128" s="27"/>
      <c r="CB128" s="27"/>
      <c r="CC128" s="27"/>
      <c r="CD128" s="27"/>
      <c r="CE128" s="27"/>
      <c r="CF128" s="27"/>
      <c r="CG128" s="27"/>
      <c r="CH128" s="27"/>
    </row>
    <row r="129" spans="1:86" x14ac:dyDescent="0.35">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c r="BG129" s="27"/>
      <c r="BH129" s="27"/>
      <c r="BI129" s="27"/>
      <c r="BJ129" s="27"/>
      <c r="BK129" s="27"/>
      <c r="BL129" s="27"/>
      <c r="BM129" s="27"/>
      <c r="BN129" s="27"/>
      <c r="BO129" s="27"/>
      <c r="BP129" s="27"/>
      <c r="BQ129" s="27"/>
      <c r="BR129" s="27"/>
      <c r="BS129" s="27"/>
      <c r="BT129" s="27"/>
      <c r="BU129" s="27"/>
      <c r="BV129" s="27"/>
      <c r="BW129" s="27"/>
      <c r="BX129" s="27"/>
      <c r="BY129" s="27"/>
      <c r="BZ129" s="27"/>
      <c r="CA129" s="27"/>
      <c r="CB129" s="27"/>
      <c r="CC129" s="27"/>
      <c r="CD129" s="27"/>
      <c r="CE129" s="27"/>
      <c r="CF129" s="27"/>
      <c r="CG129" s="27"/>
      <c r="CH129" s="27"/>
    </row>
    <row r="130" spans="1:86" x14ac:dyDescent="0.35">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c r="BE130" s="27"/>
      <c r="BF130" s="27"/>
      <c r="BG130" s="27"/>
      <c r="BH130" s="27"/>
      <c r="BI130" s="27"/>
      <c r="BJ130" s="27"/>
      <c r="BK130" s="27"/>
      <c r="BL130" s="27"/>
      <c r="BM130" s="27"/>
      <c r="BN130" s="27"/>
      <c r="BO130" s="27"/>
      <c r="BP130" s="27"/>
      <c r="BQ130" s="27"/>
      <c r="BR130" s="27"/>
      <c r="BS130" s="27"/>
      <c r="BT130" s="27"/>
      <c r="BU130" s="27"/>
      <c r="BV130" s="27"/>
      <c r="BW130" s="27"/>
      <c r="BX130" s="27"/>
      <c r="BY130" s="27"/>
      <c r="BZ130" s="27"/>
      <c r="CA130" s="27"/>
      <c r="CB130" s="27"/>
      <c r="CC130" s="27"/>
      <c r="CD130" s="27"/>
      <c r="CE130" s="27"/>
      <c r="CF130" s="27"/>
      <c r="CG130" s="27"/>
      <c r="CH130" s="27"/>
    </row>
    <row r="131" spans="1:86" x14ac:dyDescent="0.3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c r="BE131" s="27"/>
      <c r="BF131" s="27"/>
      <c r="BG131" s="27"/>
      <c r="BH131" s="27"/>
      <c r="BI131" s="27"/>
      <c r="BJ131" s="27"/>
      <c r="BK131" s="27"/>
      <c r="BL131" s="27"/>
      <c r="BM131" s="27"/>
      <c r="BN131" s="27"/>
      <c r="BO131" s="27"/>
      <c r="BP131" s="27"/>
      <c r="BQ131" s="27"/>
      <c r="BR131" s="27"/>
      <c r="BS131" s="27"/>
      <c r="BT131" s="27"/>
      <c r="BU131" s="27"/>
      <c r="BV131" s="27"/>
      <c r="BW131" s="27"/>
      <c r="BX131" s="27"/>
      <c r="BY131" s="27"/>
      <c r="BZ131" s="27"/>
      <c r="CA131" s="27"/>
      <c r="CB131" s="27"/>
      <c r="CC131" s="27"/>
      <c r="CD131" s="27"/>
      <c r="CE131" s="27"/>
      <c r="CF131" s="27"/>
      <c r="CG131" s="27"/>
      <c r="CH131" s="27"/>
    </row>
    <row r="132" spans="1:86" x14ac:dyDescent="0.35">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c r="BE132" s="27"/>
      <c r="BF132" s="27"/>
      <c r="BG132" s="27"/>
      <c r="BH132" s="27"/>
      <c r="BI132" s="27"/>
      <c r="BJ132" s="27"/>
      <c r="BK132" s="27"/>
      <c r="BL132" s="27"/>
      <c r="BM132" s="27"/>
      <c r="BN132" s="27"/>
      <c r="BO132" s="27"/>
      <c r="BP132" s="27"/>
      <c r="BQ132" s="27"/>
      <c r="BR132" s="27"/>
      <c r="BS132" s="27"/>
      <c r="BT132" s="27"/>
      <c r="BU132" s="27"/>
      <c r="BV132" s="27"/>
      <c r="BW132" s="27"/>
      <c r="BX132" s="27"/>
      <c r="BY132" s="27"/>
      <c r="BZ132" s="27"/>
      <c r="CA132" s="27"/>
      <c r="CB132" s="27"/>
      <c r="CC132" s="27"/>
      <c r="CD132" s="27"/>
      <c r="CE132" s="27"/>
      <c r="CF132" s="27"/>
      <c r="CG132" s="27"/>
      <c r="CH132" s="27"/>
    </row>
    <row r="133" spans="1:86" x14ac:dyDescent="0.35">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c r="BG133" s="27"/>
      <c r="BH133" s="27"/>
      <c r="BI133" s="27"/>
      <c r="BJ133" s="27"/>
      <c r="BK133" s="27"/>
      <c r="BL133" s="27"/>
      <c r="BM133" s="27"/>
      <c r="BN133" s="27"/>
      <c r="BO133" s="27"/>
      <c r="BP133" s="27"/>
      <c r="BQ133" s="27"/>
      <c r="BR133" s="27"/>
      <c r="BS133" s="27"/>
      <c r="BT133" s="27"/>
      <c r="BU133" s="27"/>
      <c r="BV133" s="27"/>
      <c r="BW133" s="27"/>
      <c r="BX133" s="27"/>
      <c r="BY133" s="27"/>
      <c r="BZ133" s="27"/>
      <c r="CA133" s="27"/>
      <c r="CB133" s="27"/>
      <c r="CC133" s="27"/>
      <c r="CD133" s="27"/>
      <c r="CE133" s="27"/>
      <c r="CF133" s="27"/>
      <c r="CG133" s="27"/>
      <c r="CH133" s="27"/>
    </row>
    <row r="134" spans="1:86" x14ac:dyDescent="0.35">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c r="BG134" s="27"/>
      <c r="BH134" s="27"/>
      <c r="BI134" s="27"/>
      <c r="BJ134" s="27"/>
      <c r="BK134" s="27"/>
      <c r="BL134" s="27"/>
      <c r="BM134" s="27"/>
      <c r="BN134" s="27"/>
      <c r="BO134" s="27"/>
      <c r="BP134" s="27"/>
      <c r="BQ134" s="27"/>
      <c r="BR134" s="27"/>
      <c r="BS134" s="27"/>
      <c r="BT134" s="27"/>
      <c r="BU134" s="27"/>
      <c r="BV134" s="27"/>
      <c r="BW134" s="27"/>
      <c r="BX134" s="27"/>
      <c r="BY134" s="27"/>
      <c r="BZ134" s="27"/>
      <c r="CA134" s="27"/>
      <c r="CB134" s="27"/>
      <c r="CC134" s="27"/>
      <c r="CD134" s="27"/>
      <c r="CE134" s="27"/>
      <c r="CF134" s="27"/>
      <c r="CG134" s="27"/>
      <c r="CH134" s="27"/>
    </row>
    <row r="135" spans="1:86" x14ac:dyDescent="0.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c r="BE135" s="27"/>
      <c r="BF135" s="27"/>
      <c r="BG135" s="27"/>
      <c r="BH135" s="27"/>
      <c r="BI135" s="27"/>
      <c r="BJ135" s="27"/>
      <c r="BK135" s="27"/>
      <c r="BL135" s="27"/>
      <c r="BM135" s="27"/>
      <c r="BN135" s="27"/>
      <c r="BO135" s="27"/>
      <c r="BP135" s="27"/>
      <c r="BQ135" s="27"/>
      <c r="BR135" s="27"/>
      <c r="BS135" s="27"/>
      <c r="BT135" s="27"/>
      <c r="BU135" s="27"/>
      <c r="BV135" s="27"/>
      <c r="BW135" s="27"/>
      <c r="BX135" s="27"/>
      <c r="BY135" s="27"/>
      <c r="BZ135" s="27"/>
      <c r="CA135" s="27"/>
      <c r="CB135" s="27"/>
      <c r="CC135" s="27"/>
      <c r="CD135" s="27"/>
      <c r="CE135" s="27"/>
      <c r="CF135" s="27"/>
      <c r="CG135" s="27"/>
      <c r="CH135" s="27"/>
    </row>
    <row r="136" spans="1:86" x14ac:dyDescent="0.35">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c r="BE136" s="27"/>
      <c r="BF136" s="27"/>
      <c r="BG136" s="27"/>
      <c r="BH136" s="27"/>
      <c r="BI136" s="27"/>
      <c r="BJ136" s="27"/>
      <c r="BK136" s="27"/>
      <c r="BL136" s="27"/>
      <c r="BM136" s="27"/>
      <c r="BN136" s="27"/>
      <c r="BO136" s="27"/>
      <c r="BP136" s="27"/>
      <c r="BQ136" s="27"/>
      <c r="BR136" s="27"/>
      <c r="BS136" s="27"/>
      <c r="BT136" s="27"/>
      <c r="BU136" s="27"/>
      <c r="BV136" s="27"/>
      <c r="BW136" s="27"/>
      <c r="BX136" s="27"/>
      <c r="BY136" s="27"/>
      <c r="BZ136" s="27"/>
      <c r="CA136" s="27"/>
      <c r="CB136" s="27"/>
      <c r="CC136" s="27"/>
      <c r="CD136" s="27"/>
      <c r="CE136" s="27"/>
      <c r="CF136" s="27"/>
      <c r="CG136" s="27"/>
      <c r="CH136" s="27"/>
    </row>
    <row r="137" spans="1:86" x14ac:dyDescent="0.35">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c r="BG137" s="27"/>
      <c r="BH137" s="27"/>
      <c r="BI137" s="27"/>
      <c r="BJ137" s="27"/>
      <c r="BK137" s="27"/>
      <c r="BL137" s="27"/>
      <c r="BM137" s="27"/>
      <c r="BN137" s="27"/>
      <c r="BO137" s="27"/>
      <c r="BP137" s="27"/>
      <c r="BQ137" s="27"/>
      <c r="BR137" s="27"/>
      <c r="BS137" s="27"/>
      <c r="BT137" s="27"/>
      <c r="BU137" s="27"/>
      <c r="BV137" s="27"/>
      <c r="BW137" s="27"/>
      <c r="BX137" s="27"/>
      <c r="BY137" s="27"/>
      <c r="BZ137" s="27"/>
      <c r="CA137" s="27"/>
      <c r="CB137" s="27"/>
      <c r="CC137" s="27"/>
      <c r="CD137" s="27"/>
      <c r="CE137" s="27"/>
      <c r="CF137" s="27"/>
      <c r="CG137" s="27"/>
      <c r="CH137" s="27"/>
    </row>
    <row r="138" spans="1:86" x14ac:dyDescent="0.35">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c r="BG138" s="27"/>
      <c r="BH138" s="27"/>
      <c r="BI138" s="27"/>
      <c r="BJ138" s="27"/>
      <c r="BK138" s="27"/>
      <c r="BL138" s="27"/>
      <c r="BM138" s="27"/>
      <c r="BN138" s="27"/>
      <c r="BO138" s="27"/>
      <c r="BP138" s="27"/>
      <c r="BQ138" s="27"/>
      <c r="BR138" s="27"/>
      <c r="BS138" s="27"/>
      <c r="BT138" s="27"/>
      <c r="BU138" s="27"/>
      <c r="BV138" s="27"/>
      <c r="BW138" s="27"/>
      <c r="BX138" s="27"/>
      <c r="BY138" s="27"/>
      <c r="BZ138" s="27"/>
      <c r="CA138" s="27"/>
      <c r="CB138" s="27"/>
      <c r="CC138" s="27"/>
      <c r="CD138" s="27"/>
      <c r="CE138" s="27"/>
      <c r="CF138" s="27"/>
      <c r="CG138" s="27"/>
      <c r="CH138" s="27"/>
    </row>
    <row r="139" spans="1:86" x14ac:dyDescent="0.35">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c r="BG139" s="27"/>
      <c r="BH139" s="27"/>
      <c r="BI139" s="27"/>
      <c r="BJ139" s="27"/>
      <c r="BK139" s="27"/>
      <c r="BL139" s="27"/>
      <c r="BM139" s="27"/>
      <c r="BN139" s="27"/>
      <c r="BO139" s="27"/>
      <c r="BP139" s="27"/>
      <c r="BQ139" s="27"/>
      <c r="BR139" s="27"/>
      <c r="BS139" s="27"/>
      <c r="BT139" s="27"/>
      <c r="BU139" s="27"/>
      <c r="BV139" s="27"/>
      <c r="BW139" s="27"/>
      <c r="BX139" s="27"/>
      <c r="BY139" s="27"/>
      <c r="BZ139" s="27"/>
      <c r="CA139" s="27"/>
      <c r="CB139" s="27"/>
      <c r="CC139" s="27"/>
      <c r="CD139" s="27"/>
      <c r="CE139" s="27"/>
      <c r="CF139" s="27"/>
      <c r="CG139" s="27"/>
      <c r="CH139" s="27"/>
    </row>
    <row r="140" spans="1:86" x14ac:dyDescent="0.35">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c r="BG140" s="27"/>
      <c r="BH140" s="27"/>
      <c r="BI140" s="27"/>
      <c r="BJ140" s="27"/>
      <c r="BK140" s="27"/>
      <c r="BL140" s="27"/>
      <c r="BM140" s="27"/>
      <c r="BN140" s="27"/>
      <c r="BO140" s="27"/>
      <c r="BP140" s="27"/>
      <c r="BQ140" s="27"/>
      <c r="BR140" s="27"/>
      <c r="BS140" s="27"/>
      <c r="BT140" s="27"/>
      <c r="BU140" s="27"/>
      <c r="BV140" s="27"/>
      <c r="BW140" s="27"/>
      <c r="BX140" s="27"/>
      <c r="BY140" s="27"/>
      <c r="BZ140" s="27"/>
      <c r="CA140" s="27"/>
      <c r="CB140" s="27"/>
      <c r="CC140" s="27"/>
      <c r="CD140" s="27"/>
      <c r="CE140" s="27"/>
      <c r="CF140" s="27"/>
      <c r="CG140" s="27"/>
      <c r="CH140" s="27"/>
    </row>
    <row r="141" spans="1:86" x14ac:dyDescent="0.35">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c r="BE141" s="27"/>
      <c r="BF141" s="27"/>
      <c r="BG141" s="27"/>
      <c r="BH141" s="27"/>
      <c r="BI141" s="27"/>
      <c r="BJ141" s="27"/>
      <c r="BK141" s="27"/>
      <c r="BL141" s="27"/>
      <c r="BM141" s="27"/>
      <c r="BN141" s="27"/>
      <c r="BO141" s="27"/>
      <c r="BP141" s="27"/>
      <c r="BQ141" s="27"/>
      <c r="BR141" s="27"/>
      <c r="BS141" s="27"/>
      <c r="BT141" s="27"/>
      <c r="BU141" s="27"/>
      <c r="BV141" s="27"/>
      <c r="BW141" s="27"/>
      <c r="BX141" s="27"/>
      <c r="BY141" s="27"/>
      <c r="BZ141" s="27"/>
      <c r="CA141" s="27"/>
      <c r="CB141" s="27"/>
      <c r="CC141" s="27"/>
      <c r="CD141" s="27"/>
      <c r="CE141" s="27"/>
      <c r="CF141" s="27"/>
      <c r="CG141" s="27"/>
      <c r="CH141" s="27"/>
    </row>
    <row r="142" spans="1:86" x14ac:dyDescent="0.3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c r="BE142" s="27"/>
      <c r="BF142" s="27"/>
      <c r="BG142" s="27"/>
      <c r="BH142" s="27"/>
      <c r="BI142" s="27"/>
      <c r="BJ142" s="27"/>
      <c r="BK142" s="27"/>
      <c r="BL142" s="27"/>
      <c r="BM142" s="27"/>
      <c r="BN142" s="27"/>
      <c r="BO142" s="27"/>
      <c r="BP142" s="27"/>
      <c r="BQ142" s="27"/>
      <c r="BR142" s="27"/>
      <c r="BS142" s="27"/>
      <c r="BT142" s="27"/>
      <c r="BU142" s="27"/>
      <c r="BV142" s="27"/>
      <c r="BW142" s="27"/>
      <c r="BX142" s="27"/>
      <c r="BY142" s="27"/>
      <c r="BZ142" s="27"/>
      <c r="CA142" s="27"/>
      <c r="CB142" s="27"/>
      <c r="CC142" s="27"/>
      <c r="CD142" s="27"/>
      <c r="CE142" s="27"/>
      <c r="CF142" s="27"/>
      <c r="CG142" s="27"/>
      <c r="CH142" s="27"/>
    </row>
    <row r="143" spans="1:86" x14ac:dyDescent="0.35">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c r="BG143" s="27"/>
      <c r="BH143" s="27"/>
      <c r="BI143" s="27"/>
      <c r="BJ143" s="27"/>
      <c r="BK143" s="27"/>
      <c r="BL143" s="27"/>
      <c r="BM143" s="27"/>
      <c r="BN143" s="27"/>
      <c r="BO143" s="27"/>
      <c r="BP143" s="27"/>
      <c r="BQ143" s="27"/>
      <c r="BR143" s="27"/>
      <c r="BS143" s="27"/>
      <c r="BT143" s="27"/>
      <c r="BU143" s="27"/>
      <c r="BV143" s="27"/>
      <c r="BW143" s="27"/>
      <c r="BX143" s="27"/>
      <c r="BY143" s="27"/>
      <c r="BZ143" s="27"/>
      <c r="CA143" s="27"/>
      <c r="CB143" s="27"/>
      <c r="CC143" s="27"/>
      <c r="CD143" s="27"/>
      <c r="CE143" s="27"/>
      <c r="CF143" s="27"/>
      <c r="CG143" s="27"/>
      <c r="CH143" s="27"/>
    </row>
    <row r="144" spans="1:86" x14ac:dyDescent="0.35">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c r="BE144" s="27"/>
      <c r="BF144" s="27"/>
      <c r="BG144" s="27"/>
      <c r="BH144" s="27"/>
      <c r="BI144" s="27"/>
      <c r="BJ144" s="27"/>
      <c r="BK144" s="27"/>
      <c r="BL144" s="27"/>
      <c r="BM144" s="27"/>
      <c r="BN144" s="27"/>
      <c r="BO144" s="27"/>
      <c r="BP144" s="27"/>
      <c r="BQ144" s="27"/>
      <c r="BR144" s="27"/>
      <c r="BS144" s="27"/>
      <c r="BT144" s="27"/>
      <c r="BU144" s="27"/>
      <c r="BV144" s="27"/>
      <c r="BW144" s="27"/>
      <c r="BX144" s="27"/>
      <c r="BY144" s="27"/>
      <c r="BZ144" s="27"/>
      <c r="CA144" s="27"/>
      <c r="CB144" s="27"/>
      <c r="CC144" s="27"/>
      <c r="CD144" s="27"/>
      <c r="CE144" s="27"/>
      <c r="CF144" s="27"/>
      <c r="CG144" s="27"/>
      <c r="CH144" s="27"/>
    </row>
    <row r="145" spans="1:86" x14ac:dyDescent="0.3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c r="BG145" s="27"/>
      <c r="BH145" s="27"/>
      <c r="BI145" s="27"/>
      <c r="BJ145" s="27"/>
      <c r="BK145" s="27"/>
      <c r="BL145" s="27"/>
      <c r="BM145" s="27"/>
      <c r="BN145" s="27"/>
      <c r="BO145" s="27"/>
      <c r="BP145" s="27"/>
      <c r="BQ145" s="27"/>
      <c r="BR145" s="27"/>
      <c r="BS145" s="27"/>
      <c r="BT145" s="27"/>
      <c r="BU145" s="27"/>
      <c r="BV145" s="27"/>
      <c r="BW145" s="27"/>
      <c r="BX145" s="27"/>
      <c r="BY145" s="27"/>
      <c r="BZ145" s="27"/>
      <c r="CA145" s="27"/>
      <c r="CB145" s="27"/>
      <c r="CC145" s="27"/>
      <c r="CD145" s="27"/>
      <c r="CE145" s="27"/>
      <c r="CF145" s="27"/>
      <c r="CG145" s="27"/>
      <c r="CH145" s="27"/>
    </row>
    <row r="146" spans="1:86" x14ac:dyDescent="0.3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c r="BG146" s="27"/>
      <c r="BH146" s="27"/>
      <c r="BI146" s="27"/>
      <c r="BJ146" s="27"/>
      <c r="BK146" s="27"/>
      <c r="BL146" s="27"/>
      <c r="BM146" s="27"/>
      <c r="BN146" s="27"/>
      <c r="BO146" s="27"/>
      <c r="BP146" s="27"/>
      <c r="BQ146" s="27"/>
      <c r="BR146" s="27"/>
      <c r="BS146" s="27"/>
      <c r="BT146" s="27"/>
      <c r="BU146" s="27"/>
      <c r="BV146" s="27"/>
      <c r="BW146" s="27"/>
      <c r="BX146" s="27"/>
      <c r="BY146" s="27"/>
      <c r="BZ146" s="27"/>
      <c r="CA146" s="27"/>
      <c r="CB146" s="27"/>
      <c r="CC146" s="27"/>
      <c r="CD146" s="27"/>
      <c r="CE146" s="27"/>
      <c r="CF146" s="27"/>
      <c r="CG146" s="27"/>
      <c r="CH146" s="27"/>
    </row>
    <row r="147" spans="1:86" x14ac:dyDescent="0.35">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c r="BG147" s="27"/>
      <c r="BH147" s="27"/>
      <c r="BI147" s="27"/>
      <c r="BJ147" s="27"/>
      <c r="BK147" s="27"/>
      <c r="BL147" s="27"/>
      <c r="BM147" s="27"/>
      <c r="BN147" s="27"/>
      <c r="BO147" s="27"/>
      <c r="BP147" s="27"/>
      <c r="BQ147" s="27"/>
      <c r="BR147" s="27"/>
      <c r="BS147" s="27"/>
      <c r="BT147" s="27"/>
      <c r="BU147" s="27"/>
      <c r="BV147" s="27"/>
      <c r="BW147" s="27"/>
      <c r="BX147" s="27"/>
      <c r="BY147" s="27"/>
      <c r="BZ147" s="27"/>
      <c r="CA147" s="27"/>
      <c r="CB147" s="27"/>
      <c r="CC147" s="27"/>
      <c r="CD147" s="27"/>
      <c r="CE147" s="27"/>
      <c r="CF147" s="27"/>
      <c r="CG147" s="27"/>
      <c r="CH147" s="27"/>
    </row>
    <row r="148" spans="1:86" x14ac:dyDescent="0.35">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c r="BG148" s="27"/>
      <c r="BH148" s="27"/>
      <c r="BI148" s="27"/>
      <c r="BJ148" s="27"/>
      <c r="BK148" s="27"/>
      <c r="BL148" s="27"/>
      <c r="BM148" s="27"/>
      <c r="BN148" s="27"/>
      <c r="BO148" s="27"/>
      <c r="BP148" s="27"/>
      <c r="BQ148" s="27"/>
      <c r="BR148" s="27"/>
      <c r="BS148" s="27"/>
      <c r="BT148" s="27"/>
      <c r="BU148" s="27"/>
      <c r="BV148" s="27"/>
      <c r="BW148" s="27"/>
      <c r="BX148" s="27"/>
      <c r="BY148" s="27"/>
      <c r="BZ148" s="27"/>
      <c r="CA148" s="27"/>
      <c r="CB148" s="27"/>
      <c r="CC148" s="27"/>
      <c r="CD148" s="27"/>
      <c r="CE148" s="27"/>
      <c r="CF148" s="27"/>
      <c r="CG148" s="27"/>
      <c r="CH148" s="27"/>
    </row>
    <row r="149" spans="1:86" x14ac:dyDescent="0.35">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c r="BE149" s="27"/>
      <c r="BF149" s="27"/>
      <c r="BG149" s="27"/>
      <c r="BH149" s="27"/>
      <c r="BI149" s="27"/>
      <c r="BJ149" s="27"/>
      <c r="BK149" s="27"/>
      <c r="BL149" s="27"/>
      <c r="BM149" s="27"/>
      <c r="BN149" s="27"/>
      <c r="BO149" s="27"/>
      <c r="BP149" s="27"/>
      <c r="BQ149" s="27"/>
      <c r="BR149" s="27"/>
      <c r="BS149" s="27"/>
      <c r="BT149" s="27"/>
      <c r="BU149" s="27"/>
      <c r="BV149" s="27"/>
      <c r="BW149" s="27"/>
      <c r="BX149" s="27"/>
      <c r="BY149" s="27"/>
      <c r="BZ149" s="27"/>
      <c r="CA149" s="27"/>
      <c r="CB149" s="27"/>
      <c r="CC149" s="27"/>
      <c r="CD149" s="27"/>
      <c r="CE149" s="27"/>
      <c r="CF149" s="27"/>
      <c r="CG149" s="27"/>
      <c r="CH149" s="27"/>
    </row>
    <row r="150" spans="1:86" x14ac:dyDescent="0.35">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c r="BE150" s="27"/>
      <c r="BF150" s="27"/>
      <c r="BG150" s="27"/>
      <c r="BH150" s="27"/>
      <c r="BI150" s="27"/>
      <c r="BJ150" s="27"/>
      <c r="BK150" s="27"/>
      <c r="BL150" s="27"/>
      <c r="BM150" s="27"/>
      <c r="BN150" s="27"/>
      <c r="BO150" s="27"/>
      <c r="BP150" s="27"/>
      <c r="BQ150" s="27"/>
      <c r="BR150" s="27"/>
      <c r="BS150" s="27"/>
      <c r="BT150" s="27"/>
      <c r="BU150" s="27"/>
      <c r="BV150" s="27"/>
      <c r="BW150" s="27"/>
      <c r="BX150" s="27"/>
      <c r="BY150" s="27"/>
      <c r="BZ150" s="27"/>
      <c r="CA150" s="27"/>
      <c r="CB150" s="27"/>
      <c r="CC150" s="27"/>
      <c r="CD150" s="27"/>
      <c r="CE150" s="27"/>
      <c r="CF150" s="27"/>
      <c r="CG150" s="27"/>
      <c r="CH150" s="27"/>
    </row>
    <row r="151" spans="1:86" x14ac:dyDescent="0.3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c r="BG151" s="27"/>
      <c r="BH151" s="27"/>
      <c r="BI151" s="27"/>
      <c r="BJ151" s="27"/>
      <c r="BK151" s="27"/>
      <c r="BL151" s="27"/>
      <c r="BM151" s="27"/>
      <c r="BN151" s="27"/>
      <c r="BO151" s="27"/>
      <c r="BP151" s="27"/>
      <c r="BQ151" s="27"/>
      <c r="BR151" s="27"/>
      <c r="BS151" s="27"/>
      <c r="BT151" s="27"/>
      <c r="BU151" s="27"/>
      <c r="BV151" s="27"/>
      <c r="BW151" s="27"/>
      <c r="BX151" s="27"/>
      <c r="BY151" s="27"/>
      <c r="BZ151" s="27"/>
      <c r="CA151" s="27"/>
      <c r="CB151" s="27"/>
      <c r="CC151" s="27"/>
      <c r="CD151" s="27"/>
      <c r="CE151" s="27"/>
      <c r="CF151" s="27"/>
      <c r="CG151" s="27"/>
      <c r="CH151" s="27"/>
    </row>
    <row r="152" spans="1:86" x14ac:dyDescent="0.3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c r="BE152" s="27"/>
      <c r="BF152" s="27"/>
      <c r="BG152" s="27"/>
      <c r="BH152" s="27"/>
      <c r="BI152" s="27"/>
      <c r="BJ152" s="27"/>
      <c r="BK152" s="27"/>
      <c r="BL152" s="27"/>
      <c r="BM152" s="27"/>
      <c r="BN152" s="27"/>
      <c r="BO152" s="27"/>
      <c r="BP152" s="27"/>
      <c r="BQ152" s="27"/>
      <c r="BR152" s="27"/>
      <c r="BS152" s="27"/>
      <c r="BT152" s="27"/>
      <c r="BU152" s="27"/>
      <c r="BV152" s="27"/>
      <c r="BW152" s="27"/>
      <c r="BX152" s="27"/>
      <c r="BY152" s="27"/>
      <c r="BZ152" s="27"/>
      <c r="CA152" s="27"/>
      <c r="CB152" s="27"/>
      <c r="CC152" s="27"/>
      <c r="CD152" s="27"/>
      <c r="CE152" s="27"/>
      <c r="CF152" s="27"/>
      <c r="CG152" s="27"/>
      <c r="CH152" s="27"/>
    </row>
    <row r="153" spans="1:86" x14ac:dyDescent="0.3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c r="BG153" s="27"/>
      <c r="BH153" s="27"/>
      <c r="BI153" s="27"/>
      <c r="BJ153" s="27"/>
      <c r="BK153" s="27"/>
      <c r="BL153" s="27"/>
      <c r="BM153" s="27"/>
      <c r="BN153" s="27"/>
      <c r="BO153" s="27"/>
      <c r="BP153" s="27"/>
      <c r="BQ153" s="27"/>
      <c r="BR153" s="27"/>
      <c r="BS153" s="27"/>
      <c r="BT153" s="27"/>
      <c r="BU153" s="27"/>
      <c r="BV153" s="27"/>
      <c r="BW153" s="27"/>
      <c r="BX153" s="27"/>
      <c r="BY153" s="27"/>
      <c r="BZ153" s="27"/>
      <c r="CA153" s="27"/>
      <c r="CB153" s="27"/>
      <c r="CC153" s="27"/>
      <c r="CD153" s="27"/>
      <c r="CE153" s="27"/>
      <c r="CF153" s="27"/>
      <c r="CG153" s="27"/>
      <c r="CH153" s="27"/>
    </row>
    <row r="154" spans="1:86" x14ac:dyDescent="0.3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c r="BG154" s="27"/>
      <c r="BH154" s="27"/>
      <c r="BI154" s="27"/>
      <c r="BJ154" s="27"/>
      <c r="BK154" s="27"/>
      <c r="BL154" s="27"/>
      <c r="BM154" s="27"/>
      <c r="BN154" s="27"/>
      <c r="BO154" s="27"/>
      <c r="BP154" s="27"/>
      <c r="BQ154" s="27"/>
      <c r="BR154" s="27"/>
      <c r="BS154" s="27"/>
      <c r="BT154" s="27"/>
      <c r="BU154" s="27"/>
      <c r="BV154" s="27"/>
      <c r="BW154" s="27"/>
      <c r="BX154" s="27"/>
      <c r="BY154" s="27"/>
      <c r="BZ154" s="27"/>
      <c r="CA154" s="27"/>
      <c r="CB154" s="27"/>
      <c r="CC154" s="27"/>
      <c r="CD154" s="27"/>
      <c r="CE154" s="27"/>
      <c r="CF154" s="27"/>
      <c r="CG154" s="27"/>
      <c r="CH154" s="27"/>
    </row>
    <row r="155" spans="1:86" x14ac:dyDescent="0.3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c r="BG155" s="27"/>
      <c r="BH155" s="27"/>
      <c r="BI155" s="27"/>
      <c r="BJ155" s="27"/>
      <c r="BK155" s="27"/>
      <c r="BL155" s="27"/>
      <c r="BM155" s="27"/>
      <c r="BN155" s="27"/>
      <c r="BO155" s="27"/>
      <c r="BP155" s="27"/>
      <c r="BQ155" s="27"/>
      <c r="BR155" s="27"/>
      <c r="BS155" s="27"/>
      <c r="BT155" s="27"/>
      <c r="BU155" s="27"/>
      <c r="BV155" s="27"/>
      <c r="BW155" s="27"/>
      <c r="BX155" s="27"/>
      <c r="BY155" s="27"/>
      <c r="BZ155" s="27"/>
      <c r="CA155" s="27"/>
      <c r="CB155" s="27"/>
      <c r="CC155" s="27"/>
      <c r="CD155" s="27"/>
      <c r="CE155" s="27"/>
      <c r="CF155" s="27"/>
      <c r="CG155" s="27"/>
      <c r="CH155" s="27"/>
    </row>
    <row r="156" spans="1:86" x14ac:dyDescent="0.3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c r="BG156" s="27"/>
      <c r="BH156" s="27"/>
      <c r="BI156" s="27"/>
      <c r="BJ156" s="27"/>
      <c r="BK156" s="27"/>
      <c r="BL156" s="27"/>
      <c r="BM156" s="27"/>
      <c r="BN156" s="27"/>
      <c r="BO156" s="27"/>
      <c r="BP156" s="27"/>
      <c r="BQ156" s="27"/>
      <c r="BR156" s="27"/>
      <c r="BS156" s="27"/>
      <c r="BT156" s="27"/>
      <c r="BU156" s="27"/>
      <c r="BV156" s="27"/>
      <c r="BW156" s="27"/>
      <c r="BX156" s="27"/>
      <c r="BY156" s="27"/>
      <c r="BZ156" s="27"/>
      <c r="CA156" s="27"/>
      <c r="CB156" s="27"/>
      <c r="CC156" s="27"/>
      <c r="CD156" s="27"/>
      <c r="CE156" s="27"/>
      <c r="CF156" s="27"/>
      <c r="CG156" s="27"/>
      <c r="CH156" s="27"/>
    </row>
    <row r="157" spans="1:86" x14ac:dyDescent="0.3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c r="BE157" s="27"/>
      <c r="BF157" s="27"/>
      <c r="BG157" s="27"/>
      <c r="BH157" s="27"/>
      <c r="BI157" s="27"/>
      <c r="BJ157" s="27"/>
      <c r="BK157" s="27"/>
      <c r="BL157" s="27"/>
      <c r="BM157" s="27"/>
      <c r="BN157" s="27"/>
      <c r="BO157" s="27"/>
      <c r="BP157" s="27"/>
      <c r="BQ157" s="27"/>
      <c r="BR157" s="27"/>
      <c r="BS157" s="27"/>
      <c r="BT157" s="27"/>
      <c r="BU157" s="27"/>
      <c r="BV157" s="27"/>
      <c r="BW157" s="27"/>
      <c r="BX157" s="27"/>
      <c r="BY157" s="27"/>
      <c r="BZ157" s="27"/>
      <c r="CA157" s="27"/>
      <c r="CB157" s="27"/>
      <c r="CC157" s="27"/>
      <c r="CD157" s="27"/>
      <c r="CE157" s="27"/>
      <c r="CF157" s="27"/>
      <c r="CG157" s="27"/>
      <c r="CH157" s="27"/>
    </row>
    <row r="158" spans="1:86" x14ac:dyDescent="0.3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c r="BE158" s="27"/>
      <c r="BF158" s="27"/>
      <c r="BG158" s="27"/>
      <c r="BH158" s="27"/>
      <c r="BI158" s="27"/>
      <c r="BJ158" s="27"/>
      <c r="BK158" s="27"/>
      <c r="BL158" s="27"/>
      <c r="BM158" s="27"/>
      <c r="BN158" s="27"/>
      <c r="BO158" s="27"/>
      <c r="BP158" s="27"/>
      <c r="BQ158" s="27"/>
      <c r="BR158" s="27"/>
      <c r="BS158" s="27"/>
      <c r="BT158" s="27"/>
      <c r="BU158" s="27"/>
      <c r="BV158" s="27"/>
      <c r="BW158" s="27"/>
      <c r="BX158" s="27"/>
      <c r="BY158" s="27"/>
      <c r="BZ158" s="27"/>
      <c r="CA158" s="27"/>
      <c r="CB158" s="27"/>
      <c r="CC158" s="27"/>
      <c r="CD158" s="27"/>
      <c r="CE158" s="27"/>
      <c r="CF158" s="27"/>
      <c r="CG158" s="27"/>
      <c r="CH158" s="27"/>
    </row>
  </sheetData>
  <autoFilter ref="AE1:CE16" xr:uid="{00000000-0009-0000-0000-000009000000}">
    <sortState ref="AE2:CE15">
      <sortCondition ref="AE1:AE15"/>
    </sortState>
  </autoFilter>
  <mergeCells count="4">
    <mergeCell ref="P1:T1"/>
    <mergeCell ref="E2:G2"/>
    <mergeCell ref="J2:K2"/>
    <mergeCell ref="AY2:BB2"/>
  </mergeCells>
  <conditionalFormatting sqref="Z4:Z17">
    <cfRule type="colorScale" priority="1">
      <colorScale>
        <cfvo type="min"/>
        <cfvo type="max"/>
        <color rgb="FFFCFCFF"/>
        <color rgb="FFF8696B"/>
      </colorScale>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N86"/>
  <sheetViews>
    <sheetView zoomScale="70" zoomScaleNormal="70" workbookViewId="0">
      <selection activeCell="H24" sqref="H24"/>
    </sheetView>
  </sheetViews>
  <sheetFormatPr defaultRowHeight="14.5" x14ac:dyDescent="0.35"/>
  <cols>
    <col min="2" max="2" width="65.1796875" customWidth="1"/>
    <col min="3" max="3" width="25" customWidth="1"/>
    <col min="4" max="4" width="26.7265625" customWidth="1"/>
    <col min="9" max="9" width="54.1796875" customWidth="1"/>
  </cols>
  <sheetData>
    <row r="2" spans="1:14" ht="15.5" x14ac:dyDescent="0.35">
      <c r="A2" s="399">
        <v>1</v>
      </c>
      <c r="B2" s="400" t="s">
        <v>299</v>
      </c>
      <c r="C2" s="399">
        <v>100</v>
      </c>
      <c r="D2" s="399">
        <v>97.56</v>
      </c>
    </row>
    <row r="3" spans="1:14" ht="15.5" x14ac:dyDescent="0.35">
      <c r="A3" s="399">
        <v>2</v>
      </c>
      <c r="B3" s="400" t="s">
        <v>300</v>
      </c>
      <c r="C3" s="399">
        <v>92.89</v>
      </c>
      <c r="D3" s="399">
        <v>90.43</v>
      </c>
      <c r="G3" s="27"/>
      <c r="H3" s="27"/>
      <c r="I3" s="27"/>
      <c r="J3" s="27"/>
      <c r="K3" s="27"/>
      <c r="L3" s="27"/>
      <c r="M3" s="27"/>
    </row>
    <row r="4" spans="1:14" ht="15.5" x14ac:dyDescent="0.35">
      <c r="A4" s="399">
        <v>3</v>
      </c>
      <c r="B4" s="400" t="s">
        <v>301</v>
      </c>
      <c r="C4" s="399">
        <v>92.78</v>
      </c>
      <c r="D4" s="399">
        <v>90.99</v>
      </c>
      <c r="G4" s="27"/>
      <c r="H4" s="27"/>
      <c r="I4" s="402" t="s">
        <v>33</v>
      </c>
      <c r="J4" s="403">
        <v>50.07</v>
      </c>
      <c r="K4" s="403"/>
      <c r="L4" s="27"/>
      <c r="M4" s="27"/>
    </row>
    <row r="5" spans="1:14" ht="15.5" x14ac:dyDescent="0.35">
      <c r="A5" s="399">
        <v>4</v>
      </c>
      <c r="B5" s="400" t="s">
        <v>302</v>
      </c>
      <c r="C5" s="399">
        <v>88.36</v>
      </c>
      <c r="D5" s="399">
        <v>85.4</v>
      </c>
      <c r="G5" s="27"/>
      <c r="H5" s="27"/>
      <c r="I5" s="402" t="s">
        <v>24</v>
      </c>
      <c r="J5" s="403">
        <v>46.16</v>
      </c>
      <c r="K5" s="403"/>
      <c r="L5" s="27"/>
      <c r="M5" s="27"/>
    </row>
    <row r="6" spans="1:14" ht="15.5" x14ac:dyDescent="0.35">
      <c r="A6" s="399">
        <v>5</v>
      </c>
      <c r="B6" s="400" t="s">
        <v>303</v>
      </c>
      <c r="C6" s="399">
        <v>84.53</v>
      </c>
      <c r="D6" s="399">
        <v>85.39</v>
      </c>
      <c r="G6" s="27"/>
      <c r="H6" s="403"/>
      <c r="I6" s="402" t="s">
        <v>25</v>
      </c>
      <c r="J6" s="403">
        <v>37.47</v>
      </c>
      <c r="K6" s="403"/>
      <c r="L6" s="27"/>
      <c r="M6" s="27"/>
    </row>
    <row r="7" spans="1:14" ht="15.5" x14ac:dyDescent="0.35">
      <c r="A7" s="399">
        <v>6</v>
      </c>
      <c r="B7" s="400" t="s">
        <v>304</v>
      </c>
      <c r="C7" s="399">
        <v>81.260000000000005</v>
      </c>
      <c r="D7" s="399">
        <v>74.84</v>
      </c>
      <c r="G7" s="27"/>
      <c r="H7" s="403"/>
      <c r="I7" s="402" t="s">
        <v>21</v>
      </c>
      <c r="J7" s="403">
        <v>43.77</v>
      </c>
      <c r="K7" s="403"/>
      <c r="L7" s="110"/>
      <c r="M7" s="404" t="s">
        <v>371</v>
      </c>
      <c r="N7" s="405" t="s">
        <v>372</v>
      </c>
    </row>
    <row r="8" spans="1:14" ht="15.5" x14ac:dyDescent="0.35">
      <c r="A8" s="399">
        <v>7</v>
      </c>
      <c r="B8" s="400" t="s">
        <v>305</v>
      </c>
      <c r="C8" s="399">
        <v>76.8</v>
      </c>
      <c r="D8" s="399">
        <v>77.75</v>
      </c>
      <c r="G8" s="27"/>
      <c r="H8" s="403"/>
      <c r="I8" s="402" t="s">
        <v>26</v>
      </c>
      <c r="J8" s="403">
        <v>68.86</v>
      </c>
      <c r="K8" s="403"/>
      <c r="L8" s="401" t="s">
        <v>233</v>
      </c>
      <c r="M8" s="406">
        <f>STDEV(J4:J20)</f>
        <v>9.9468075667136393</v>
      </c>
      <c r="N8" s="406">
        <f>STDEV(D2:D86)</f>
        <v>19.517548081386774</v>
      </c>
    </row>
    <row r="9" spans="1:14" ht="15.5" x14ac:dyDescent="0.35">
      <c r="A9" s="399">
        <v>8</v>
      </c>
      <c r="B9" s="400" t="s">
        <v>306</v>
      </c>
      <c r="C9" s="399">
        <v>76.37</v>
      </c>
      <c r="D9" s="399">
        <v>72.180000000000007</v>
      </c>
      <c r="G9" s="27"/>
      <c r="H9" s="403"/>
      <c r="I9" s="402" t="s">
        <v>27</v>
      </c>
      <c r="J9" s="403">
        <v>47.72</v>
      </c>
      <c r="K9" s="403"/>
      <c r="L9" s="401" t="s">
        <v>370</v>
      </c>
      <c r="M9" s="406">
        <f>AVERAGE(J4:J20)</f>
        <v>42.404999999999987</v>
      </c>
      <c r="N9" s="406">
        <f>AVERAGE(D2:D86)</f>
        <v>37.217529411764701</v>
      </c>
    </row>
    <row r="10" spans="1:14" ht="15.5" x14ac:dyDescent="0.35">
      <c r="A10" s="399">
        <v>9</v>
      </c>
      <c r="B10" s="400" t="s">
        <v>307</v>
      </c>
      <c r="C10" s="399">
        <v>69.25</v>
      </c>
      <c r="D10" s="399">
        <v>63.24</v>
      </c>
      <c r="G10" s="27"/>
      <c r="H10" s="403"/>
      <c r="I10" s="402" t="s">
        <v>28</v>
      </c>
      <c r="J10" s="403">
        <v>40.520000000000003</v>
      </c>
      <c r="K10" s="403"/>
      <c r="L10" s="401" t="s">
        <v>285</v>
      </c>
      <c r="M10" s="407">
        <f>M8/M9</f>
        <v>0.23456685689691409</v>
      </c>
      <c r="N10" s="407">
        <f>N8/N9</f>
        <v>0.52441815429094951</v>
      </c>
    </row>
    <row r="11" spans="1:14" ht="15.5" x14ac:dyDescent="0.35">
      <c r="A11" s="399">
        <v>10</v>
      </c>
      <c r="B11" s="400" t="s">
        <v>26</v>
      </c>
      <c r="C11" s="399">
        <v>68.86</v>
      </c>
      <c r="D11" s="399">
        <v>61.09</v>
      </c>
      <c r="G11" s="27"/>
      <c r="H11" s="403"/>
      <c r="I11" s="402" t="s">
        <v>29</v>
      </c>
      <c r="J11" s="403">
        <v>32.14</v>
      </c>
      <c r="K11" s="403"/>
      <c r="L11" s="27"/>
      <c r="M11" s="27"/>
    </row>
    <row r="12" spans="1:14" ht="15.5" x14ac:dyDescent="0.35">
      <c r="A12" s="399">
        <v>11</v>
      </c>
      <c r="B12" s="400" t="s">
        <v>308</v>
      </c>
      <c r="C12" s="399">
        <v>66.84</v>
      </c>
      <c r="D12" s="399">
        <v>61.21</v>
      </c>
      <c r="G12" s="27"/>
      <c r="H12" s="403"/>
      <c r="I12" s="402" t="s">
        <v>30</v>
      </c>
      <c r="J12" s="403">
        <v>36.19</v>
      </c>
      <c r="K12" s="403"/>
      <c r="L12" s="27"/>
      <c r="M12" s="27"/>
    </row>
    <row r="13" spans="1:14" ht="15.5" x14ac:dyDescent="0.35">
      <c r="A13" s="399">
        <v>12</v>
      </c>
      <c r="B13" s="400" t="s">
        <v>309</v>
      </c>
      <c r="C13" s="399">
        <v>51.86</v>
      </c>
      <c r="D13" s="399">
        <v>49.26</v>
      </c>
      <c r="G13" s="27"/>
      <c r="H13" s="403"/>
      <c r="I13" s="402" t="s">
        <v>22</v>
      </c>
      <c r="J13" s="403">
        <v>45.23</v>
      </c>
      <c r="K13" s="403"/>
      <c r="L13" s="27"/>
      <c r="M13" s="27"/>
    </row>
    <row r="14" spans="1:14" ht="15.5" x14ac:dyDescent="0.35">
      <c r="A14" s="399">
        <v>13</v>
      </c>
      <c r="B14" s="400" t="s">
        <v>310</v>
      </c>
      <c r="C14" s="399">
        <v>51.38</v>
      </c>
      <c r="D14" s="399">
        <v>47.84</v>
      </c>
      <c r="G14" s="27"/>
      <c r="H14" s="403"/>
      <c r="I14" s="402" t="s">
        <v>34</v>
      </c>
      <c r="J14" s="403">
        <v>36.67</v>
      </c>
      <c r="K14" s="403"/>
      <c r="L14" s="27"/>
      <c r="M14" s="27"/>
    </row>
    <row r="15" spans="1:14" ht="15.5" x14ac:dyDescent="0.35">
      <c r="A15" s="399">
        <v>14</v>
      </c>
      <c r="B15" s="400" t="s">
        <v>311</v>
      </c>
      <c r="C15" s="399">
        <v>50.15</v>
      </c>
      <c r="D15" s="399">
        <v>48.23</v>
      </c>
      <c r="G15" s="27"/>
      <c r="H15" s="403"/>
      <c r="I15" s="402" t="s">
        <v>23</v>
      </c>
      <c r="J15" s="403">
        <v>27.03</v>
      </c>
      <c r="K15" s="403"/>
      <c r="L15" s="27"/>
      <c r="M15" s="27"/>
    </row>
    <row r="16" spans="1:14" ht="15.5" x14ac:dyDescent="0.35">
      <c r="A16" s="399">
        <v>15</v>
      </c>
      <c r="B16" s="400" t="s">
        <v>33</v>
      </c>
      <c r="C16" s="399">
        <v>50.07</v>
      </c>
      <c r="D16" s="399">
        <v>47.32</v>
      </c>
      <c r="G16" s="27"/>
      <c r="H16" s="403"/>
      <c r="I16" s="402" t="s">
        <v>31</v>
      </c>
      <c r="J16" s="403">
        <v>37.06</v>
      </c>
      <c r="K16" s="403"/>
      <c r="L16" s="27"/>
      <c r="M16" s="27"/>
    </row>
    <row r="17" spans="1:13" ht="15.5" x14ac:dyDescent="0.35">
      <c r="A17" s="399">
        <v>16</v>
      </c>
      <c r="B17" s="400" t="s">
        <v>312</v>
      </c>
      <c r="C17" s="399">
        <v>48.71</v>
      </c>
      <c r="D17" s="399">
        <v>44.24</v>
      </c>
      <c r="G17" s="27"/>
      <c r="H17" s="27"/>
      <c r="I17" s="402" t="s">
        <v>32</v>
      </c>
      <c r="J17" s="403">
        <v>44.78</v>
      </c>
      <c r="K17" s="403"/>
      <c r="L17" s="27"/>
      <c r="M17" s="27"/>
    </row>
    <row r="18" spans="1:13" ht="15.5" x14ac:dyDescent="0.35">
      <c r="A18" s="399">
        <v>17</v>
      </c>
      <c r="B18" s="400" t="s">
        <v>27</v>
      </c>
      <c r="C18" s="399">
        <v>47.72</v>
      </c>
      <c r="D18" s="399">
        <v>43.25</v>
      </c>
      <c r="G18" s="27"/>
      <c r="H18" s="27"/>
      <c r="I18" s="27"/>
      <c r="J18" s="27"/>
      <c r="K18" s="27"/>
      <c r="L18" s="27"/>
      <c r="M18" s="27"/>
    </row>
    <row r="19" spans="1:13" ht="15.5" x14ac:dyDescent="0.35">
      <c r="A19" s="399">
        <v>18</v>
      </c>
      <c r="B19" s="400" t="s">
        <v>313</v>
      </c>
      <c r="C19" s="399">
        <v>46.98</v>
      </c>
      <c r="D19" s="399">
        <v>45.27</v>
      </c>
    </row>
    <row r="20" spans="1:13" ht="15.5" x14ac:dyDescent="0.35">
      <c r="A20" s="399">
        <v>19</v>
      </c>
      <c r="B20" s="400" t="s">
        <v>314</v>
      </c>
      <c r="C20" s="399">
        <v>46.53</v>
      </c>
      <c r="D20" s="399">
        <v>44.82</v>
      </c>
    </row>
    <row r="21" spans="1:13" ht="15.5" x14ac:dyDescent="0.35">
      <c r="A21" s="399">
        <v>20</v>
      </c>
      <c r="B21" s="400" t="s">
        <v>315</v>
      </c>
      <c r="C21" s="399">
        <v>46.29</v>
      </c>
      <c r="D21" s="399">
        <v>43.18</v>
      </c>
    </row>
    <row r="22" spans="1:13" ht="15.5" x14ac:dyDescent="0.35">
      <c r="A22" s="399">
        <v>21</v>
      </c>
      <c r="B22" s="400" t="s">
        <v>24</v>
      </c>
      <c r="C22" s="399">
        <v>46.16</v>
      </c>
      <c r="D22" s="399">
        <v>44.11</v>
      </c>
    </row>
    <row r="23" spans="1:13" ht="15.5" x14ac:dyDescent="0.35">
      <c r="A23" s="399">
        <v>22</v>
      </c>
      <c r="B23" s="400" t="s">
        <v>316</v>
      </c>
      <c r="C23" s="399">
        <v>45.79</v>
      </c>
      <c r="D23" s="399">
        <v>44.96</v>
      </c>
    </row>
    <row r="24" spans="1:13" ht="15.5" x14ac:dyDescent="0.35">
      <c r="A24" s="399">
        <v>23</v>
      </c>
      <c r="B24" s="400" t="s">
        <v>317</v>
      </c>
      <c r="C24" s="399">
        <v>45.35</v>
      </c>
      <c r="D24" s="399">
        <v>41.51</v>
      </c>
    </row>
    <row r="25" spans="1:13" ht="15.5" x14ac:dyDescent="0.35">
      <c r="A25" s="399">
        <v>24</v>
      </c>
      <c r="B25" s="400" t="s">
        <v>22</v>
      </c>
      <c r="C25" s="399">
        <v>45.23</v>
      </c>
      <c r="D25" s="399">
        <v>40.06</v>
      </c>
    </row>
    <row r="26" spans="1:13" ht="15.5" x14ac:dyDescent="0.35">
      <c r="A26" s="399">
        <v>25</v>
      </c>
      <c r="B26" s="400" t="s">
        <v>32</v>
      </c>
      <c r="C26" s="399">
        <v>44.78</v>
      </c>
      <c r="D26" s="399">
        <v>40.409999999999997</v>
      </c>
    </row>
    <row r="27" spans="1:13" ht="15.5" x14ac:dyDescent="0.35">
      <c r="A27" s="399">
        <v>26</v>
      </c>
      <c r="B27" s="400" t="s">
        <v>318</v>
      </c>
      <c r="C27" s="399">
        <v>44.04</v>
      </c>
      <c r="D27" s="399">
        <v>40.94</v>
      </c>
    </row>
    <row r="28" spans="1:13" ht="15.5" x14ac:dyDescent="0.35">
      <c r="A28" s="399">
        <v>27</v>
      </c>
      <c r="B28" s="400" t="s">
        <v>21</v>
      </c>
      <c r="C28" s="399">
        <v>43.77</v>
      </c>
      <c r="D28" s="399">
        <v>39.6</v>
      </c>
    </row>
    <row r="29" spans="1:13" ht="15.5" x14ac:dyDescent="0.35">
      <c r="A29" s="399">
        <v>28</v>
      </c>
      <c r="B29" s="400" t="s">
        <v>319</v>
      </c>
      <c r="C29" s="399">
        <v>41.65</v>
      </c>
      <c r="D29" s="399">
        <v>38.75</v>
      </c>
    </row>
    <row r="30" spans="1:13" ht="15.5" x14ac:dyDescent="0.35">
      <c r="A30" s="399">
        <v>29</v>
      </c>
      <c r="B30" s="400" t="s">
        <v>320</v>
      </c>
      <c r="C30" s="399">
        <v>41.64</v>
      </c>
      <c r="D30" s="399">
        <v>39.869999999999997</v>
      </c>
    </row>
    <row r="31" spans="1:13" ht="15.5" x14ac:dyDescent="0.35">
      <c r="A31" s="399">
        <v>30</v>
      </c>
      <c r="B31" s="400" t="s">
        <v>321</v>
      </c>
      <c r="C31" s="399">
        <v>41.25</v>
      </c>
      <c r="D31" s="399">
        <v>37.74</v>
      </c>
    </row>
    <row r="32" spans="1:13" ht="15.5" x14ac:dyDescent="0.35">
      <c r="A32" s="399">
        <v>31</v>
      </c>
      <c r="B32" s="400" t="s">
        <v>28</v>
      </c>
      <c r="C32" s="399">
        <v>40.520000000000003</v>
      </c>
      <c r="D32" s="399">
        <v>36.76</v>
      </c>
    </row>
    <row r="33" spans="1:4" ht="15.5" x14ac:dyDescent="0.35">
      <c r="A33" s="399">
        <v>32</v>
      </c>
      <c r="B33" s="400" t="s">
        <v>322</v>
      </c>
      <c r="C33" s="399">
        <v>40.01</v>
      </c>
      <c r="D33" s="399">
        <v>38.42</v>
      </c>
    </row>
    <row r="34" spans="1:4" ht="15.5" x14ac:dyDescent="0.35">
      <c r="A34" s="399">
        <v>33</v>
      </c>
      <c r="B34" s="400" t="s">
        <v>323</v>
      </c>
      <c r="C34" s="399">
        <v>38.22</v>
      </c>
      <c r="D34" s="399">
        <v>37.22</v>
      </c>
    </row>
    <row r="35" spans="1:4" ht="15.5" x14ac:dyDescent="0.35">
      <c r="A35" s="399">
        <v>34</v>
      </c>
      <c r="B35" s="400" t="s">
        <v>324</v>
      </c>
      <c r="C35" s="399">
        <v>37.85</v>
      </c>
      <c r="D35" s="399">
        <v>37.24</v>
      </c>
    </row>
    <row r="36" spans="1:4" ht="15.5" x14ac:dyDescent="0.35">
      <c r="A36" s="399">
        <v>35</v>
      </c>
      <c r="B36" s="400" t="s">
        <v>325</v>
      </c>
      <c r="C36" s="399">
        <v>37.74</v>
      </c>
      <c r="D36" s="399">
        <v>35.85</v>
      </c>
    </row>
    <row r="37" spans="1:4" ht="15.5" x14ac:dyDescent="0.35">
      <c r="A37" s="399">
        <v>36</v>
      </c>
      <c r="B37" s="400" t="s">
        <v>25</v>
      </c>
      <c r="C37" s="399">
        <v>37.47</v>
      </c>
      <c r="D37" s="399">
        <v>35.35</v>
      </c>
    </row>
    <row r="38" spans="1:4" ht="15.5" x14ac:dyDescent="0.35">
      <c r="A38" s="399">
        <v>37</v>
      </c>
      <c r="B38" s="400" t="s">
        <v>326</v>
      </c>
      <c r="C38" s="399">
        <v>37.380000000000003</v>
      </c>
      <c r="D38" s="399">
        <v>35.020000000000003</v>
      </c>
    </row>
    <row r="39" spans="1:4" ht="15.5" x14ac:dyDescent="0.35">
      <c r="A39" s="399">
        <v>38</v>
      </c>
      <c r="B39" s="400" t="s">
        <v>31</v>
      </c>
      <c r="C39" s="399">
        <v>37.06</v>
      </c>
      <c r="D39" s="399">
        <v>37.979999999999997</v>
      </c>
    </row>
    <row r="40" spans="1:4" ht="15.5" x14ac:dyDescent="0.35">
      <c r="A40" s="399">
        <v>39</v>
      </c>
      <c r="B40" s="400" t="s">
        <v>327</v>
      </c>
      <c r="C40" s="399">
        <v>37.03</v>
      </c>
      <c r="D40" s="399">
        <v>34.9</v>
      </c>
    </row>
    <row r="41" spans="1:4" ht="15.5" x14ac:dyDescent="0.35">
      <c r="A41" s="399">
        <v>40</v>
      </c>
      <c r="B41" s="400" t="s">
        <v>328</v>
      </c>
      <c r="C41" s="399">
        <v>36.9</v>
      </c>
      <c r="D41" s="399">
        <v>37.36</v>
      </c>
    </row>
    <row r="42" spans="1:4" ht="15.5" x14ac:dyDescent="0.35">
      <c r="A42" s="399">
        <v>41</v>
      </c>
      <c r="B42" s="400" t="s">
        <v>329</v>
      </c>
      <c r="C42" s="399">
        <v>36.89</v>
      </c>
      <c r="D42" s="399">
        <v>33.01</v>
      </c>
    </row>
    <row r="43" spans="1:4" ht="15.5" x14ac:dyDescent="0.35">
      <c r="A43" s="399">
        <v>42</v>
      </c>
      <c r="B43" s="400" t="s">
        <v>34</v>
      </c>
      <c r="C43" s="399">
        <v>36.67</v>
      </c>
      <c r="D43" s="399">
        <v>35.590000000000003</v>
      </c>
    </row>
    <row r="44" spans="1:4" ht="15.5" x14ac:dyDescent="0.35">
      <c r="A44" s="399">
        <v>43</v>
      </c>
      <c r="B44" s="400" t="s">
        <v>30</v>
      </c>
      <c r="C44" s="399">
        <v>36.19</v>
      </c>
      <c r="D44" s="399">
        <v>36.06</v>
      </c>
    </row>
    <row r="45" spans="1:4" ht="15.5" x14ac:dyDescent="0.35">
      <c r="A45" s="399">
        <v>44</v>
      </c>
      <c r="B45" s="400" t="s">
        <v>330</v>
      </c>
      <c r="C45" s="399">
        <v>35.58</v>
      </c>
      <c r="D45" s="399">
        <v>33.159999999999997</v>
      </c>
    </row>
    <row r="46" spans="1:4" ht="15.5" x14ac:dyDescent="0.35">
      <c r="A46" s="399">
        <v>45</v>
      </c>
      <c r="B46" s="400" t="s">
        <v>331</v>
      </c>
      <c r="C46" s="399">
        <v>35.549999999999997</v>
      </c>
      <c r="D46" s="399">
        <v>33.29</v>
      </c>
    </row>
    <row r="47" spans="1:4" ht="15.5" x14ac:dyDescent="0.35">
      <c r="A47" s="399">
        <v>46</v>
      </c>
      <c r="B47" s="400" t="s">
        <v>332</v>
      </c>
      <c r="C47" s="399">
        <v>35.5</v>
      </c>
      <c r="D47" s="399">
        <v>38.520000000000003</v>
      </c>
    </row>
    <row r="48" spans="1:4" ht="15.5" x14ac:dyDescent="0.35">
      <c r="A48" s="399">
        <v>47</v>
      </c>
      <c r="B48" s="400" t="s">
        <v>333</v>
      </c>
      <c r="C48" s="399">
        <v>35.47</v>
      </c>
      <c r="D48" s="399">
        <v>32.380000000000003</v>
      </c>
    </row>
    <row r="49" spans="1:4" ht="15.5" x14ac:dyDescent="0.35">
      <c r="A49" s="399">
        <v>48</v>
      </c>
      <c r="B49" s="400" t="s">
        <v>334</v>
      </c>
      <c r="C49" s="399">
        <v>35.409999999999997</v>
      </c>
      <c r="D49" s="399">
        <v>32.75</v>
      </c>
    </row>
    <row r="50" spans="1:4" ht="15.5" x14ac:dyDescent="0.35">
      <c r="A50" s="399">
        <v>49</v>
      </c>
      <c r="B50" s="400" t="s">
        <v>335</v>
      </c>
      <c r="C50" s="399">
        <v>34.549999999999997</v>
      </c>
      <c r="D50" s="399">
        <v>34.369999999999997</v>
      </c>
    </row>
    <row r="51" spans="1:4" ht="15.5" x14ac:dyDescent="0.35">
      <c r="A51" s="399">
        <v>50</v>
      </c>
      <c r="B51" s="400" t="s">
        <v>336</v>
      </c>
      <c r="C51" s="399">
        <v>34.33</v>
      </c>
      <c r="D51" s="399">
        <v>33.729999999999997</v>
      </c>
    </row>
    <row r="52" spans="1:4" ht="15.5" x14ac:dyDescent="0.35">
      <c r="A52" s="399">
        <v>51</v>
      </c>
      <c r="B52" s="400" t="s">
        <v>337</v>
      </c>
      <c r="C52" s="399">
        <v>33.94</v>
      </c>
      <c r="D52" s="399">
        <v>32.15</v>
      </c>
    </row>
    <row r="53" spans="1:4" ht="15.5" x14ac:dyDescent="0.35">
      <c r="A53" s="399">
        <v>52</v>
      </c>
      <c r="B53" s="400" t="s">
        <v>338</v>
      </c>
      <c r="C53" s="399">
        <v>33.19</v>
      </c>
      <c r="D53" s="399">
        <v>32.909999999999997</v>
      </c>
    </row>
    <row r="54" spans="1:4" ht="15.5" x14ac:dyDescent="0.35">
      <c r="A54" s="399">
        <v>53</v>
      </c>
      <c r="B54" s="400" t="s">
        <v>339</v>
      </c>
      <c r="C54" s="399">
        <v>32.75</v>
      </c>
      <c r="D54" s="399">
        <v>30.6</v>
      </c>
    </row>
    <row r="55" spans="1:4" ht="15.5" x14ac:dyDescent="0.35">
      <c r="A55" s="399">
        <v>54</v>
      </c>
      <c r="B55" s="400" t="s">
        <v>340</v>
      </c>
      <c r="C55" s="399">
        <v>32.69</v>
      </c>
      <c r="D55" s="399">
        <v>30.8</v>
      </c>
    </row>
    <row r="56" spans="1:4" ht="15.5" x14ac:dyDescent="0.35">
      <c r="A56" s="399">
        <v>55</v>
      </c>
      <c r="B56" s="400" t="s">
        <v>341</v>
      </c>
      <c r="C56" s="399">
        <v>32.520000000000003</v>
      </c>
      <c r="D56" s="399">
        <v>33.21</v>
      </c>
    </row>
    <row r="57" spans="1:4" ht="15.5" x14ac:dyDescent="0.35">
      <c r="A57" s="399">
        <v>56</v>
      </c>
      <c r="B57" s="400" t="s">
        <v>29</v>
      </c>
      <c r="C57" s="399">
        <v>32.14</v>
      </c>
      <c r="D57" s="399">
        <v>31.03</v>
      </c>
    </row>
    <row r="58" spans="1:4" ht="15.5" x14ac:dyDescent="0.35">
      <c r="A58" s="399">
        <v>57</v>
      </c>
      <c r="B58" s="400" t="s">
        <v>342</v>
      </c>
      <c r="C58" s="399">
        <v>32.090000000000003</v>
      </c>
      <c r="D58" s="399">
        <v>30.62</v>
      </c>
    </row>
    <row r="59" spans="1:4" ht="15.5" x14ac:dyDescent="0.35">
      <c r="A59" s="399">
        <v>58</v>
      </c>
      <c r="B59" s="400" t="s">
        <v>343</v>
      </c>
      <c r="C59" s="399">
        <v>31.95</v>
      </c>
      <c r="D59" s="399">
        <v>32.83</v>
      </c>
    </row>
    <row r="60" spans="1:4" ht="15.5" x14ac:dyDescent="0.35">
      <c r="A60" s="399">
        <v>59</v>
      </c>
      <c r="B60" s="400" t="s">
        <v>344</v>
      </c>
      <c r="C60" s="399">
        <v>31.29</v>
      </c>
      <c r="D60" s="399">
        <v>30.23</v>
      </c>
    </row>
    <row r="61" spans="1:4" ht="15.5" x14ac:dyDescent="0.35">
      <c r="A61" s="399">
        <v>60</v>
      </c>
      <c r="B61" s="400" t="s">
        <v>345</v>
      </c>
      <c r="C61" s="399">
        <v>31.19</v>
      </c>
      <c r="D61" s="399">
        <v>30.2</v>
      </c>
    </row>
    <row r="62" spans="1:4" ht="15.5" x14ac:dyDescent="0.35">
      <c r="A62" s="399">
        <v>61</v>
      </c>
      <c r="B62" s="400" t="s">
        <v>346</v>
      </c>
      <c r="C62" s="399">
        <v>29.66</v>
      </c>
      <c r="D62" s="399">
        <v>26.94</v>
      </c>
    </row>
    <row r="63" spans="1:4" ht="15.5" x14ac:dyDescent="0.35">
      <c r="A63" s="399">
        <v>62</v>
      </c>
      <c r="B63" s="400" t="s">
        <v>347</v>
      </c>
      <c r="C63" s="399">
        <v>29.66</v>
      </c>
      <c r="D63" s="399">
        <v>25.78</v>
      </c>
    </row>
    <row r="64" spans="1:4" ht="15.5" x14ac:dyDescent="0.35">
      <c r="A64" s="399">
        <v>63</v>
      </c>
      <c r="B64" s="400" t="s">
        <v>348</v>
      </c>
      <c r="C64" s="399">
        <v>28.69</v>
      </c>
      <c r="D64" s="399">
        <v>28.17</v>
      </c>
    </row>
    <row r="65" spans="1:4" ht="15.5" x14ac:dyDescent="0.35">
      <c r="A65" s="399">
        <v>64</v>
      </c>
      <c r="B65" s="400" t="s">
        <v>349</v>
      </c>
      <c r="C65" s="399">
        <v>28.19</v>
      </c>
      <c r="D65" s="399">
        <v>26.04</v>
      </c>
    </row>
    <row r="66" spans="1:4" ht="15.5" x14ac:dyDescent="0.35">
      <c r="A66" s="399">
        <v>65</v>
      </c>
      <c r="B66" s="400" t="s">
        <v>350</v>
      </c>
      <c r="C66" s="399">
        <v>27.33</v>
      </c>
      <c r="D66" s="399">
        <v>27.81</v>
      </c>
    </row>
    <row r="67" spans="1:4" ht="15.5" x14ac:dyDescent="0.35">
      <c r="A67" s="399">
        <v>66</v>
      </c>
      <c r="B67" s="400" t="s">
        <v>23</v>
      </c>
      <c r="C67" s="399">
        <v>27.03</v>
      </c>
      <c r="D67" s="399">
        <v>26.44</v>
      </c>
    </row>
    <row r="68" spans="1:4" ht="15.5" x14ac:dyDescent="0.35">
      <c r="A68" s="399">
        <v>67</v>
      </c>
      <c r="B68" s="400" t="s">
        <v>351</v>
      </c>
      <c r="C68" s="399">
        <v>26.03</v>
      </c>
      <c r="D68" s="399">
        <v>24.53</v>
      </c>
    </row>
    <row r="69" spans="1:4" ht="15.5" x14ac:dyDescent="0.35">
      <c r="A69" s="399">
        <v>68</v>
      </c>
      <c r="B69" s="400" t="s">
        <v>352</v>
      </c>
      <c r="C69" s="399">
        <v>25.99</v>
      </c>
      <c r="D69" s="399">
        <v>26.43</v>
      </c>
    </row>
    <row r="70" spans="1:4" ht="15.5" x14ac:dyDescent="0.35">
      <c r="A70" s="399">
        <v>69</v>
      </c>
      <c r="B70" s="400" t="s">
        <v>353</v>
      </c>
      <c r="C70" s="399">
        <v>24.23</v>
      </c>
      <c r="D70" s="399">
        <v>22.81</v>
      </c>
    </row>
    <row r="71" spans="1:4" ht="15.5" x14ac:dyDescent="0.35">
      <c r="A71" s="399">
        <v>70</v>
      </c>
      <c r="B71" s="400" t="s">
        <v>354</v>
      </c>
      <c r="C71" s="399">
        <v>22.63</v>
      </c>
      <c r="D71" s="399">
        <v>21.04</v>
      </c>
    </row>
    <row r="72" spans="1:4" ht="15.5" x14ac:dyDescent="0.35">
      <c r="A72" s="399">
        <v>71</v>
      </c>
      <c r="B72" s="400" t="s">
        <v>355</v>
      </c>
      <c r="C72" s="399">
        <v>22.22</v>
      </c>
      <c r="D72" s="399">
        <v>20.95</v>
      </c>
    </row>
    <row r="73" spans="1:4" ht="15.5" x14ac:dyDescent="0.35">
      <c r="A73" s="399">
        <v>72</v>
      </c>
      <c r="B73" s="400" t="s">
        <v>356</v>
      </c>
      <c r="C73" s="399">
        <v>21.96</v>
      </c>
      <c r="D73" s="399">
        <v>21.46</v>
      </c>
    </row>
    <row r="74" spans="1:4" ht="15.5" x14ac:dyDescent="0.35">
      <c r="A74" s="399">
        <v>73</v>
      </c>
      <c r="B74" s="400" t="s">
        <v>357</v>
      </c>
      <c r="C74" s="399">
        <v>21.11</v>
      </c>
      <c r="D74" s="399">
        <v>19.86</v>
      </c>
    </row>
    <row r="75" spans="1:4" ht="15.5" x14ac:dyDescent="0.35">
      <c r="A75" s="399">
        <v>74</v>
      </c>
      <c r="B75" s="400" t="s">
        <v>358</v>
      </c>
      <c r="C75" s="399">
        <v>20.38</v>
      </c>
      <c r="D75" s="399">
        <v>19.350000000000001</v>
      </c>
    </row>
    <row r="76" spans="1:4" ht="15.5" x14ac:dyDescent="0.35">
      <c r="A76" s="399">
        <v>75</v>
      </c>
      <c r="B76" s="400" t="s">
        <v>359</v>
      </c>
      <c r="C76" s="399">
        <v>20.190000000000001</v>
      </c>
      <c r="D76" s="399">
        <v>20.34</v>
      </c>
    </row>
    <row r="77" spans="1:4" ht="15.5" x14ac:dyDescent="0.35">
      <c r="A77" s="399">
        <v>76</v>
      </c>
      <c r="B77" s="400" t="s">
        <v>360</v>
      </c>
      <c r="C77" s="399">
        <v>18.43</v>
      </c>
      <c r="D77" s="399">
        <v>19.34</v>
      </c>
    </row>
    <row r="78" spans="1:4" ht="15.5" x14ac:dyDescent="0.35">
      <c r="A78" s="399">
        <v>77</v>
      </c>
      <c r="B78" s="400" t="s">
        <v>361</v>
      </c>
      <c r="C78" s="399">
        <v>16.41</v>
      </c>
      <c r="D78" s="399">
        <v>15.75</v>
      </c>
    </row>
    <row r="79" spans="1:4" ht="15.5" x14ac:dyDescent="0.35">
      <c r="A79" s="399">
        <v>78</v>
      </c>
      <c r="B79" s="400" t="s">
        <v>362</v>
      </c>
      <c r="C79" s="399">
        <v>16.28</v>
      </c>
      <c r="D79" s="399">
        <v>18.059999999999999</v>
      </c>
    </row>
    <row r="80" spans="1:4" ht="15.5" x14ac:dyDescent="0.35">
      <c r="A80" s="399">
        <v>79</v>
      </c>
      <c r="B80" s="400" t="s">
        <v>363</v>
      </c>
      <c r="C80" s="399">
        <v>12.42</v>
      </c>
      <c r="D80" s="399">
        <v>8.31</v>
      </c>
    </row>
    <row r="81" spans="1:4" ht="15.5" x14ac:dyDescent="0.35">
      <c r="A81" s="399">
        <v>80</v>
      </c>
      <c r="B81" s="400" t="s">
        <v>364</v>
      </c>
      <c r="C81" s="399">
        <v>8.86</v>
      </c>
      <c r="D81" s="399">
        <v>8.85</v>
      </c>
    </row>
    <row r="82" spans="1:4" ht="15.5" x14ac:dyDescent="0.35">
      <c r="A82" s="399">
        <v>81</v>
      </c>
      <c r="B82" s="400" t="s">
        <v>365</v>
      </c>
      <c r="C82" s="399">
        <v>7.37</v>
      </c>
      <c r="D82" s="399">
        <v>7.74</v>
      </c>
    </row>
    <row r="83" spans="1:4" ht="15.5" x14ac:dyDescent="0.35">
      <c r="A83" s="399">
        <v>82</v>
      </c>
      <c r="B83" s="400" t="s">
        <v>366</v>
      </c>
      <c r="C83" s="399">
        <v>6.94</v>
      </c>
      <c r="D83" s="399">
        <v>11.16</v>
      </c>
    </row>
    <row r="84" spans="1:4" ht="15.5" x14ac:dyDescent="0.35">
      <c r="A84" s="399">
        <v>83</v>
      </c>
      <c r="B84" s="400" t="s">
        <v>367</v>
      </c>
      <c r="C84" s="399">
        <v>5.93</v>
      </c>
      <c r="D84" s="399">
        <v>5.27</v>
      </c>
    </row>
    <row r="85" spans="1:4" ht="15.5" x14ac:dyDescent="0.35">
      <c r="A85" s="399">
        <v>84</v>
      </c>
      <c r="B85" s="400" t="s">
        <v>368</v>
      </c>
      <c r="C85" s="399">
        <v>1.51</v>
      </c>
      <c r="D85" s="399">
        <v>4.4000000000000004</v>
      </c>
    </row>
    <row r="86" spans="1:4" ht="15.5" x14ac:dyDescent="0.35">
      <c r="A86" s="399">
        <v>85</v>
      </c>
      <c r="B86" s="400" t="s">
        <v>369</v>
      </c>
      <c r="C86" s="399">
        <v>1</v>
      </c>
      <c r="D86" s="399">
        <v>1.68</v>
      </c>
    </row>
  </sheetData>
  <sortState ref="I4:J17">
    <sortCondition ref="I6:I1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25"/>
  <sheetViews>
    <sheetView zoomScale="55" zoomScaleNormal="55" workbookViewId="0">
      <selection activeCell="C7" sqref="C7"/>
    </sheetView>
  </sheetViews>
  <sheetFormatPr defaultRowHeight="14.5" x14ac:dyDescent="0.35"/>
  <cols>
    <col min="1" max="1" width="25.453125" bestFit="1" customWidth="1"/>
    <col min="2" max="2" width="15.453125" bestFit="1" customWidth="1"/>
    <col min="3" max="3" width="14.1796875" bestFit="1" customWidth="1"/>
    <col min="4" max="4" width="15" bestFit="1" customWidth="1"/>
    <col min="5" max="5" width="12.36328125" bestFit="1" customWidth="1"/>
    <col min="6" max="6" width="12" bestFit="1" customWidth="1"/>
    <col min="7" max="7" width="16.81640625" bestFit="1" customWidth="1"/>
    <col min="8" max="8" width="21.453125" bestFit="1" customWidth="1"/>
    <col min="9" max="9" width="12" bestFit="1" customWidth="1"/>
    <col min="10" max="10" width="17.6328125" bestFit="1" customWidth="1"/>
    <col min="11" max="11" width="16.453125" bestFit="1" customWidth="1"/>
    <col min="12" max="12" width="17.26953125" bestFit="1" customWidth="1"/>
    <col min="13" max="14" width="17.453125" bestFit="1" customWidth="1"/>
    <col min="15" max="15" width="20.90625" bestFit="1" customWidth="1"/>
    <col min="16" max="16" width="18.81640625" bestFit="1" customWidth="1"/>
  </cols>
  <sheetData>
    <row r="3" spans="1:15" x14ac:dyDescent="0.35">
      <c r="A3" s="268" t="s">
        <v>415</v>
      </c>
      <c r="B3" t="s">
        <v>391</v>
      </c>
      <c r="C3" t="s">
        <v>393</v>
      </c>
      <c r="D3" t="s">
        <v>392</v>
      </c>
      <c r="E3" t="s">
        <v>394</v>
      </c>
      <c r="F3" t="s">
        <v>395</v>
      </c>
      <c r="G3" t="s">
        <v>396</v>
      </c>
      <c r="H3" t="s">
        <v>397</v>
      </c>
      <c r="I3" t="s">
        <v>398</v>
      </c>
      <c r="J3" t="s">
        <v>399</v>
      </c>
      <c r="K3" t="s">
        <v>400</v>
      </c>
      <c r="L3" t="s">
        <v>401</v>
      </c>
      <c r="M3" t="s">
        <v>402</v>
      </c>
      <c r="N3" t="s">
        <v>403</v>
      </c>
      <c r="O3" t="s">
        <v>237</v>
      </c>
    </row>
    <row r="4" spans="1:15" x14ac:dyDescent="0.35">
      <c r="A4" s="269" t="s">
        <v>244</v>
      </c>
      <c r="B4" s="271">
        <v>0.26364575820815495</v>
      </c>
      <c r="C4" s="271">
        <v>0.31335563095676783</v>
      </c>
      <c r="D4" s="271">
        <v>0.51219512195121952</v>
      </c>
      <c r="E4" s="271">
        <v>0.27604767541874664</v>
      </c>
      <c r="F4" s="271">
        <v>0.91873370507193974</v>
      </c>
      <c r="G4" s="271">
        <v>0.8787878787878789</v>
      </c>
      <c r="H4" s="271">
        <v>1</v>
      </c>
      <c r="I4" s="271">
        <v>0.91383897185524188</v>
      </c>
      <c r="J4" s="271">
        <v>0.27868586145380714</v>
      </c>
      <c r="K4" s="271">
        <v>0</v>
      </c>
      <c r="L4" s="271">
        <v>0.86135576844480866</v>
      </c>
      <c r="M4" s="271">
        <v>0.4375575726951253</v>
      </c>
      <c r="N4" s="271">
        <v>1.3673783831852289E-2</v>
      </c>
      <c r="O4" s="271">
        <v>0.32513852543679006</v>
      </c>
    </row>
    <row r="5" spans="1:15" x14ac:dyDescent="0.35">
      <c r="A5" s="270" t="s">
        <v>28</v>
      </c>
      <c r="B5" s="271">
        <v>0.26364575820815495</v>
      </c>
      <c r="C5" s="271">
        <v>0.31335563095676783</v>
      </c>
      <c r="D5" s="271">
        <v>0.51219512195121952</v>
      </c>
      <c r="E5" s="271">
        <v>0.27604767541874664</v>
      </c>
      <c r="F5" s="271">
        <v>0.91873370507193974</v>
      </c>
      <c r="G5" s="271">
        <v>0.8787878787878789</v>
      </c>
      <c r="H5" s="271">
        <v>1</v>
      </c>
      <c r="I5" s="271">
        <v>0.91383897185524188</v>
      </c>
      <c r="J5" s="271">
        <v>0.27868586145380714</v>
      </c>
      <c r="K5" s="271">
        <v>0</v>
      </c>
      <c r="L5" s="271">
        <v>0.86135576844480866</v>
      </c>
      <c r="M5" s="271">
        <v>0.4375575726951253</v>
      </c>
      <c r="N5" s="271">
        <v>1.3673783831852289E-2</v>
      </c>
      <c r="O5" s="271">
        <v>0.32513852543679006</v>
      </c>
    </row>
    <row r="6" spans="1:15" x14ac:dyDescent="0.35">
      <c r="A6" s="269" t="s">
        <v>416</v>
      </c>
      <c r="B6" s="271">
        <v>0.26364575820815495</v>
      </c>
      <c r="C6" s="271">
        <v>0.31335563095676783</v>
      </c>
      <c r="D6" s="271">
        <v>0.51219512195121952</v>
      </c>
      <c r="E6" s="271">
        <v>0.27604767541874664</v>
      </c>
      <c r="F6" s="271">
        <v>0.91873370507193974</v>
      </c>
      <c r="G6" s="271">
        <v>0.8787878787878789</v>
      </c>
      <c r="H6" s="271">
        <v>1</v>
      </c>
      <c r="I6" s="271">
        <v>0.91383897185524188</v>
      </c>
      <c r="J6" s="271">
        <v>0.27868586145380714</v>
      </c>
      <c r="K6" s="271">
        <v>0</v>
      </c>
      <c r="L6" s="271">
        <v>0.86135576844480866</v>
      </c>
      <c r="M6" s="271">
        <v>0.4375575726951253</v>
      </c>
      <c r="N6" s="271">
        <v>1.3673783831852289E-2</v>
      </c>
      <c r="O6" s="271">
        <v>0.32513852543679006</v>
      </c>
    </row>
    <row r="11" spans="1:15" x14ac:dyDescent="0.35">
      <c r="C11" s="411" t="str">
        <f>A4</f>
        <v>Новосибирская</v>
      </c>
      <c r="D11" s="411" t="str">
        <f>A6</f>
        <v>Grand Total</v>
      </c>
      <c r="E11" s="411" t="str">
        <f>A4</f>
        <v>Новосибирская</v>
      </c>
      <c r="F11" s="411" t="str">
        <f>A6</f>
        <v>Grand Total</v>
      </c>
    </row>
    <row r="12" spans="1:15" x14ac:dyDescent="0.35">
      <c r="B12" s="60" t="s">
        <v>276</v>
      </c>
      <c r="C12" s="23">
        <f>O4</f>
        <v>0.32513852543679006</v>
      </c>
      <c r="D12" s="23">
        <f>O6</f>
        <v>0.32513852543679006</v>
      </c>
      <c r="E12" s="283">
        <f>Таблица_сравнение!C12*100</f>
        <v>32.513852543679008</v>
      </c>
      <c r="F12" s="283">
        <f>Таблица_сравнение!D12*100</f>
        <v>32.513852543679008</v>
      </c>
    </row>
    <row r="13" spans="1:15" x14ac:dyDescent="0.35">
      <c r="B13" s="60"/>
      <c r="E13" s="283"/>
      <c r="F13" s="283"/>
    </row>
    <row r="14" spans="1:15" ht="25" x14ac:dyDescent="0.35">
      <c r="B14" s="280" t="s">
        <v>259</v>
      </c>
      <c r="C14" s="272">
        <f>E4</f>
        <v>0.27604767541874664</v>
      </c>
      <c r="D14" s="412">
        <f>E6</f>
        <v>0.27604767541874664</v>
      </c>
      <c r="E14" s="283">
        <f>Таблица_сравнение!C14*100</f>
        <v>27.604767541874665</v>
      </c>
      <c r="F14" s="283">
        <f>Таблица_сравнение!D14*100</f>
        <v>27.604767541874665</v>
      </c>
    </row>
    <row r="15" spans="1:15" ht="37.5" x14ac:dyDescent="0.35">
      <c r="B15" s="280" t="s">
        <v>260</v>
      </c>
      <c r="C15" s="23">
        <f>I4</f>
        <v>0.91383897185524188</v>
      </c>
      <c r="D15" s="252">
        <f>I6</f>
        <v>0.91383897185524188</v>
      </c>
      <c r="E15" s="283">
        <f>Таблица_сравнение!C15*100</f>
        <v>91.383897185524191</v>
      </c>
      <c r="F15" s="283">
        <f>Таблица_сравнение!D15*100</f>
        <v>91.383897185524191</v>
      </c>
    </row>
    <row r="16" spans="1:15" ht="37.5" x14ac:dyDescent="0.35">
      <c r="B16" s="280" t="s">
        <v>261</v>
      </c>
      <c r="C16" s="23">
        <f>J4</f>
        <v>0.27868586145380714</v>
      </c>
      <c r="D16" s="252">
        <f>J6</f>
        <v>0.27868586145380714</v>
      </c>
      <c r="E16" s="283">
        <f>Таблица_сравнение!C16*100</f>
        <v>27.868586145380714</v>
      </c>
      <c r="F16" s="283">
        <f>Таблица_сравнение!D16*100</f>
        <v>27.868586145380714</v>
      </c>
    </row>
    <row r="17" spans="2:6" ht="37.5" x14ac:dyDescent="0.35">
      <c r="B17" s="280" t="s">
        <v>262</v>
      </c>
      <c r="C17" s="23">
        <f>K4</f>
        <v>0</v>
      </c>
      <c r="D17" s="252">
        <f>K6</f>
        <v>0</v>
      </c>
      <c r="E17" s="283">
        <f>Таблица_сравнение!C17*100</f>
        <v>0</v>
      </c>
      <c r="F17" s="283">
        <f>Таблица_сравнение!D17*100</f>
        <v>0</v>
      </c>
    </row>
    <row r="18" spans="2:6" x14ac:dyDescent="0.35">
      <c r="B18" s="280" t="s">
        <v>263</v>
      </c>
      <c r="C18" s="23">
        <f>N4</f>
        <v>1.3673783831852289E-2</v>
      </c>
      <c r="D18" s="252">
        <f>N6</f>
        <v>1.3673783831852289E-2</v>
      </c>
      <c r="E18" s="283">
        <f>Таблица_сравнение!C18*100</f>
        <v>1.3673783831852289</v>
      </c>
      <c r="F18" s="283">
        <f>Таблица_сравнение!D18*100</f>
        <v>1.3673783831852289</v>
      </c>
    </row>
    <row r="19" spans="2:6" x14ac:dyDescent="0.35">
      <c r="B19" s="280" t="s">
        <v>264</v>
      </c>
      <c r="C19" s="23">
        <f>L4</f>
        <v>0.86135576844480866</v>
      </c>
      <c r="D19" s="252">
        <f>L6</f>
        <v>0.86135576844480866</v>
      </c>
      <c r="E19" s="283">
        <f>Таблица_сравнение!C19*100</f>
        <v>86.135576844480866</v>
      </c>
      <c r="F19" s="283">
        <f>Таблица_сравнение!D19*100</f>
        <v>86.135576844480866</v>
      </c>
    </row>
    <row r="20" spans="2:6" ht="25" x14ac:dyDescent="0.35">
      <c r="B20" s="281" t="s">
        <v>265</v>
      </c>
      <c r="C20" s="23">
        <f>M4</f>
        <v>0.4375575726951253</v>
      </c>
      <c r="D20" s="252">
        <f>M6</f>
        <v>0.4375575726951253</v>
      </c>
      <c r="E20" s="283">
        <f>Таблица_сравнение!C20*100</f>
        <v>43.755757269512529</v>
      </c>
      <c r="F20" s="283">
        <f>Таблица_сравнение!D20*100</f>
        <v>43.755757269512529</v>
      </c>
    </row>
    <row r="21" spans="2:6" x14ac:dyDescent="0.35">
      <c r="B21" s="60"/>
      <c r="C21" s="23"/>
      <c r="D21" s="413"/>
      <c r="E21" s="283"/>
      <c r="F21" s="283"/>
    </row>
    <row r="22" spans="2:6" x14ac:dyDescent="0.35">
      <c r="B22" s="60" t="s">
        <v>275</v>
      </c>
      <c r="C22" s="276">
        <f>C4</f>
        <v>0.31335563095676783</v>
      </c>
      <c r="D22" s="252">
        <f>C6</f>
        <v>0.31335563095676783</v>
      </c>
      <c r="E22" s="283">
        <f>Таблица_сравнение!C22*100</f>
        <v>31.335563095676783</v>
      </c>
      <c r="F22" s="283">
        <f>Таблица_сравнение!D22*100</f>
        <v>31.335563095676783</v>
      </c>
    </row>
    <row r="23" spans="2:6" x14ac:dyDescent="0.35">
      <c r="B23" s="60"/>
      <c r="D23" s="413"/>
      <c r="E23" s="283"/>
      <c r="F23" s="283"/>
    </row>
    <row r="24" spans="2:6" x14ac:dyDescent="0.35">
      <c r="B24" s="282" t="s">
        <v>238</v>
      </c>
      <c r="C24" s="23">
        <f>B4</f>
        <v>0.26364575820815495</v>
      </c>
      <c r="D24" s="252">
        <f>B6</f>
        <v>0.26364575820815495</v>
      </c>
      <c r="E24" s="283">
        <f>Таблица_сравнение!C24*100</f>
        <v>26.364575820815496</v>
      </c>
      <c r="F24" s="283">
        <f>Таблица_сравнение!D24*100</f>
        <v>26.364575820815496</v>
      </c>
    </row>
    <row r="25" spans="2:6" x14ac:dyDescent="0.35">
      <c r="B25" s="282" t="s">
        <v>253</v>
      </c>
      <c r="C25" s="23">
        <f>D4</f>
        <v>0.51219512195121952</v>
      </c>
      <c r="D25" s="252">
        <f>D6</f>
        <v>0.51219512195121952</v>
      </c>
      <c r="E25" s="283">
        <f>Таблица_сравнение!C25*100</f>
        <v>51.219512195121951</v>
      </c>
      <c r="F25" s="283">
        <f>Таблица_сравнение!D25*100</f>
        <v>51.219512195121951</v>
      </c>
    </row>
  </sheetData>
  <conditionalFormatting sqref="C14:C23 C24:D25">
    <cfRule type="colorScale" priority="9">
      <colorScale>
        <cfvo type="num" val="0"/>
        <cfvo type="num" val="1"/>
        <color theme="0"/>
        <color rgb="FFFF7C80"/>
      </colorScale>
    </cfRule>
  </conditionalFormatting>
  <conditionalFormatting sqref="D14:D20">
    <cfRule type="colorScale" priority="8">
      <colorScale>
        <cfvo type="num" val="0"/>
        <cfvo type="num" val="1"/>
        <color theme="0"/>
        <color rgb="FFFF7C80"/>
      </colorScale>
    </cfRule>
  </conditionalFormatting>
  <conditionalFormatting sqref="C22">
    <cfRule type="colorScale" priority="7">
      <colorScale>
        <cfvo type="num" val="0"/>
        <cfvo type="num" val="1"/>
        <color theme="0"/>
        <color rgb="FFFF7C80"/>
      </colorScale>
    </cfRule>
  </conditionalFormatting>
  <conditionalFormatting sqref="D22">
    <cfRule type="colorScale" priority="6">
      <colorScale>
        <cfvo type="num" val="0"/>
        <cfvo type="num" val="1"/>
        <color theme="0"/>
        <color rgb="FFFF7C80"/>
      </colorScale>
    </cfRule>
  </conditionalFormatting>
  <conditionalFormatting sqref="C25">
    <cfRule type="colorScale" priority="5">
      <colorScale>
        <cfvo type="num" val="0"/>
        <cfvo type="num" val="1"/>
        <color theme="0"/>
        <color rgb="FFFF7C80"/>
      </colorScale>
    </cfRule>
  </conditionalFormatting>
  <conditionalFormatting sqref="C12">
    <cfRule type="colorScale" priority="3">
      <colorScale>
        <cfvo type="num" val="0"/>
        <cfvo type="num" val="1"/>
        <color theme="0"/>
        <color rgb="FFFF7C80"/>
      </colorScale>
    </cfRule>
  </conditionalFormatting>
  <conditionalFormatting sqref="D14:D20 D22">
    <cfRule type="colorScale" priority="2">
      <colorScale>
        <cfvo type="num" val="0"/>
        <cfvo type="num" val="1"/>
        <color theme="0"/>
        <color rgb="FFFF7C80"/>
      </colorScale>
    </cfRule>
  </conditionalFormatting>
  <conditionalFormatting sqref="D12">
    <cfRule type="colorScale" priority="1">
      <colorScale>
        <cfvo type="num" val="0"/>
        <cfvo type="num" val="1"/>
        <color theme="0"/>
        <color rgb="FFFF7C80"/>
      </colorScale>
    </cfRule>
  </conditionalFormatting>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H17:K42"/>
  <sheetViews>
    <sheetView topLeftCell="D1" zoomScale="40" zoomScaleNormal="40" workbookViewId="0">
      <selection activeCell="E17" sqref="E17"/>
    </sheetView>
  </sheetViews>
  <sheetFormatPr defaultRowHeight="14.5" x14ac:dyDescent="0.35"/>
  <cols>
    <col min="1" max="1" width="26.54296875" bestFit="1" customWidth="1"/>
    <col min="2" max="2" width="55.81640625" bestFit="1" customWidth="1"/>
    <col min="3" max="3" width="33.453125" bestFit="1" customWidth="1"/>
    <col min="4" max="4" width="21" bestFit="1" customWidth="1"/>
    <col min="5" max="5" width="36.26953125" bestFit="1" customWidth="1"/>
    <col min="6" max="6" width="30.54296875" bestFit="1" customWidth="1"/>
    <col min="7" max="7" width="44.453125" bestFit="1" customWidth="1"/>
    <col min="8" max="8" width="149.1796875" bestFit="1" customWidth="1"/>
    <col min="9" max="9" width="37.26953125" bestFit="1" customWidth="1"/>
    <col min="10" max="10" width="44.81640625" bestFit="1" customWidth="1"/>
    <col min="11" max="11" width="43.54296875" bestFit="1" customWidth="1"/>
    <col min="12" max="12" width="38.453125" bestFit="1" customWidth="1"/>
    <col min="13" max="13" width="49.54296875" bestFit="1" customWidth="1"/>
    <col min="14" max="14" width="23.54296875" bestFit="1" customWidth="1"/>
    <col min="15" max="15" width="27.1796875" bestFit="1" customWidth="1"/>
    <col min="16" max="16" width="50.54296875" bestFit="1" customWidth="1"/>
    <col min="17" max="17" width="22.26953125" bestFit="1" customWidth="1"/>
    <col min="18" max="18" width="20.453125" bestFit="1" customWidth="1"/>
  </cols>
  <sheetData>
    <row r="17" spans="10:11" x14ac:dyDescent="0.35">
      <c r="J17">
        <f>Таблица_сравнение__!A4</f>
        <v>0</v>
      </c>
      <c r="K17" s="277">
        <f>Таблица_сравнение__!A6</f>
        <v>0</v>
      </c>
    </row>
    <row r="40" spans="8:9" x14ac:dyDescent="0.35">
      <c r="I40" s="277"/>
    </row>
    <row r="41" spans="8:9" x14ac:dyDescent="0.35">
      <c r="H41" s="278"/>
      <c r="I41" s="279"/>
    </row>
    <row r="42" spans="8:9" x14ac:dyDescent="0.35">
      <c r="H42" s="278"/>
      <c r="I42" s="2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38"/>
  <sheetViews>
    <sheetView showGridLines="0" zoomScale="55" zoomScaleNormal="55" zoomScaleSheetLayoutView="100" zoomScalePageLayoutView="55" workbookViewId="0">
      <selection activeCell="V23" sqref="V23"/>
    </sheetView>
  </sheetViews>
  <sheetFormatPr defaultRowHeight="14.5" x14ac:dyDescent="0.35"/>
  <cols>
    <col min="1" max="1" width="5.1796875" customWidth="1"/>
    <col min="2" max="2" width="8.7265625" customWidth="1"/>
    <col min="3" max="3" width="34.81640625" customWidth="1"/>
    <col min="4" max="4" width="7.54296875" customWidth="1"/>
    <col min="5" max="5" width="6.54296875" customWidth="1"/>
    <col min="6" max="6" width="6.453125" customWidth="1"/>
    <col min="7" max="7" width="3.26953125" customWidth="1"/>
    <col min="8" max="8" width="3.1796875" customWidth="1"/>
    <col min="9" max="9" width="3.453125" customWidth="1"/>
    <col min="10" max="10" width="3.81640625" customWidth="1"/>
    <col min="13" max="13" width="5.7265625" customWidth="1"/>
    <col min="14" max="14" width="4" customWidth="1"/>
    <col min="15" max="15" width="12.54296875" customWidth="1"/>
    <col min="16" max="18" width="8.7265625" customWidth="1"/>
  </cols>
  <sheetData>
    <row r="1" spans="1:14" x14ac:dyDescent="0.35">
      <c r="A1" s="56"/>
      <c r="B1" s="56"/>
      <c r="C1" s="56"/>
      <c r="D1" s="56"/>
      <c r="E1" s="56"/>
      <c r="F1" s="56"/>
      <c r="G1" s="56"/>
      <c r="H1" s="56"/>
      <c r="I1" s="56"/>
      <c r="J1" s="56"/>
      <c r="K1" s="56"/>
      <c r="L1" s="56"/>
    </row>
    <row r="2" spans="1:14" x14ac:dyDescent="0.35">
      <c r="A2" s="56"/>
      <c r="B2" s="312" t="s">
        <v>271</v>
      </c>
      <c r="C2" s="56"/>
      <c r="D2" s="56"/>
      <c r="E2" s="56"/>
      <c r="F2" s="56"/>
      <c r="G2" s="56"/>
      <c r="H2" s="56"/>
      <c r="I2" s="56"/>
      <c r="J2" s="56"/>
      <c r="K2" s="56"/>
      <c r="L2" s="56"/>
    </row>
    <row r="3" spans="1:14" ht="14.5" customHeight="1" x14ac:dyDescent="0.35">
      <c r="A3" s="56"/>
      <c r="B3" s="313" t="s">
        <v>272</v>
      </c>
      <c r="C3" s="267"/>
      <c r="D3" s="267"/>
      <c r="E3" s="267"/>
      <c r="F3" s="267"/>
      <c r="G3" s="267"/>
      <c r="H3" s="267"/>
      <c r="I3" s="267"/>
      <c r="J3" s="267"/>
      <c r="K3" s="267"/>
      <c r="L3" s="56"/>
    </row>
    <row r="4" spans="1:14" ht="14.5" customHeight="1" x14ac:dyDescent="0.35">
      <c r="A4" s="56"/>
      <c r="C4" s="267"/>
      <c r="D4" s="267"/>
      <c r="E4" s="267"/>
      <c r="F4" s="267"/>
      <c r="G4" s="267"/>
      <c r="H4" s="267"/>
      <c r="I4" s="267"/>
      <c r="J4" s="267"/>
      <c r="K4" s="267"/>
      <c r="L4" s="56"/>
    </row>
    <row r="5" spans="1:14" x14ac:dyDescent="0.35">
      <c r="A5" s="56"/>
      <c r="D5" s="262"/>
      <c r="F5" s="262"/>
      <c r="G5" s="253"/>
      <c r="H5" s="262"/>
      <c r="I5" s="253"/>
      <c r="J5" s="262"/>
      <c r="K5" s="262"/>
      <c r="L5" s="56"/>
    </row>
    <row r="6" spans="1:14" x14ac:dyDescent="0.35">
      <c r="A6" s="56"/>
      <c r="C6" s="56"/>
      <c r="D6" s="56"/>
      <c r="E6" s="289" t="s">
        <v>269</v>
      </c>
      <c r="K6" s="56"/>
      <c r="L6" s="56"/>
    </row>
    <row r="8" spans="1:14" ht="14.5" customHeight="1" x14ac:dyDescent="0.5">
      <c r="A8" s="56"/>
      <c r="C8" s="317"/>
      <c r="D8" s="319" t="str">
        <f>Таблица!A5</f>
        <v>Рязанская</v>
      </c>
      <c r="E8" s="254"/>
      <c r="M8" s="289" t="s">
        <v>274</v>
      </c>
      <c r="N8" s="292"/>
    </row>
    <row r="9" spans="1:14" x14ac:dyDescent="0.35">
      <c r="A9" s="56"/>
      <c r="C9" s="254"/>
      <c r="D9" s="254"/>
      <c r="E9" s="254"/>
      <c r="F9" s="27"/>
      <c r="G9" s="27"/>
      <c r="H9" s="27"/>
      <c r="I9" s="27"/>
    </row>
    <row r="10" spans="1:14" x14ac:dyDescent="0.35">
      <c r="A10" s="56"/>
      <c r="C10" s="254"/>
      <c r="D10" s="254"/>
      <c r="E10" s="254"/>
      <c r="F10" s="261"/>
      <c r="G10" s="254"/>
      <c r="H10" s="27"/>
      <c r="I10" s="27"/>
    </row>
    <row r="11" spans="1:14" x14ac:dyDescent="0.35">
      <c r="A11" s="56"/>
      <c r="C11" s="260"/>
      <c r="D11" s="254"/>
      <c r="E11" s="254"/>
      <c r="F11" s="261"/>
      <c r="G11" s="254"/>
      <c r="H11" s="27"/>
      <c r="I11" s="27"/>
    </row>
    <row r="12" spans="1:14" x14ac:dyDescent="0.35">
      <c r="D12" s="254"/>
      <c r="E12" s="254"/>
      <c r="F12" s="254"/>
      <c r="G12" s="254"/>
      <c r="H12" s="27"/>
      <c r="I12" s="27"/>
    </row>
    <row r="13" spans="1:14" x14ac:dyDescent="0.35">
      <c r="D13" s="254"/>
      <c r="E13" s="254"/>
    </row>
    <row r="14" spans="1:14" x14ac:dyDescent="0.35">
      <c r="E14" s="19"/>
    </row>
    <row r="15" spans="1:14" x14ac:dyDescent="0.35">
      <c r="B15" s="302" t="s">
        <v>390</v>
      </c>
      <c r="C15" s="285"/>
    </row>
    <row r="16" spans="1:14" x14ac:dyDescent="0.35">
      <c r="B16" s="302" t="s">
        <v>273</v>
      </c>
      <c r="C16" s="285"/>
    </row>
    <row r="17" spans="2:10" x14ac:dyDescent="0.35">
      <c r="B17" s="263"/>
      <c r="C17" s="285"/>
    </row>
    <row r="18" spans="2:10" ht="15.5" x14ac:dyDescent="0.35">
      <c r="B18" s="287"/>
      <c r="C18" s="288" t="s">
        <v>267</v>
      </c>
      <c r="D18" s="316">
        <f>Таблица!B30</f>
        <v>60.358472040534885</v>
      </c>
    </row>
    <row r="19" spans="2:10" ht="15.5" x14ac:dyDescent="0.35">
      <c r="B19" s="290" t="s">
        <v>256</v>
      </c>
      <c r="C19" s="291" t="s">
        <v>258</v>
      </c>
      <c r="D19" s="316"/>
      <c r="F19" s="27"/>
    </row>
    <row r="20" spans="2:10" ht="15.5" x14ac:dyDescent="0.35">
      <c r="B20" s="293">
        <v>1</v>
      </c>
      <c r="C20" s="294" t="s">
        <v>259</v>
      </c>
      <c r="D20" s="316">
        <f>Таблица!B32</f>
        <v>66.602170474434573</v>
      </c>
      <c r="E20" s="56"/>
      <c r="F20" s="254"/>
      <c r="G20" s="56"/>
      <c r="H20" s="56"/>
      <c r="I20" s="56"/>
      <c r="J20" s="56"/>
    </row>
    <row r="21" spans="2:10" ht="15.5" x14ac:dyDescent="0.35">
      <c r="B21" s="293">
        <v>1</v>
      </c>
      <c r="C21" s="294" t="s">
        <v>260</v>
      </c>
      <c r="D21" s="316">
        <f>Таблица!B33</f>
        <v>91.350000317347167</v>
      </c>
    </row>
    <row r="22" spans="2:10" ht="15.5" x14ac:dyDescent="0.35">
      <c r="B22" s="293">
        <v>0.67</v>
      </c>
      <c r="C22" s="294" t="s">
        <v>261</v>
      </c>
      <c r="D22" s="316">
        <f>Таблица!B34</f>
        <v>85.844063174681011</v>
      </c>
    </row>
    <row r="23" spans="2:10" ht="15.5" x14ac:dyDescent="0.35">
      <c r="B23" s="293">
        <v>0.67</v>
      </c>
      <c r="C23" s="294" t="s">
        <v>262</v>
      </c>
      <c r="D23" s="316">
        <f>Таблица!B35</f>
        <v>60.524410890233874</v>
      </c>
    </row>
    <row r="24" spans="2:10" ht="15.5" x14ac:dyDescent="0.35">
      <c r="B24" s="293">
        <v>0.67</v>
      </c>
      <c r="C24" s="294" t="s">
        <v>263</v>
      </c>
      <c r="D24" s="316">
        <f>Таблица!B36</f>
        <v>18.51325460276972</v>
      </c>
    </row>
    <row r="25" spans="2:10" ht="15.5" x14ac:dyDescent="0.35">
      <c r="B25" s="293">
        <v>0.33</v>
      </c>
      <c r="C25" s="294" t="s">
        <v>264</v>
      </c>
      <c r="D25" s="316">
        <f>Таблица!B37</f>
        <v>67.867478338978046</v>
      </c>
    </row>
    <row r="26" spans="2:10" ht="15.5" x14ac:dyDescent="0.35">
      <c r="B26" s="293">
        <v>0.33</v>
      </c>
      <c r="C26" s="294" t="s">
        <v>265</v>
      </c>
      <c r="D26" s="316">
        <f>Таблица!B38</f>
        <v>29.436457487219904</v>
      </c>
    </row>
    <row r="27" spans="2:10" ht="15.5" x14ac:dyDescent="0.35">
      <c r="B27" s="285"/>
      <c r="C27" s="285"/>
      <c r="D27" s="316"/>
    </row>
    <row r="28" spans="2:10" ht="15.5" x14ac:dyDescent="0.35">
      <c r="B28" s="287"/>
      <c r="C28" s="288" t="s">
        <v>279</v>
      </c>
      <c r="D28" s="316">
        <f>Таблица!B40</f>
        <v>33.642239168304698</v>
      </c>
    </row>
    <row r="29" spans="2:10" ht="15.5" x14ac:dyDescent="0.35">
      <c r="B29" s="290" t="s">
        <v>256</v>
      </c>
      <c r="C29" s="296" t="s">
        <v>268</v>
      </c>
      <c r="D29" s="316"/>
    </row>
    <row r="30" spans="2:10" ht="15.5" x14ac:dyDescent="0.35">
      <c r="B30" s="298">
        <v>0.6</v>
      </c>
      <c r="C30" s="299" t="s">
        <v>253</v>
      </c>
      <c r="D30" s="316">
        <f>Таблица!B42</f>
        <v>63.414634146341456</v>
      </c>
    </row>
    <row r="31" spans="2:10" ht="15.5" x14ac:dyDescent="0.35">
      <c r="B31" s="298">
        <v>1</v>
      </c>
      <c r="C31" s="299" t="s">
        <v>238</v>
      </c>
      <c r="D31" s="316">
        <f>Таблица!B43</f>
        <v>26.199140423795512</v>
      </c>
    </row>
    <row r="32" spans="2:10" x14ac:dyDescent="0.35">
      <c r="C32" s="285"/>
    </row>
    <row r="33" spans="2:3" x14ac:dyDescent="0.35">
      <c r="C33" s="285"/>
    </row>
    <row r="34" spans="2:3" x14ac:dyDescent="0.35">
      <c r="C34" s="285"/>
    </row>
    <row r="35" spans="2:3" x14ac:dyDescent="0.35">
      <c r="C35" s="285"/>
    </row>
    <row r="38" spans="2:3" x14ac:dyDescent="0.35">
      <c r="B38" s="284" t="s">
        <v>277</v>
      </c>
    </row>
  </sheetData>
  <conditionalFormatting sqref="D18:D31">
    <cfRule type="colorScale" priority="3">
      <colorScale>
        <cfvo type="num" val="0"/>
        <cfvo type="num" val="100"/>
        <color theme="0"/>
        <color rgb="FFFF7C80"/>
      </colorScale>
    </cfRule>
    <cfRule type="colorScale" priority="11">
      <colorScale>
        <cfvo type="num" val="0"/>
        <cfvo type="num" val="1"/>
        <color theme="0"/>
        <color theme="5" tint="0.39997558519241921"/>
      </colorScale>
    </cfRule>
  </conditionalFormatting>
  <conditionalFormatting sqref="D18:D31">
    <cfRule type="colorScale" priority="5">
      <colorScale>
        <cfvo type="num" val="0"/>
        <cfvo type="num" val="1"/>
        <color theme="0"/>
        <color rgb="FFFF7C80"/>
      </colorScale>
    </cfRule>
    <cfRule type="colorScale" priority="9">
      <colorScale>
        <cfvo type="num" val="0"/>
        <cfvo type="num" val="1"/>
        <color theme="0"/>
        <color rgb="FFC00000"/>
      </colorScale>
    </cfRule>
  </conditionalFormatting>
  <conditionalFormatting sqref="D28:D31">
    <cfRule type="colorScale" priority="1">
      <colorScale>
        <cfvo type="num" val="0"/>
        <cfvo type="num" val="100"/>
        <color theme="0"/>
        <color theme="5" tint="0.39997558519241921"/>
      </colorScale>
    </cfRule>
    <cfRule type="colorScale" priority="2">
      <colorScale>
        <cfvo type="num" val="0"/>
        <cfvo type="num" val="1"/>
        <color theme="0"/>
        <color theme="5" tint="0.39997558519241921"/>
      </colorScale>
    </cfRule>
  </conditionalFormatting>
  <printOptions horizontalCentered="1" verticalCentered="1"/>
  <pageMargins left="0.27559055118110237" right="0.27559055118110237" top="0.27559055118110237" bottom="0.27559055118110237" header="0.27559055118110237" footer="0.27559055118110237"/>
  <pageSetup paperSize="9" scale="95" orientation="landscape"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L43"/>
  <sheetViews>
    <sheetView topLeftCell="A13" zoomScale="55" zoomScaleNormal="55" workbookViewId="0">
      <selection activeCell="A5" sqref="A5"/>
    </sheetView>
  </sheetViews>
  <sheetFormatPr defaultRowHeight="14.5" x14ac:dyDescent="0.35"/>
  <cols>
    <col min="1" max="1" width="21.54296875" customWidth="1"/>
    <col min="2" max="2" width="25" bestFit="1" customWidth="1"/>
    <col min="3" max="3" width="24.453125" bestFit="1" customWidth="1"/>
    <col min="4" max="4" width="23.26953125" bestFit="1" customWidth="1"/>
    <col min="5" max="5" width="21.453125" bestFit="1" customWidth="1"/>
    <col min="6" max="6" width="20.453125" bestFit="1" customWidth="1"/>
    <col min="7" max="7" width="26.81640625" bestFit="1" customWidth="1"/>
    <col min="8" max="8" width="25.81640625" bestFit="1" customWidth="1"/>
    <col min="9" max="9" width="26.453125" bestFit="1" customWidth="1"/>
    <col min="10" max="10" width="26.7265625" bestFit="1" customWidth="1"/>
    <col min="11" max="11" width="27.1796875" bestFit="1" customWidth="1"/>
    <col min="12" max="12" width="22" bestFit="1" customWidth="1"/>
    <col min="13" max="13" width="58.26953125" bestFit="1" customWidth="1"/>
  </cols>
  <sheetData>
    <row r="3" spans="1:12" x14ac:dyDescent="0.35">
      <c r="A3" s="23"/>
      <c r="B3" s="251" t="s">
        <v>375</v>
      </c>
      <c r="C3" s="23"/>
      <c r="D3" s="23"/>
      <c r="E3" s="23"/>
      <c r="F3" s="23"/>
      <c r="G3" s="23"/>
      <c r="H3" s="23"/>
      <c r="I3" s="23"/>
      <c r="J3" s="23"/>
      <c r="K3" s="23"/>
      <c r="L3" s="23"/>
    </row>
    <row r="4" spans="1:12" x14ac:dyDescent="0.35">
      <c r="A4" s="251" t="s">
        <v>413</v>
      </c>
      <c r="B4" s="23" t="s">
        <v>378</v>
      </c>
      <c r="C4" s="23" t="s">
        <v>379</v>
      </c>
      <c r="D4" s="23" t="s">
        <v>380</v>
      </c>
      <c r="E4" s="23" t="s">
        <v>381</v>
      </c>
      <c r="F4" s="23" t="s">
        <v>382</v>
      </c>
      <c r="G4" s="23" t="s">
        <v>383</v>
      </c>
      <c r="H4" s="23" t="s">
        <v>384</v>
      </c>
      <c r="I4" s="23" t="s">
        <v>385</v>
      </c>
      <c r="J4" s="23" t="s">
        <v>386</v>
      </c>
      <c r="K4" s="23" t="s">
        <v>387</v>
      </c>
      <c r="L4" s="23" t="s">
        <v>237</v>
      </c>
    </row>
    <row r="5" spans="1:12" x14ac:dyDescent="0.35">
      <c r="A5" s="252" t="s">
        <v>246</v>
      </c>
      <c r="B5" s="23">
        <v>0.26199140423795514</v>
      </c>
      <c r="C5" s="23">
        <v>0.63414634146341453</v>
      </c>
      <c r="D5" s="23">
        <v>0.336422391683047</v>
      </c>
      <c r="E5" s="23">
        <v>0.66602170474434574</v>
      </c>
      <c r="F5" s="23">
        <v>0.91350000317347169</v>
      </c>
      <c r="G5" s="23">
        <v>0.85844063174681007</v>
      </c>
      <c r="H5" s="23">
        <v>0.60524410890233871</v>
      </c>
      <c r="I5" s="23">
        <v>0.67867478338978049</v>
      </c>
      <c r="J5" s="23">
        <v>0.29436457487219903</v>
      </c>
      <c r="K5" s="23">
        <v>0.18513254602769721</v>
      </c>
      <c r="L5" s="23">
        <v>0.60358472040534883</v>
      </c>
    </row>
    <row r="6" spans="1:12" x14ac:dyDescent="0.35">
      <c r="A6" s="266" t="s">
        <v>34</v>
      </c>
      <c r="B6" s="23">
        <v>0.26199140423795514</v>
      </c>
      <c r="C6" s="23">
        <v>0.63414634146341453</v>
      </c>
      <c r="D6" s="23">
        <v>0.336422391683047</v>
      </c>
      <c r="E6" s="23">
        <v>0.66602170474434574</v>
      </c>
      <c r="F6" s="23">
        <v>0.91350000317347169</v>
      </c>
      <c r="G6" s="23">
        <v>0.85844063174681007</v>
      </c>
      <c r="H6" s="23">
        <v>0.60524410890233871</v>
      </c>
      <c r="I6" s="23">
        <v>0.67867478338978049</v>
      </c>
      <c r="J6" s="23">
        <v>0.29436457487219903</v>
      </c>
      <c r="K6" s="23">
        <v>0.18513254602769721</v>
      </c>
      <c r="L6" s="23">
        <v>0.60358472040534883</v>
      </c>
    </row>
    <row r="7" spans="1:12" x14ac:dyDescent="0.35">
      <c r="A7" s="252" t="s">
        <v>414</v>
      </c>
      <c r="B7" s="23">
        <v>0.26199140423795514</v>
      </c>
      <c r="C7" s="23">
        <v>0.63414634146341453</v>
      </c>
      <c r="D7" s="23">
        <v>0.336422391683047</v>
      </c>
      <c r="E7" s="23">
        <v>0.66602170474434574</v>
      </c>
      <c r="F7" s="23">
        <v>0.91350000317347169</v>
      </c>
      <c r="G7" s="23">
        <v>0.85844063174681007</v>
      </c>
      <c r="H7" s="23">
        <v>0.60524410890233871</v>
      </c>
      <c r="I7" s="23">
        <v>0.67867478338978049</v>
      </c>
      <c r="J7" s="23">
        <v>0.29436457487219903</v>
      </c>
      <c r="K7" s="23">
        <v>0.18513254602769721</v>
      </c>
      <c r="L7" s="23">
        <v>0.60358472040534883</v>
      </c>
    </row>
    <row r="14" spans="1:12" x14ac:dyDescent="0.35">
      <c r="A14" t="s">
        <v>255</v>
      </c>
      <c r="B14" s="23">
        <f>GETPIVOTDATA("Sum of Факторы риска",Таблица!$A$3)</f>
        <v>0.60358472040534883</v>
      </c>
    </row>
    <row r="15" spans="1:12" x14ac:dyDescent="0.35">
      <c r="B15" s="23"/>
    </row>
    <row r="16" spans="1:12" x14ac:dyDescent="0.35">
      <c r="A16" t="s">
        <v>188</v>
      </c>
      <c r="B16" s="23">
        <f>GETPIVOTDATA("Сумма по полю АЛКО",Таблица!$A$3)</f>
        <v>0.66602170474434574</v>
      </c>
    </row>
    <row r="17" spans="1:5" x14ac:dyDescent="0.35">
      <c r="A17" t="s">
        <v>281</v>
      </c>
      <c r="B17" s="23">
        <f>GETPIVOTDATA("Сумма по полю ТМП",Таблица!$A$3)</f>
        <v>0.91350000317347169</v>
      </c>
    </row>
    <row r="18" spans="1:5" x14ac:dyDescent="0.35">
      <c r="A18" t="s">
        <v>190</v>
      </c>
      <c r="B18" s="23">
        <f>GETPIVOTDATA("Сумма по полю ЗДОРВ_ВЗР",Таблица!$A$3)</f>
        <v>0.85844063174681007</v>
      </c>
    </row>
    <row r="19" spans="1:5" x14ac:dyDescent="0.35">
      <c r="A19" t="s">
        <v>191</v>
      </c>
      <c r="B19" s="23">
        <f>GETPIVOTDATA("Сумма по полю ЗДОР_ДЕТ",Таблица!$A$3)</f>
        <v>0.60524410890233871</v>
      </c>
    </row>
    <row r="20" spans="1:5" x14ac:dyDescent="0.35">
      <c r="A20" t="s">
        <v>195</v>
      </c>
      <c r="B20" s="23">
        <f>GETPIVOTDATA("Сумма по полю МИГРАЦИЯ",Таблица!$A$3)</f>
        <v>0.18513254602769721</v>
      </c>
      <c r="D20" t="s">
        <v>388</v>
      </c>
      <c r="E20" s="24">
        <v>0</v>
      </c>
    </row>
    <row r="21" spans="1:5" x14ac:dyDescent="0.35">
      <c r="A21" t="s">
        <v>377</v>
      </c>
      <c r="B21" s="23">
        <f>GETPIVOTDATA("Сумма по полю ВНЕ БРАКА",Таблица!$A$3)</f>
        <v>0.67867478338978049</v>
      </c>
      <c r="D21" t="s">
        <v>296</v>
      </c>
      <c r="E21" s="24">
        <v>1</v>
      </c>
    </row>
    <row r="22" spans="1:5" x14ac:dyDescent="0.35">
      <c r="A22" t="s">
        <v>194</v>
      </c>
      <c r="B22" s="23">
        <f>GETPIVOTDATA("Сумма по полю МНОГОДЕТ",Таблица!$A$3)</f>
        <v>0.29436457487219903</v>
      </c>
      <c r="D22" s="410" t="s">
        <v>257</v>
      </c>
      <c r="E22" s="23">
        <f>(Дашборд!D28)/100</f>
        <v>0.336422391683047</v>
      </c>
    </row>
    <row r="23" spans="1:5" x14ac:dyDescent="0.35">
      <c r="B23" s="23"/>
      <c r="D23" s="410" t="s">
        <v>267</v>
      </c>
      <c r="E23" s="23">
        <f>(Дашборд!D18)/100</f>
        <v>0.60358472040534883</v>
      </c>
    </row>
    <row r="24" spans="1:5" x14ac:dyDescent="0.35">
      <c r="A24" t="s">
        <v>295</v>
      </c>
      <c r="B24" s="23">
        <f>GETPIVOTDATA("Сумма по полю МСШТБ",Таблица!$A$3)</f>
        <v>0.336422391683047</v>
      </c>
    </row>
    <row r="25" spans="1:5" x14ac:dyDescent="0.35">
      <c r="B25" s="23"/>
    </row>
    <row r="26" spans="1:5" x14ac:dyDescent="0.35">
      <c r="A26" t="s">
        <v>294</v>
      </c>
      <c r="B26" s="23">
        <f>GETPIVOTDATA("Сумма по полю СКР_СИР",Таблица!$A$3)</f>
        <v>0.63414634146341453</v>
      </c>
    </row>
    <row r="27" spans="1:5" x14ac:dyDescent="0.35">
      <c r="A27" t="s">
        <v>293</v>
      </c>
      <c r="B27" s="23">
        <f>GETPIVOTDATA("Сумма по полю СОЦ_СИР",Таблица!$A$3)</f>
        <v>0.26199140423795514</v>
      </c>
    </row>
    <row r="30" spans="1:5" x14ac:dyDescent="0.35">
      <c r="A30" t="s">
        <v>267</v>
      </c>
      <c r="B30" s="283">
        <f>B14*100</f>
        <v>60.358472040534885</v>
      </c>
    </row>
    <row r="31" spans="1:5" x14ac:dyDescent="0.35">
      <c r="A31" t="s">
        <v>258</v>
      </c>
      <c r="B31" s="283">
        <f t="shared" ref="B31:B43" si="0">B15*100</f>
        <v>0</v>
      </c>
    </row>
    <row r="32" spans="1:5" x14ac:dyDescent="0.35">
      <c r="A32" t="s">
        <v>259</v>
      </c>
      <c r="B32" s="283">
        <f t="shared" si="0"/>
        <v>66.602170474434573</v>
      </c>
    </row>
    <row r="33" spans="1:2" x14ac:dyDescent="0.35">
      <c r="A33" t="s">
        <v>260</v>
      </c>
      <c r="B33" s="283">
        <f t="shared" si="0"/>
        <v>91.350000317347167</v>
      </c>
    </row>
    <row r="34" spans="1:2" x14ac:dyDescent="0.35">
      <c r="A34" t="s">
        <v>261</v>
      </c>
      <c r="B34" s="283">
        <f t="shared" si="0"/>
        <v>85.844063174681011</v>
      </c>
    </row>
    <row r="35" spans="1:2" x14ac:dyDescent="0.35">
      <c r="A35" t="s">
        <v>262</v>
      </c>
      <c r="B35" s="283">
        <f t="shared" si="0"/>
        <v>60.524410890233874</v>
      </c>
    </row>
    <row r="36" spans="1:2" x14ac:dyDescent="0.35">
      <c r="A36" t="s">
        <v>263</v>
      </c>
      <c r="B36" s="283">
        <f t="shared" si="0"/>
        <v>18.51325460276972</v>
      </c>
    </row>
    <row r="37" spans="1:2" x14ac:dyDescent="0.35">
      <c r="A37" t="s">
        <v>264</v>
      </c>
      <c r="B37" s="283">
        <f t="shared" si="0"/>
        <v>67.867478338978046</v>
      </c>
    </row>
    <row r="38" spans="1:2" x14ac:dyDescent="0.35">
      <c r="A38" t="s">
        <v>265</v>
      </c>
      <c r="B38" s="283">
        <f t="shared" si="0"/>
        <v>29.436457487219904</v>
      </c>
    </row>
    <row r="39" spans="1:2" x14ac:dyDescent="0.35">
      <c r="B39" s="283">
        <f t="shared" si="0"/>
        <v>0</v>
      </c>
    </row>
    <row r="40" spans="1:2" x14ac:dyDescent="0.35">
      <c r="A40" t="s">
        <v>266</v>
      </c>
      <c r="B40" s="283">
        <f t="shared" si="0"/>
        <v>33.642239168304698</v>
      </c>
    </row>
    <row r="41" spans="1:2" x14ac:dyDescent="0.35">
      <c r="A41" t="s">
        <v>268</v>
      </c>
      <c r="B41" s="283">
        <f t="shared" si="0"/>
        <v>0</v>
      </c>
    </row>
    <row r="42" spans="1:2" x14ac:dyDescent="0.35">
      <c r="A42" t="s">
        <v>253</v>
      </c>
      <c r="B42" s="283">
        <f t="shared" si="0"/>
        <v>63.414634146341456</v>
      </c>
    </row>
    <row r="43" spans="1:2" x14ac:dyDescent="0.35">
      <c r="A43" t="s">
        <v>238</v>
      </c>
      <c r="B43" s="283">
        <f t="shared" si="0"/>
        <v>26.199140423795512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activeCell="I19" sqref="I19"/>
    </sheetView>
  </sheetViews>
  <sheetFormatPr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81"/>
  <sheetViews>
    <sheetView showGridLines="0" topLeftCell="A7" zoomScale="70" zoomScaleNormal="70" workbookViewId="0">
      <selection activeCell="E36" sqref="E36"/>
    </sheetView>
  </sheetViews>
  <sheetFormatPr defaultRowHeight="14.5" x14ac:dyDescent="0.35"/>
  <cols>
    <col min="1" max="1" width="23" customWidth="1"/>
    <col min="2" max="2" width="11.26953125" customWidth="1"/>
    <col min="3" max="3" width="12.1796875" customWidth="1"/>
    <col min="4" max="5" width="12.7265625" customWidth="1"/>
    <col min="6" max="6" width="11.1796875" customWidth="1"/>
    <col min="7" max="7" width="9.7265625" customWidth="1"/>
    <col min="8" max="8" width="10.26953125" customWidth="1"/>
    <col min="9" max="9" width="9.1796875" customWidth="1"/>
    <col min="10" max="10" width="11.54296875" customWidth="1"/>
    <col min="11" max="11" width="8.54296875" customWidth="1"/>
    <col min="12" max="12" width="12.26953125" customWidth="1"/>
    <col min="13" max="13" width="10.453125" customWidth="1"/>
    <col min="14" max="14" width="11" customWidth="1"/>
    <col min="15" max="15" width="10.81640625" customWidth="1"/>
    <col min="16" max="16" width="12.54296875" customWidth="1"/>
    <col min="17" max="17" width="23.81640625" customWidth="1"/>
    <col min="18" max="18" width="16.54296875" customWidth="1"/>
    <col min="19" max="19" width="15.81640625" customWidth="1"/>
    <col min="20" max="20" width="8.453125" customWidth="1"/>
    <col min="21" max="21" width="7.7265625" customWidth="1"/>
    <col min="22" max="22" width="8.1796875" customWidth="1"/>
    <col min="23" max="23" width="7" customWidth="1"/>
    <col min="24" max="24" width="9.1796875" customWidth="1"/>
    <col min="25" max="25" width="9.81640625" customWidth="1"/>
    <col min="26" max="26" width="11.7265625" customWidth="1"/>
    <col min="27" max="27" width="12.81640625" customWidth="1"/>
    <col min="28" max="28" width="8.26953125" customWidth="1"/>
    <col min="29" max="29" width="8.54296875" customWidth="1"/>
    <col min="30" max="30" width="23.7265625" customWidth="1"/>
    <col min="31" max="31" width="14.81640625" customWidth="1"/>
    <col min="32" max="36" width="9.1796875" customWidth="1"/>
    <col min="38" max="38" width="25.453125" customWidth="1"/>
    <col min="39" max="39" width="17" customWidth="1"/>
    <col min="40" max="40" width="9.81640625" customWidth="1"/>
    <col min="44" max="44" width="10.453125" customWidth="1"/>
  </cols>
  <sheetData>
    <row r="1" spans="1:42" ht="29.15" customHeight="1" x14ac:dyDescent="0.35">
      <c r="A1" s="435" t="s">
        <v>288</v>
      </c>
      <c r="B1" s="437" t="s">
        <v>238</v>
      </c>
      <c r="C1" s="437" t="s">
        <v>253</v>
      </c>
      <c r="D1" s="437" t="s">
        <v>198</v>
      </c>
      <c r="E1" s="441" t="s">
        <v>199</v>
      </c>
      <c r="F1" s="442"/>
      <c r="G1" s="442"/>
      <c r="H1" s="437" t="s">
        <v>200</v>
      </c>
      <c r="I1" s="437" t="s">
        <v>214</v>
      </c>
      <c r="J1" s="442" t="s">
        <v>201</v>
      </c>
      <c r="K1" s="442"/>
      <c r="L1" s="438" t="s">
        <v>202</v>
      </c>
      <c r="M1" s="443" t="s">
        <v>229</v>
      </c>
      <c r="R1" s="67"/>
    </row>
    <row r="2" spans="1:42" ht="126" x14ac:dyDescent="0.35">
      <c r="A2" s="436"/>
      <c r="B2" s="437"/>
      <c r="C2" s="437"/>
      <c r="D2" s="437"/>
      <c r="E2" s="150" t="s">
        <v>92</v>
      </c>
      <c r="F2" s="150" t="s">
        <v>155</v>
      </c>
      <c r="G2" s="337" t="s">
        <v>230</v>
      </c>
      <c r="H2" s="437"/>
      <c r="I2" s="437"/>
      <c r="J2" s="377" t="s">
        <v>181</v>
      </c>
      <c r="K2" s="150" t="s">
        <v>218</v>
      </c>
      <c r="L2" s="438"/>
      <c r="M2" s="444"/>
      <c r="R2" s="67" t="s">
        <v>287</v>
      </c>
      <c r="Y2" s="61"/>
      <c r="Z2" s="61"/>
      <c r="AA2" s="61"/>
      <c r="AB2" s="67"/>
      <c r="AL2" s="434" t="s">
        <v>412</v>
      </c>
      <c r="AM2" s="430" t="s">
        <v>409</v>
      </c>
      <c r="AN2" s="431" t="s">
        <v>410</v>
      </c>
      <c r="AO2" s="27" t="s">
        <v>411</v>
      </c>
      <c r="AP2" s="27"/>
    </row>
    <row r="3" spans="1:42" ht="18.5" x14ac:dyDescent="0.45">
      <c r="A3" s="338" t="s">
        <v>33</v>
      </c>
      <c r="B3" s="339">
        <f>Показатели!B4</f>
        <v>0.73065842762306377</v>
      </c>
      <c r="C3" s="341">
        <f>Показатели!C4</f>
        <v>0.17</v>
      </c>
      <c r="D3" s="342">
        <f>Показатели!D4</f>
        <v>57.529512514468216</v>
      </c>
      <c r="E3" s="343">
        <f>Показатели!E4</f>
        <v>881700.6</v>
      </c>
      <c r="F3" s="344">
        <f>Показатели!F4</f>
        <v>6.1</v>
      </c>
      <c r="G3" s="345">
        <f>Показатели!G4</f>
        <v>1.1000000000000001</v>
      </c>
      <c r="H3" s="346">
        <f>Показатели!H4</f>
        <v>0.14220998031969292</v>
      </c>
      <c r="I3" s="347">
        <f>Показатели!I4</f>
        <v>2.9503631850365933E-2</v>
      </c>
      <c r="J3" s="380">
        <f>Показатели!J4</f>
        <v>1.713916742631419</v>
      </c>
      <c r="K3" s="348">
        <f>Показатели!K4</f>
        <v>0.1308673856904147</v>
      </c>
      <c r="L3" s="347">
        <f>Показатели!L4</f>
        <v>8.1583588130066859E-2</v>
      </c>
      <c r="M3" s="342">
        <f>Показатели!M4</f>
        <v>9.1958582105131299</v>
      </c>
      <c r="R3" s="93"/>
      <c r="S3" s="328"/>
      <c r="T3" s="366" t="s">
        <v>97</v>
      </c>
      <c r="U3" s="366" t="s">
        <v>98</v>
      </c>
      <c r="V3" s="366" t="s">
        <v>233</v>
      </c>
      <c r="W3" s="367" t="s">
        <v>286</v>
      </c>
      <c r="X3" s="367" t="s">
        <v>285</v>
      </c>
      <c r="Y3" s="62"/>
      <c r="Z3" s="62"/>
      <c r="AA3" s="27"/>
      <c r="AL3" s="433" t="s">
        <v>33</v>
      </c>
      <c r="AM3" s="429">
        <v>7.27</v>
      </c>
      <c r="AN3" s="58">
        <v>0.6110527860632361</v>
      </c>
      <c r="AO3" s="416">
        <f>CORREL(AM3:AM16,AN3:AN16)</f>
        <v>0.61186013685897689</v>
      </c>
      <c r="AP3" s="27">
        <v>0.73065842762306377</v>
      </c>
    </row>
    <row r="4" spans="1:42" ht="16" x14ac:dyDescent="0.45">
      <c r="A4" s="338" t="s">
        <v>24</v>
      </c>
      <c r="B4" s="339">
        <f>Показатели!B5</f>
        <v>0.69008737042573265</v>
      </c>
      <c r="C4" s="341">
        <f>Показатели!C5</f>
        <v>0.77</v>
      </c>
      <c r="D4" s="342">
        <f>Показатели!D5</f>
        <v>126.07196836101629</v>
      </c>
      <c r="E4" s="343">
        <f>Показатели!E5</f>
        <v>546328.80000000005</v>
      </c>
      <c r="F4" s="344">
        <f>Показатели!F5</f>
        <v>7.2</v>
      </c>
      <c r="G4" s="345">
        <f>Показатели!G5</f>
        <v>16.600000000000001</v>
      </c>
      <c r="H4" s="346">
        <f>Показатели!H5</f>
        <v>0.10746543415090426</v>
      </c>
      <c r="I4" s="347">
        <f>Показатели!I5</f>
        <v>2.5159019746299853E-2</v>
      </c>
      <c r="J4" s="380">
        <f>Показатели!J5</f>
        <v>1.6709844559585492</v>
      </c>
      <c r="K4" s="348">
        <f>Показатели!K5</f>
        <v>0.15483275189821466</v>
      </c>
      <c r="L4" s="347">
        <f>Показатели!L5</f>
        <v>8.2802630552883991E-2</v>
      </c>
      <c r="M4" s="342">
        <f>Показатели!M5</f>
        <v>4.874504075904734</v>
      </c>
      <c r="R4" s="93"/>
      <c r="S4" s="368" t="s">
        <v>188</v>
      </c>
      <c r="T4" s="329">
        <v>152.95846573628481</v>
      </c>
      <c r="U4" s="329">
        <v>0.95673330744799423</v>
      </c>
      <c r="V4" s="329">
        <v>41.932350864792461</v>
      </c>
      <c r="W4" s="108">
        <f>AVERAGE(D3:D16)</f>
        <v>73.810057185035433</v>
      </c>
      <c r="X4" s="370">
        <f>V4/W4</f>
        <v>0.56811161600473603</v>
      </c>
      <c r="AA4" s="27"/>
      <c r="AB4" s="375" t="s">
        <v>188</v>
      </c>
      <c r="AC4" s="375" t="s">
        <v>187</v>
      </c>
      <c r="AD4" s="375" t="s">
        <v>189</v>
      </c>
      <c r="AE4" s="376" t="s">
        <v>197</v>
      </c>
      <c r="AF4" s="376" t="s">
        <v>196</v>
      </c>
      <c r="AG4" s="376" t="s">
        <v>191</v>
      </c>
      <c r="AH4" s="375" t="s">
        <v>193</v>
      </c>
      <c r="AI4" s="36" t="s">
        <v>194</v>
      </c>
      <c r="AK4" s="27"/>
      <c r="AL4" s="433" t="s">
        <v>24</v>
      </c>
      <c r="AM4" s="429">
        <v>5.93</v>
      </c>
      <c r="AN4" s="58">
        <v>0.62490441906288363</v>
      </c>
      <c r="AO4" s="27"/>
      <c r="AP4" s="27">
        <v>0.69008737042573265</v>
      </c>
    </row>
    <row r="5" spans="1:42" ht="16" x14ac:dyDescent="0.45">
      <c r="A5" s="338" t="s">
        <v>25</v>
      </c>
      <c r="B5" s="339">
        <f>Показатели!B6</f>
        <v>1.0274511346206787</v>
      </c>
      <c r="C5" s="341">
        <f>Показатели!C6</f>
        <v>0.23</v>
      </c>
      <c r="D5" s="342">
        <f>Показатели!D6</f>
        <v>71.148833285061272</v>
      </c>
      <c r="E5" s="343">
        <f>Показатели!E6</f>
        <v>659727.30000000005</v>
      </c>
      <c r="F5" s="344">
        <f>Показатели!F6</f>
        <v>12.1</v>
      </c>
      <c r="G5" s="345">
        <f>Показатели!G6</f>
        <v>14.2</v>
      </c>
      <c r="H5" s="346">
        <f>Показатели!H6</f>
        <v>7.1942402648242851E-2</v>
      </c>
      <c r="I5" s="347">
        <f>Показатели!I6</f>
        <v>3.0240646927832831E-2</v>
      </c>
      <c r="J5" s="380">
        <f>Показатели!J6</f>
        <v>1.7110326566637246</v>
      </c>
      <c r="K5" s="348">
        <f>Показатели!K6</f>
        <v>0.19739392634072797</v>
      </c>
      <c r="L5" s="347">
        <f>Показатели!L6</f>
        <v>8.8019146588846575E-2</v>
      </c>
      <c r="M5" s="342">
        <f>Показатели!M6</f>
        <v>0.51126755024186887</v>
      </c>
      <c r="R5" s="93"/>
      <c r="S5" s="368" t="s">
        <v>187</v>
      </c>
      <c r="T5" s="329">
        <v>2992775.4</v>
      </c>
      <c r="U5" s="329">
        <v>367687.1</v>
      </c>
      <c r="V5" s="329">
        <v>651061.96004132228</v>
      </c>
      <c r="W5" s="369">
        <f>AVERAGE(E3:E16)</f>
        <v>801717.63571428577</v>
      </c>
      <c r="X5" s="370">
        <f t="shared" ref="X5:X13" si="0">V5/W5</f>
        <v>0.81208386972959912</v>
      </c>
      <c r="AA5" s="375" t="s">
        <v>187</v>
      </c>
      <c r="AB5" s="373">
        <v>-0.3894159042269586</v>
      </c>
      <c r="AC5" s="373"/>
      <c r="AD5" s="373"/>
      <c r="AE5" s="373"/>
      <c r="AF5" s="373"/>
      <c r="AG5" s="373"/>
      <c r="AH5" s="373"/>
      <c r="AI5" s="325"/>
      <c r="AK5" s="191"/>
      <c r="AL5" s="433" t="s">
        <v>25</v>
      </c>
      <c r="AM5" s="429">
        <v>4.95</v>
      </c>
      <c r="AN5" s="58">
        <v>0.43532885301042057</v>
      </c>
      <c r="AO5" s="27"/>
      <c r="AP5" s="27">
        <v>1.0274511346206787</v>
      </c>
    </row>
    <row r="6" spans="1:42" ht="16" x14ac:dyDescent="0.45">
      <c r="A6" s="338" t="s">
        <v>21</v>
      </c>
      <c r="B6" s="339">
        <f>Показатели!B7</f>
        <v>0.70635839307218362</v>
      </c>
      <c r="C6" s="341">
        <f>Показатели!C7</f>
        <v>0.8</v>
      </c>
      <c r="D6" s="342">
        <f>Показатели!D7</f>
        <v>22.249926752924942</v>
      </c>
      <c r="E6" s="343">
        <f>Показатели!E7</f>
        <v>562926</v>
      </c>
      <c r="F6" s="344">
        <f>Показатели!F7</f>
        <v>9</v>
      </c>
      <c r="G6" s="345">
        <f>Показатели!G7</f>
        <v>15.5</v>
      </c>
      <c r="H6" s="346">
        <f>Показатели!H7</f>
        <v>8.6406606414346276E-2</v>
      </c>
      <c r="I6" s="347">
        <f>Показатели!I7</f>
        <v>2.4824319042322796E-2</v>
      </c>
      <c r="J6" s="380">
        <f>Показатели!J7</f>
        <v>1.6003987564206543</v>
      </c>
      <c r="K6" s="348">
        <f>Показатели!K7</f>
        <v>0.18898907463472422</v>
      </c>
      <c r="L6" s="347">
        <f>Показатели!L7</f>
        <v>9.5154790442283171E-2</v>
      </c>
      <c r="M6" s="342">
        <f>Показатели!M7</f>
        <v>4.0038094983938057</v>
      </c>
      <c r="R6" s="93"/>
      <c r="S6" s="368" t="s">
        <v>189</v>
      </c>
      <c r="T6" s="330">
        <v>12.1</v>
      </c>
      <c r="U6" s="330">
        <v>5.5</v>
      </c>
      <c r="V6" s="330">
        <v>2.2824341161368658</v>
      </c>
      <c r="W6" s="108">
        <f>AVERAGE(F3:F16)</f>
        <v>9.8214285714285712</v>
      </c>
      <c r="X6" s="370">
        <f t="shared" si="0"/>
        <v>0.23239329182484453</v>
      </c>
      <c r="AA6" s="375" t="s">
        <v>189</v>
      </c>
      <c r="AB6" s="373">
        <v>0.11870897971765221</v>
      </c>
      <c r="AC6" s="373">
        <v>-2.0542004897445093E-2</v>
      </c>
      <c r="AD6" s="373"/>
      <c r="AE6" s="373"/>
      <c r="AF6" s="373"/>
      <c r="AG6" s="373"/>
      <c r="AH6" s="373"/>
      <c r="AI6" s="325"/>
      <c r="AK6" s="191"/>
      <c r="AL6" s="433" t="s">
        <v>21</v>
      </c>
      <c r="AM6" s="429">
        <v>4.96</v>
      </c>
      <c r="AN6" s="58">
        <v>0.3814377051105875</v>
      </c>
      <c r="AO6" s="27"/>
      <c r="AP6" s="27">
        <v>0.70635839307218362</v>
      </c>
    </row>
    <row r="7" spans="1:42" ht="16" x14ac:dyDescent="0.45">
      <c r="A7" s="338" t="s">
        <v>26</v>
      </c>
      <c r="B7" s="339">
        <f>Показатели!B8</f>
        <v>0.69082323631938025</v>
      </c>
      <c r="C7" s="341">
        <f>Показатели!C8</f>
        <v>0.09</v>
      </c>
      <c r="D7" s="342">
        <f>Показатели!D8</f>
        <v>0.95673330744799423</v>
      </c>
      <c r="E7" s="343">
        <f>Показатели!E8</f>
        <v>882875.6</v>
      </c>
      <c r="F7" s="344">
        <f>Показатели!F8</f>
        <v>5.5</v>
      </c>
      <c r="G7" s="345">
        <f>Показатели!G8</f>
        <v>11</v>
      </c>
      <c r="H7" s="346">
        <f>Показатели!H8</f>
        <v>5.4639254138958551E-2</v>
      </c>
      <c r="I7" s="347">
        <f>Показатели!I8</f>
        <v>2.4369137270445238E-2</v>
      </c>
      <c r="J7" s="380">
        <f>Показатели!J8</f>
        <v>1.7240465242088179</v>
      </c>
      <c r="K7" s="348">
        <f>Показатели!K8</f>
        <v>0.22253967394247956</v>
      </c>
      <c r="L7" s="347">
        <f>Показатели!L8</f>
        <v>8.6158880054079831E-2</v>
      </c>
      <c r="M7" s="342">
        <f>Показатели!M8</f>
        <v>2.945055084732298</v>
      </c>
      <c r="R7" s="93"/>
      <c r="S7" s="368" t="s">
        <v>282</v>
      </c>
      <c r="T7" s="330">
        <v>22.3</v>
      </c>
      <c r="U7" s="330">
        <v>1.1000000000000001</v>
      </c>
      <c r="V7" s="330">
        <v>6.4053763475572696</v>
      </c>
      <c r="W7" s="108">
        <f>AVERAGE(G3:G16)</f>
        <v>11.950000000000001</v>
      </c>
      <c r="X7" s="370">
        <f t="shared" si="0"/>
        <v>0.53601475711776314</v>
      </c>
      <c r="AA7" s="375" t="s">
        <v>197</v>
      </c>
      <c r="AB7" s="373">
        <v>-3.7920402770220359E-2</v>
      </c>
      <c r="AC7" s="373">
        <v>-0.54663672875633185</v>
      </c>
      <c r="AD7" s="373">
        <v>0.41216356090369838</v>
      </c>
      <c r="AE7" s="373"/>
      <c r="AF7" s="373"/>
      <c r="AG7" s="373"/>
      <c r="AH7" s="373"/>
      <c r="AI7" s="325"/>
      <c r="AL7" s="433" t="s">
        <v>26</v>
      </c>
      <c r="AM7" s="429">
        <v>4.2699999999999996</v>
      </c>
      <c r="AN7" s="58">
        <v>0.22961143662023056</v>
      </c>
      <c r="AO7" s="27"/>
      <c r="AP7" s="27">
        <v>0.69082323631938025</v>
      </c>
    </row>
    <row r="8" spans="1:42" ht="16" x14ac:dyDescent="0.45">
      <c r="A8" s="338" t="s">
        <v>27</v>
      </c>
      <c r="B8" s="339">
        <f>Показатели!B9</f>
        <v>1.265690324445264</v>
      </c>
      <c r="C8" s="341">
        <f>Показатели!C9</f>
        <v>0.61</v>
      </c>
      <c r="D8" s="342">
        <f>Показатели!D9</f>
        <v>152.95846573628481</v>
      </c>
      <c r="E8" s="343">
        <f>Показатели!E9</f>
        <v>597430.6</v>
      </c>
      <c r="F8" s="344">
        <f>Показатели!F9</f>
        <v>8</v>
      </c>
      <c r="G8" s="345">
        <f>Показатели!G9</f>
        <v>4.9000000000000004</v>
      </c>
      <c r="H8" s="349">
        <f>Показатели!H9</f>
        <v>0.10167216851213054</v>
      </c>
      <c r="I8" s="347">
        <f>Показатели!I9</f>
        <v>2.5187462861131285E-2</v>
      </c>
      <c r="J8" s="380">
        <f>Показатели!J9</f>
        <v>1.64440683182028</v>
      </c>
      <c r="K8" s="348">
        <f>Показатели!K9</f>
        <v>0.16576960715783587</v>
      </c>
      <c r="L8" s="347">
        <f>Показатели!L9</f>
        <v>7.7333123425692693E-2</v>
      </c>
      <c r="M8" s="342">
        <f>Показатели!M9</f>
        <v>0.74579390508651378</v>
      </c>
      <c r="R8" s="93"/>
      <c r="S8" s="368" t="s">
        <v>283</v>
      </c>
      <c r="T8" s="327">
        <v>0.14220998031969292</v>
      </c>
      <c r="U8" s="327">
        <v>5.4639254138958551E-2</v>
      </c>
      <c r="V8" s="327">
        <v>2.4894096019244971E-2</v>
      </c>
      <c r="W8" s="108">
        <f>AVERAGE(H3:H16)</f>
        <v>9.1340771659636097E-2</v>
      </c>
      <c r="X8" s="370">
        <f t="shared" si="0"/>
        <v>0.27254089895373401</v>
      </c>
      <c r="AA8" s="375" t="s">
        <v>190</v>
      </c>
      <c r="AB8" s="373">
        <v>0.50176041617459821</v>
      </c>
      <c r="AC8" s="373">
        <v>-0.3497617298268359</v>
      </c>
      <c r="AD8" s="373">
        <v>-0.21213981420199798</v>
      </c>
      <c r="AE8" s="373">
        <v>-0.17314190988133943</v>
      </c>
      <c r="AF8" s="373"/>
      <c r="AG8" s="373"/>
      <c r="AH8" s="373"/>
      <c r="AI8" s="325"/>
      <c r="AL8" s="433" t="s">
        <v>27</v>
      </c>
      <c r="AM8" s="429">
        <v>5.62</v>
      </c>
      <c r="AN8" s="58">
        <v>0.59168394599498797</v>
      </c>
      <c r="AO8" s="27"/>
      <c r="AP8" s="27">
        <v>1.265690324445264</v>
      </c>
    </row>
    <row r="9" spans="1:42" ht="16" x14ac:dyDescent="0.45">
      <c r="A9" s="338" t="s">
        <v>28</v>
      </c>
      <c r="B9" s="339">
        <f>Показатели!B10</f>
        <v>1.0063725672294024</v>
      </c>
      <c r="C9" s="341">
        <f>Показатели!C10</f>
        <v>0.47</v>
      </c>
      <c r="D9" s="342">
        <f>Показатели!D10</f>
        <v>42.91645820405072</v>
      </c>
      <c r="E9" s="343">
        <f>Показатели!E10</f>
        <v>581018.30000000005</v>
      </c>
      <c r="F9" s="344">
        <f>Показатели!F10</f>
        <v>11.3</v>
      </c>
      <c r="G9" s="345">
        <f>Показатели!G10</f>
        <v>22.3</v>
      </c>
      <c r="H9" s="346">
        <f>Показатели!H10</f>
        <v>7.904397740277197E-2</v>
      </c>
      <c r="I9" s="347">
        <f>Показатели!I10</f>
        <v>1.4971600993965212E-2</v>
      </c>
      <c r="J9" s="380">
        <f>Показатели!J10</f>
        <v>1.6221918202764978</v>
      </c>
      <c r="K9" s="348">
        <f>Показатели!K10</f>
        <v>0.20658812535460402</v>
      </c>
      <c r="L9" s="347">
        <f>Показатели!L10</f>
        <v>0.10326234158719297</v>
      </c>
      <c r="M9" s="342">
        <f>Показатели!M10</f>
        <v>0.20093680453070281</v>
      </c>
      <c r="R9" s="93"/>
      <c r="S9" s="368" t="s">
        <v>284</v>
      </c>
      <c r="T9" s="327">
        <v>3.0240646927832831E-2</v>
      </c>
      <c r="U9" s="327">
        <v>1.4971600993965212E-2</v>
      </c>
      <c r="V9" s="327">
        <v>4.1834580986930825E-3</v>
      </c>
      <c r="W9" s="108">
        <f>AVERAGE(I3:I16)</f>
        <v>2.4454653792197086E-2</v>
      </c>
      <c r="X9" s="370">
        <f t="shared" si="0"/>
        <v>0.17107001940170288</v>
      </c>
      <c r="AA9" s="375" t="s">
        <v>191</v>
      </c>
      <c r="AB9" s="373">
        <v>7.3113172834648979E-2</v>
      </c>
      <c r="AC9" s="373">
        <v>7.4581595980159635E-2</v>
      </c>
      <c r="AD9" s="373">
        <v>-0.26155483588810391</v>
      </c>
      <c r="AE9" s="373">
        <v>-0.32673750269422264</v>
      </c>
      <c r="AF9" s="373">
        <v>0.25202251359901645</v>
      </c>
      <c r="AG9" s="373"/>
      <c r="AH9" s="373"/>
      <c r="AI9" s="325"/>
      <c r="AL9" s="433" t="s">
        <v>28</v>
      </c>
      <c r="AM9" s="429">
        <v>5.94</v>
      </c>
      <c r="AN9" s="58">
        <v>0.32513852543679006</v>
      </c>
      <c r="AO9" s="27"/>
      <c r="AP9" s="27">
        <v>1.0063725672294024</v>
      </c>
    </row>
    <row r="10" spans="1:42" ht="16" x14ac:dyDescent="0.45">
      <c r="A10" s="338" t="s">
        <v>29</v>
      </c>
      <c r="B10" s="339">
        <f>Показатели!B11</f>
        <v>0.91691352800112846</v>
      </c>
      <c r="C10" s="341">
        <f>Показатели!C11</f>
        <v>0.41</v>
      </c>
      <c r="D10" s="342">
        <f>Показатели!D11</f>
        <v>98.098120581513527</v>
      </c>
      <c r="E10" s="343">
        <f>Показатели!E11</f>
        <v>418946.1</v>
      </c>
      <c r="F10" s="344">
        <f>Показатели!F11</f>
        <v>11.5</v>
      </c>
      <c r="G10" s="345">
        <f>Показатели!G11</f>
        <v>18.7</v>
      </c>
      <c r="H10" s="346">
        <f>Показатели!H11</f>
        <v>8.7742127812301118E-2</v>
      </c>
      <c r="I10" s="347">
        <f>Показатели!I11</f>
        <v>2.3952598444636465E-2</v>
      </c>
      <c r="J10" s="380">
        <f>Показатели!J11</f>
        <v>1.4445707788516202</v>
      </c>
      <c r="K10" s="348">
        <f>Показатели!K11</f>
        <v>0.13455717215115712</v>
      </c>
      <c r="L10" s="347">
        <f>Показатели!L11</f>
        <v>7.8116816066324465E-2</v>
      </c>
      <c r="M10" s="342">
        <f>Показатели!M11</f>
        <v>1.3268796727324024</v>
      </c>
      <c r="R10" s="93"/>
      <c r="S10" s="368" t="s">
        <v>192</v>
      </c>
      <c r="T10" s="326">
        <v>1.7345080763582965</v>
      </c>
      <c r="U10" s="326">
        <v>1.3044476100031657</v>
      </c>
      <c r="V10" s="326">
        <v>0.12363889044671154</v>
      </c>
      <c r="W10" s="108">
        <f>AVERAGE(J3:J16)</f>
        <v>1.6080331719736987</v>
      </c>
      <c r="X10" s="370">
        <f t="shared" si="0"/>
        <v>7.6888271088933605E-2</v>
      </c>
      <c r="AA10" s="375" t="s">
        <v>193</v>
      </c>
      <c r="AB10" s="373">
        <v>-6.4813991843558127E-2</v>
      </c>
      <c r="AC10" s="373">
        <v>-0.41095196114144283</v>
      </c>
      <c r="AD10" s="373">
        <v>-4.5613532499465467E-2</v>
      </c>
      <c r="AE10" s="373">
        <v>0.2939033766324391</v>
      </c>
      <c r="AF10" s="373">
        <v>-0.21868234235149256</v>
      </c>
      <c r="AG10" s="373">
        <v>7.2749929482790507E-2</v>
      </c>
      <c r="AH10" s="373"/>
      <c r="AI10" s="325"/>
      <c r="AL10" s="433" t="s">
        <v>29</v>
      </c>
      <c r="AM10" s="429">
        <v>6.31</v>
      </c>
      <c r="AN10" s="58">
        <v>0.46465356100148514</v>
      </c>
      <c r="AO10" s="27"/>
      <c r="AP10" s="27">
        <v>0.91691352800112846</v>
      </c>
    </row>
    <row r="11" spans="1:42" ht="16" x14ac:dyDescent="0.45">
      <c r="A11" s="338" t="s">
        <v>30</v>
      </c>
      <c r="B11" s="339">
        <f>Показатели!B12</f>
        <v>0.95123079562052648</v>
      </c>
      <c r="C11" s="341">
        <f>Показатели!C12</f>
        <v>0.05</v>
      </c>
      <c r="D11" s="342">
        <f>Показатели!D12</f>
        <v>74.411406373587127</v>
      </c>
      <c r="E11" s="343">
        <f>Показатели!E12</f>
        <v>677759.9</v>
      </c>
      <c r="F11" s="344">
        <f>Показатели!F12</f>
        <v>11.5</v>
      </c>
      <c r="G11" s="345">
        <f>Показатели!G12</f>
        <v>11.3</v>
      </c>
      <c r="H11" s="346">
        <f>Показатели!H12</f>
        <v>9.3709885796691705E-2</v>
      </c>
      <c r="I11" s="347">
        <f>Показатели!I12</f>
        <v>1.9134799540656364E-2</v>
      </c>
      <c r="J11" s="380">
        <f>Показатели!J12</f>
        <v>1.554209723869219</v>
      </c>
      <c r="K11" s="348">
        <f>Показатели!K12</f>
        <v>5.1964703220454031E-2</v>
      </c>
      <c r="L11" s="347">
        <f>Показатели!L12</f>
        <v>0.10995110524955787</v>
      </c>
      <c r="M11" s="342">
        <f>Показатели!M12</f>
        <v>7.623707651603491E-2</v>
      </c>
      <c r="R11" s="93"/>
      <c r="S11" s="368" t="s">
        <v>193</v>
      </c>
      <c r="T11" s="326">
        <v>0.23147638445447538</v>
      </c>
      <c r="U11" s="326">
        <v>5.1964703220454031E-2</v>
      </c>
      <c r="V11" s="326">
        <v>5.2671203966933401E-2</v>
      </c>
      <c r="W11" s="108">
        <f>AVERAGE(K3:K16)</f>
        <v>0.16969700637570653</v>
      </c>
      <c r="X11" s="370">
        <f t="shared" si="0"/>
        <v>0.31038381343227811</v>
      </c>
      <c r="AA11" s="36" t="s">
        <v>194</v>
      </c>
      <c r="AB11" s="374">
        <v>-0.43036011721402889</v>
      </c>
      <c r="AC11" s="374">
        <v>0.50025407091956764</v>
      </c>
      <c r="AD11" s="374">
        <v>0.41833586246913684</v>
      </c>
      <c r="AE11" s="374">
        <v>0.10800684707623447</v>
      </c>
      <c r="AF11" s="374">
        <v>-0.33819244001415033</v>
      </c>
      <c r="AG11" s="374">
        <v>-3.6085178697572773E-2</v>
      </c>
      <c r="AH11" s="374">
        <v>-0.23810568541558186</v>
      </c>
      <c r="AI11" s="325"/>
      <c r="AL11" s="433" t="s">
        <v>30</v>
      </c>
      <c r="AM11" s="429">
        <v>5.29</v>
      </c>
      <c r="AN11" s="58">
        <v>0.37351484869602297</v>
      </c>
      <c r="AO11" s="27"/>
      <c r="AP11" s="27">
        <v>0.95123079562052648</v>
      </c>
    </row>
    <row r="12" spans="1:42" ht="16" x14ac:dyDescent="0.45">
      <c r="A12" s="338" t="s">
        <v>22</v>
      </c>
      <c r="B12" s="339">
        <f>Показатели!B13</f>
        <v>2.4253981896806422</v>
      </c>
      <c r="C12" s="341">
        <f>Показатели!C13</f>
        <v>0.28999999999999998</v>
      </c>
      <c r="D12" s="342">
        <f>Показатели!D13</f>
        <v>91.836824396343886</v>
      </c>
      <c r="E12" s="343">
        <f>Показатели!E13</f>
        <v>699777.8</v>
      </c>
      <c r="F12" s="344">
        <f>Показатели!F13</f>
        <v>11.5</v>
      </c>
      <c r="G12" s="345">
        <f>Показатели!G13</f>
        <v>8</v>
      </c>
      <c r="H12" s="346">
        <f>Показатели!H13</f>
        <v>7.1636576629096144E-2</v>
      </c>
      <c r="I12" s="347">
        <f>Показатели!I13</f>
        <v>1.9739038172671135E-2</v>
      </c>
      <c r="J12" s="380">
        <f>Показатели!J13</f>
        <v>1.7345080763582965</v>
      </c>
      <c r="K12" s="348">
        <f>Показатели!K13</f>
        <v>0.23147638445447538</v>
      </c>
      <c r="L12" s="347">
        <f>Показатели!L13</f>
        <v>8.2357065999298776E-2</v>
      </c>
      <c r="M12" s="342">
        <f>Показатели!M13</f>
        <v>0.17727162848164166</v>
      </c>
      <c r="R12" s="93"/>
      <c r="S12" s="368" t="s">
        <v>194</v>
      </c>
      <c r="T12" s="326">
        <v>0.13659210962444565</v>
      </c>
      <c r="U12" s="326">
        <v>7.7333123425692693E-2</v>
      </c>
      <c r="V12" s="326">
        <v>1.9603696246776044E-2</v>
      </c>
      <c r="W12" s="108">
        <f>AVERAGE(L3:L16)</f>
        <v>9.518806773452225E-2</v>
      </c>
      <c r="X12" s="370">
        <f t="shared" si="0"/>
        <v>0.20594699223699328</v>
      </c>
      <c r="AA12" s="376" t="s">
        <v>195</v>
      </c>
      <c r="AB12" s="373">
        <v>-8.6343062715659169E-2</v>
      </c>
      <c r="AC12" s="373">
        <v>-0.11680820831916704</v>
      </c>
      <c r="AD12" s="373">
        <v>-0.73502541473630223</v>
      </c>
      <c r="AE12" s="373">
        <v>-0.29728539445248325</v>
      </c>
      <c r="AF12" s="373">
        <v>0.61822470786554584</v>
      </c>
      <c r="AG12" s="373">
        <v>0.44945902208891103</v>
      </c>
      <c r="AH12" s="373">
        <v>-4.1180058559010968E-2</v>
      </c>
      <c r="AI12" s="373">
        <v>-0.37359656332776447</v>
      </c>
      <c r="AK12" s="191"/>
      <c r="AL12" s="433" t="s">
        <v>22</v>
      </c>
      <c r="AM12" s="429">
        <v>5.25</v>
      </c>
      <c r="AN12" s="58">
        <v>0.41716146109918356</v>
      </c>
      <c r="AO12" s="27"/>
      <c r="AP12" s="27">
        <v>2.4253981896806422</v>
      </c>
    </row>
    <row r="13" spans="1:42" ht="16" x14ac:dyDescent="0.45">
      <c r="A13" s="338" t="s">
        <v>34</v>
      </c>
      <c r="B13" s="339">
        <f>Показатели!B14</f>
        <v>1.0031844676177197</v>
      </c>
      <c r="C13" s="341">
        <f>Показатели!C14</f>
        <v>0.56999999999999995</v>
      </c>
      <c r="D13" s="342">
        <f>Показатели!D14</f>
        <v>102.19318626379579</v>
      </c>
      <c r="E13" s="343">
        <f>Показатели!E14</f>
        <v>487276.4</v>
      </c>
      <c r="F13" s="344">
        <f>Показатели!F14</f>
        <v>11.8</v>
      </c>
      <c r="G13" s="345">
        <f>Показатели!G14</f>
        <v>15.5</v>
      </c>
      <c r="H13" s="346">
        <f>Показатели!H14</f>
        <v>0.12981352364407509</v>
      </c>
      <c r="I13" s="347">
        <f>Показатели!I14</f>
        <v>2.4213101093997796E-2</v>
      </c>
      <c r="J13" s="380">
        <f>Показатели!J14</f>
        <v>1.612317235268055</v>
      </c>
      <c r="K13" s="348">
        <f>Показатели!K14</f>
        <v>0.17379475459788879</v>
      </c>
      <c r="L13" s="347">
        <f>Показатели!L14</f>
        <v>9.4776869705446118E-2</v>
      </c>
      <c r="M13" s="342">
        <f>Показатели!M14</f>
        <v>1.7645757558609123</v>
      </c>
      <c r="R13" s="93"/>
      <c r="S13" s="368" t="s">
        <v>195</v>
      </c>
      <c r="T13" s="326">
        <v>9.1958582105131299</v>
      </c>
      <c r="U13" s="326">
        <v>7.623707651603491E-2</v>
      </c>
      <c r="V13" s="326">
        <v>2.5468274731919043</v>
      </c>
      <c r="W13" s="108">
        <f>AVERAGE(M3:M16)</f>
        <v>2.138612824323737</v>
      </c>
      <c r="X13" s="370">
        <f t="shared" si="0"/>
        <v>1.1908782385597314</v>
      </c>
      <c r="AA13" s="27"/>
      <c r="AB13" s="27"/>
      <c r="AC13" s="27"/>
      <c r="AD13" s="27"/>
      <c r="AE13" s="27"/>
      <c r="AF13" s="27"/>
      <c r="AG13" s="27"/>
      <c r="AH13" s="27"/>
      <c r="AI13" s="27"/>
      <c r="AJ13" s="27"/>
      <c r="AK13" s="191"/>
      <c r="AL13" s="433" t="s">
        <v>34</v>
      </c>
      <c r="AM13" s="429">
        <v>5.84</v>
      </c>
      <c r="AN13" s="58">
        <v>0.60358472040534883</v>
      </c>
      <c r="AO13" s="27"/>
      <c r="AP13" s="27">
        <v>1.0031844676177197</v>
      </c>
    </row>
    <row r="14" spans="1:42" ht="16.5" x14ac:dyDescent="0.45">
      <c r="A14" s="338" t="s">
        <v>23</v>
      </c>
      <c r="B14" s="339">
        <f>Показатели!B15</f>
        <v>0.70273948418921861</v>
      </c>
      <c r="C14" s="341">
        <f>Показатели!C15</f>
        <v>0.3</v>
      </c>
      <c r="D14" s="342">
        <f>Показатели!D15</f>
        <v>68.238007418362727</v>
      </c>
      <c r="E14" s="343">
        <f>Показатели!E15</f>
        <v>367687.1</v>
      </c>
      <c r="F14" s="344">
        <f>Показатели!F15</f>
        <v>11.7</v>
      </c>
      <c r="G14" s="345">
        <f>Показатели!G15</f>
        <v>18.3</v>
      </c>
      <c r="H14" s="349">
        <f>Показатели!H15</f>
        <v>8.5413513374149014E-2</v>
      </c>
      <c r="I14" s="347">
        <f>Показатели!I15</f>
        <v>2.89402656013906E-2</v>
      </c>
      <c r="J14" s="380">
        <f>Показатели!J15</f>
        <v>1.3044476100031657</v>
      </c>
      <c r="K14" s="348">
        <f>Показатели!K15</f>
        <v>0.221661115289567</v>
      </c>
      <c r="L14" s="347">
        <f>Показатели!L15</f>
        <v>0.13481622219583383</v>
      </c>
      <c r="M14" s="342">
        <f>Показатели!M15</f>
        <v>1.0661072174773023</v>
      </c>
      <c r="R14" s="93"/>
      <c r="W14" s="256"/>
      <c r="AA14" s="371"/>
      <c r="AB14" s="372"/>
      <c r="AC14" s="372"/>
      <c r="AD14" s="372"/>
      <c r="AE14" s="372"/>
      <c r="AF14" s="372"/>
      <c r="AG14" s="372"/>
      <c r="AH14" s="372"/>
      <c r="AI14" s="372"/>
      <c r="AJ14" s="372"/>
      <c r="AK14" s="372"/>
      <c r="AL14" s="433" t="s">
        <v>23</v>
      </c>
      <c r="AM14" s="429">
        <v>5.09</v>
      </c>
      <c r="AN14" s="58">
        <v>0.53889730286227944</v>
      </c>
      <c r="AO14" s="27"/>
      <c r="AP14" s="27">
        <v>0.70273948418921861</v>
      </c>
    </row>
    <row r="15" spans="1:42" ht="16" x14ac:dyDescent="0.45">
      <c r="A15" s="338" t="s">
        <v>31</v>
      </c>
      <c r="B15" s="339">
        <f>Показатели!B16</f>
        <v>1.1456845880516722</v>
      </c>
      <c r="C15" s="341">
        <f>Показатели!C16</f>
        <v>0.47</v>
      </c>
      <c r="D15" s="342">
        <f>Показатели!D16</f>
        <v>98.807199060933357</v>
      </c>
      <c r="E15" s="343">
        <f>Показатели!E16</f>
        <v>867817</v>
      </c>
      <c r="F15" s="344">
        <f>Показатели!F16</f>
        <v>9.5</v>
      </c>
      <c r="G15" s="350">
        <f>Показатели!G16</f>
        <v>6.7</v>
      </c>
      <c r="H15" s="346">
        <f>Показатели!H16</f>
        <v>0.10761208382941026</v>
      </c>
      <c r="I15" s="347">
        <f>Показатели!I16</f>
        <v>2.686725177390939E-2</v>
      </c>
      <c r="J15" s="380">
        <f>Показатели!J16</f>
        <v>1.6859016393442623</v>
      </c>
      <c r="K15" s="348">
        <f>Показатели!K16</f>
        <v>0.2043540584124709</v>
      </c>
      <c r="L15" s="347">
        <f>Показатели!L16</f>
        <v>8.1708258661358765E-2</v>
      </c>
      <c r="M15" s="342">
        <f>Показатели!M16</f>
        <v>2.897419719058214</v>
      </c>
      <c r="R15" s="93"/>
      <c r="W15" s="256"/>
      <c r="AA15" s="27"/>
      <c r="AB15" s="27"/>
      <c r="AC15" s="27"/>
      <c r="AD15" s="27"/>
      <c r="AE15" s="27"/>
      <c r="AF15" s="27"/>
      <c r="AG15" s="27"/>
      <c r="AH15" s="27"/>
      <c r="AI15" s="27"/>
      <c r="AJ15" s="27"/>
      <c r="AK15" s="27"/>
      <c r="AL15" s="433" t="s">
        <v>31</v>
      </c>
      <c r="AM15" s="429">
        <v>6.27</v>
      </c>
      <c r="AN15" s="58">
        <v>0.56225243716615048</v>
      </c>
      <c r="AO15" s="27"/>
      <c r="AP15" s="27">
        <v>1.1456845880516722</v>
      </c>
    </row>
    <row r="16" spans="1:42" ht="16" x14ac:dyDescent="0.45">
      <c r="A16" s="338" t="s">
        <v>32</v>
      </c>
      <c r="B16" s="339">
        <f>Показатели!B17</f>
        <v>0.49830177070954795</v>
      </c>
      <c r="C16" s="341">
        <f>Показатели!C17</f>
        <v>0.87</v>
      </c>
      <c r="D16" s="342">
        <f>Показатели!D17</f>
        <v>25.92415833470519</v>
      </c>
      <c r="E16" s="343">
        <f>Показатели!E17</f>
        <v>2992775.4</v>
      </c>
      <c r="F16" s="344">
        <f>Показатели!F17</f>
        <v>10.8</v>
      </c>
      <c r="G16" s="345">
        <f>Показатели!G17</f>
        <v>3.2</v>
      </c>
      <c r="H16" s="346">
        <f>Показатели!H17</f>
        <v>5.9463268562134519E-2</v>
      </c>
      <c r="I16" s="347">
        <f>Показатели!I17</f>
        <v>2.5262279771134263E-2</v>
      </c>
      <c r="J16" s="380">
        <f>Показатели!J17</f>
        <v>1.4895315559572224</v>
      </c>
      <c r="K16" s="348">
        <f>Показатели!K17</f>
        <v>9.0969356114877151E-2</v>
      </c>
      <c r="L16" s="347">
        <f>Показатели!L17</f>
        <v>0.13659210962444565</v>
      </c>
      <c r="M16" s="342">
        <f>Показатели!M17</f>
        <v>0.15486334100275595</v>
      </c>
      <c r="R16" s="93"/>
      <c r="U16" s="255"/>
      <c r="V16" s="255"/>
      <c r="W16" s="256"/>
      <c r="X16" s="255"/>
      <c r="AA16" s="27"/>
      <c r="AB16" s="27"/>
      <c r="AC16" s="27"/>
      <c r="AD16" s="27"/>
      <c r="AE16" s="27"/>
      <c r="AF16" s="27"/>
      <c r="AG16" s="27"/>
      <c r="AH16" s="27"/>
      <c r="AI16" s="27"/>
      <c r="AJ16" s="27"/>
      <c r="AK16" s="27"/>
      <c r="AL16" s="433" t="s">
        <v>32</v>
      </c>
      <c r="AM16" s="429">
        <v>5.36</v>
      </c>
      <c r="AN16" s="58">
        <v>0.25267953900654555</v>
      </c>
      <c r="AO16" s="27"/>
      <c r="AP16" s="27">
        <v>0.49830177070954795</v>
      </c>
    </row>
    <row r="17" spans="1:45" ht="18.5" x14ac:dyDescent="0.45">
      <c r="A17" s="362" t="s">
        <v>289</v>
      </c>
      <c r="B17" s="362" t="s">
        <v>114</v>
      </c>
      <c r="C17" s="362" t="s">
        <v>114</v>
      </c>
      <c r="D17" s="362" t="s">
        <v>114</v>
      </c>
      <c r="E17" s="362" t="s">
        <v>115</v>
      </c>
      <c r="F17" s="362" t="s">
        <v>114</v>
      </c>
      <c r="G17" s="362" t="s">
        <v>114</v>
      </c>
      <c r="H17" s="362" t="s">
        <v>114</v>
      </c>
      <c r="I17" s="362" t="s">
        <v>114</v>
      </c>
      <c r="J17" s="381" t="s">
        <v>114</v>
      </c>
      <c r="K17" s="362" t="s">
        <v>114</v>
      </c>
      <c r="L17" s="362" t="s">
        <v>114</v>
      </c>
      <c r="M17" s="362" t="s">
        <v>114</v>
      </c>
      <c r="R17" s="36"/>
      <c r="U17" s="62"/>
      <c r="V17" s="62"/>
      <c r="W17" s="257"/>
      <c r="X17" s="62"/>
      <c r="AA17" s="58"/>
      <c r="AB17" s="191"/>
      <c r="AC17" s="27"/>
      <c r="AD17" s="27"/>
      <c r="AE17" s="27"/>
      <c r="AF17" s="27"/>
      <c r="AG17" s="27"/>
      <c r="AH17" s="27"/>
      <c r="AI17" s="27"/>
      <c r="AJ17" s="27"/>
      <c r="AK17" s="27"/>
      <c r="AL17" s="432"/>
      <c r="AM17" s="183"/>
      <c r="AN17" s="27"/>
      <c r="AO17" s="27"/>
      <c r="AP17" s="27"/>
    </row>
    <row r="18" spans="1:45" x14ac:dyDescent="0.35">
      <c r="A18" s="352" t="s">
        <v>97</v>
      </c>
      <c r="B18" s="353">
        <f t="shared" ref="B18:M18" si="1">MAX(B3:B16)</f>
        <v>2.4253981896806422</v>
      </c>
      <c r="C18" s="353">
        <f t="shared" si="1"/>
        <v>0.87</v>
      </c>
      <c r="D18" s="354">
        <f t="shared" si="1"/>
        <v>152.95846573628481</v>
      </c>
      <c r="E18" s="363">
        <f t="shared" si="1"/>
        <v>2992775.4</v>
      </c>
      <c r="F18" s="354">
        <f t="shared" si="1"/>
        <v>12.1</v>
      </c>
      <c r="G18" s="354">
        <f t="shared" si="1"/>
        <v>22.3</v>
      </c>
      <c r="H18" s="354">
        <f t="shared" si="1"/>
        <v>0.14220998031969292</v>
      </c>
      <c r="I18" s="354">
        <f t="shared" si="1"/>
        <v>3.0240646927832831E-2</v>
      </c>
      <c r="J18" s="378">
        <f t="shared" si="1"/>
        <v>1.7345080763582965</v>
      </c>
      <c r="K18" s="353">
        <f t="shared" si="1"/>
        <v>0.23147638445447538</v>
      </c>
      <c r="L18" s="355">
        <f t="shared" si="1"/>
        <v>0.13659210962444565</v>
      </c>
      <c r="M18" s="353">
        <f t="shared" si="1"/>
        <v>9.1958582105131299</v>
      </c>
      <c r="R18" s="23"/>
      <c r="T18" s="27"/>
      <c r="U18" s="27"/>
      <c r="V18" s="27"/>
      <c r="W18" s="27"/>
      <c r="X18" s="27"/>
      <c r="Y18" s="27"/>
      <c r="Z18" s="27"/>
      <c r="AA18" s="27"/>
      <c r="AB18" s="191"/>
      <c r="AC18" s="27"/>
      <c r="AD18" s="27"/>
      <c r="AE18" s="27"/>
      <c r="AF18" s="27"/>
      <c r="AG18" s="27"/>
      <c r="AH18" s="27"/>
      <c r="AI18" s="27"/>
      <c r="AJ18" s="27"/>
      <c r="AK18" s="27"/>
      <c r="AL18" s="27"/>
      <c r="AM18" s="183"/>
      <c r="AN18" s="27"/>
      <c r="AO18" s="27"/>
      <c r="AP18" s="27"/>
      <c r="AS18" s="19"/>
    </row>
    <row r="19" spans="1:45" x14ac:dyDescent="0.35">
      <c r="A19" s="352" t="s">
        <v>98</v>
      </c>
      <c r="B19" s="353">
        <f t="shared" ref="B19:M19" si="2">MIN(B3:B17)</f>
        <v>0.49830177070954795</v>
      </c>
      <c r="C19" s="353">
        <f t="shared" si="2"/>
        <v>0.05</v>
      </c>
      <c r="D19" s="354">
        <f t="shared" si="2"/>
        <v>0.95673330744799423</v>
      </c>
      <c r="E19" s="363">
        <f t="shared" si="2"/>
        <v>367687.1</v>
      </c>
      <c r="F19" s="354">
        <f t="shared" si="2"/>
        <v>5.5</v>
      </c>
      <c r="G19" s="354">
        <f t="shared" si="2"/>
        <v>1.1000000000000001</v>
      </c>
      <c r="H19" s="354">
        <f t="shared" si="2"/>
        <v>5.4639254138958551E-2</v>
      </c>
      <c r="I19" s="354">
        <f t="shared" si="2"/>
        <v>1.4971600993965212E-2</v>
      </c>
      <c r="J19" s="378">
        <f t="shared" si="2"/>
        <v>1.3044476100031657</v>
      </c>
      <c r="K19" s="353">
        <f t="shared" si="2"/>
        <v>5.1964703220454031E-2</v>
      </c>
      <c r="L19" s="355">
        <f t="shared" si="2"/>
        <v>7.7333123425692693E-2</v>
      </c>
      <c r="M19" s="353">
        <f t="shared" si="2"/>
        <v>7.623707651603491E-2</v>
      </c>
      <c r="R19" s="23"/>
      <c r="T19" s="27"/>
      <c r="U19" s="67"/>
      <c r="V19" s="184"/>
      <c r="W19" s="67"/>
      <c r="X19" s="67"/>
      <c r="Y19" s="184"/>
      <c r="Z19" s="184"/>
      <c r="AA19" s="67"/>
      <c r="AB19" s="191"/>
      <c r="AC19" s="27"/>
      <c r="AD19" s="27"/>
      <c r="AL19" s="27"/>
      <c r="AM19" s="183"/>
      <c r="AN19" s="27"/>
      <c r="AO19" s="27"/>
      <c r="AP19" s="27"/>
    </row>
    <row r="20" spans="1:45" x14ac:dyDescent="0.35">
      <c r="A20" s="352" t="s">
        <v>233</v>
      </c>
      <c r="B20" s="353">
        <f t="shared" ref="B20:M20" si="3">STDEV(B3:B16)</f>
        <v>0.46575406930379559</v>
      </c>
      <c r="C20" s="353">
        <f t="shared" si="3"/>
        <v>0.26389724940165293</v>
      </c>
      <c r="D20" s="354">
        <f t="shared" si="3"/>
        <v>41.932350864792461</v>
      </c>
      <c r="E20" s="363">
        <f t="shared" si="3"/>
        <v>651061.96004132228</v>
      </c>
      <c r="F20" s="354">
        <f t="shared" si="3"/>
        <v>2.2824341161368658</v>
      </c>
      <c r="G20" s="353">
        <f t="shared" si="3"/>
        <v>6.4053763475572696</v>
      </c>
      <c r="H20" s="353">
        <f t="shared" si="3"/>
        <v>2.4894096019244971E-2</v>
      </c>
      <c r="I20" s="353">
        <f t="shared" si="3"/>
        <v>4.1834580986930825E-3</v>
      </c>
      <c r="J20" s="378">
        <f t="shared" si="3"/>
        <v>0.12363889044671154</v>
      </c>
      <c r="K20" s="353">
        <f t="shared" si="3"/>
        <v>5.2671203966933401E-2</v>
      </c>
      <c r="L20" s="353">
        <f t="shared" si="3"/>
        <v>1.9603696246776044E-2</v>
      </c>
      <c r="M20" s="353">
        <f t="shared" si="3"/>
        <v>2.5468274731919043</v>
      </c>
      <c r="R20" s="23"/>
      <c r="T20" s="27"/>
      <c r="U20" s="67"/>
      <c r="V20" s="184"/>
      <c r="W20" s="67"/>
      <c r="X20" s="67"/>
      <c r="Y20" s="184"/>
      <c r="Z20" s="184"/>
      <c r="AA20" s="67"/>
      <c r="AB20" s="191"/>
      <c r="AC20" s="27"/>
      <c r="AD20" s="27"/>
    </row>
    <row r="21" spans="1:45" x14ac:dyDescent="0.35">
      <c r="A21" s="352" t="s">
        <v>286</v>
      </c>
      <c r="B21" s="353">
        <f>AVERAGE(B3:B16)</f>
        <v>0.98292101982901137</v>
      </c>
      <c r="C21" s="353">
        <f t="shared" ref="C21:M21" si="4">AVERAGE(C3:C16)</f>
        <v>0.43571428571428567</v>
      </c>
      <c r="D21" s="354">
        <f t="shared" si="4"/>
        <v>73.810057185035433</v>
      </c>
      <c r="E21" s="363">
        <f t="shared" si="4"/>
        <v>801717.63571428577</v>
      </c>
      <c r="F21" s="354">
        <f t="shared" si="4"/>
        <v>9.8214285714285712</v>
      </c>
      <c r="G21" s="354">
        <f t="shared" si="4"/>
        <v>11.950000000000001</v>
      </c>
      <c r="H21" s="353">
        <f t="shared" si="4"/>
        <v>9.1340771659636097E-2</v>
      </c>
      <c r="I21" s="353">
        <f t="shared" si="4"/>
        <v>2.4454653792197086E-2</v>
      </c>
      <c r="J21" s="378">
        <f t="shared" si="4"/>
        <v>1.6080331719736987</v>
      </c>
      <c r="K21" s="353">
        <f t="shared" si="4"/>
        <v>0.16969700637570653</v>
      </c>
      <c r="L21" s="353">
        <f t="shared" si="4"/>
        <v>9.518806773452225E-2</v>
      </c>
      <c r="M21" s="353">
        <f t="shared" si="4"/>
        <v>2.138612824323737</v>
      </c>
      <c r="R21" s="23"/>
      <c r="T21" s="27"/>
      <c r="U21" s="67"/>
      <c r="V21" s="184"/>
      <c r="W21" s="67"/>
      <c r="X21" s="67"/>
      <c r="Y21" s="184"/>
      <c r="Z21" s="184"/>
      <c r="AA21" s="67"/>
      <c r="AB21" s="191"/>
      <c r="AC21" s="27"/>
      <c r="AD21" s="27"/>
    </row>
    <row r="22" spans="1:45" x14ac:dyDescent="0.35">
      <c r="A22" s="364" t="s">
        <v>285</v>
      </c>
      <c r="B22" s="365">
        <f>B20/B21</f>
        <v>0.47384689095856147</v>
      </c>
      <c r="C22" s="365">
        <f t="shared" ref="C22:M22" si="5">C20/C21</f>
        <v>0.60566581829887567</v>
      </c>
      <c r="D22" s="365">
        <f t="shared" si="5"/>
        <v>0.56811161600473603</v>
      </c>
      <c r="E22" s="365">
        <f t="shared" si="5"/>
        <v>0.81208386972959912</v>
      </c>
      <c r="F22" s="365">
        <f t="shared" si="5"/>
        <v>0.23239329182484453</v>
      </c>
      <c r="G22" s="365">
        <f t="shared" si="5"/>
        <v>0.53601475711776314</v>
      </c>
      <c r="H22" s="365">
        <f t="shared" si="5"/>
        <v>0.27254089895373401</v>
      </c>
      <c r="I22" s="365">
        <f t="shared" si="5"/>
        <v>0.17107001940170288</v>
      </c>
      <c r="J22" s="379">
        <f t="shared" si="5"/>
        <v>7.6888271088933605E-2</v>
      </c>
      <c r="K22" s="365">
        <f t="shared" si="5"/>
        <v>0.31038381343227811</v>
      </c>
      <c r="L22" s="365">
        <f t="shared" si="5"/>
        <v>0.20594699223699328</v>
      </c>
      <c r="M22" s="365">
        <f t="shared" si="5"/>
        <v>1.1908782385597314</v>
      </c>
      <c r="N22" s="19"/>
      <c r="O22" s="19"/>
      <c r="P22" s="23"/>
      <c r="Q22" s="23"/>
      <c r="R22" s="23"/>
      <c r="T22" s="27"/>
      <c r="U22" s="67"/>
      <c r="V22" s="184"/>
      <c r="W22" s="67"/>
      <c r="X22" s="67"/>
      <c r="Y22" s="184"/>
      <c r="Z22" s="184"/>
      <c r="AA22" s="67"/>
      <c r="AB22" s="191"/>
      <c r="AC22" s="27"/>
      <c r="AD22" s="27"/>
    </row>
    <row r="23" spans="1:45" x14ac:dyDescent="0.35">
      <c r="A23" s="356"/>
      <c r="B23" s="357"/>
      <c r="C23" s="358"/>
      <c r="D23" s="359"/>
      <c r="E23" s="357"/>
      <c r="F23" s="357"/>
      <c r="G23" s="357"/>
      <c r="H23" s="357"/>
      <c r="I23" s="357"/>
      <c r="J23" s="357"/>
      <c r="K23" s="357"/>
      <c r="L23" s="357"/>
      <c r="M23" s="357"/>
      <c r="N23" s="333"/>
      <c r="O23" s="333"/>
      <c r="P23" s="335"/>
      <c r="Q23" s="335"/>
      <c r="T23" s="27"/>
      <c r="U23" s="67"/>
      <c r="V23" s="184"/>
      <c r="W23" s="67"/>
      <c r="X23" s="67"/>
      <c r="Y23" s="184"/>
      <c r="Z23" s="184"/>
      <c r="AA23" s="67"/>
      <c r="AB23" s="152"/>
      <c r="AC23" s="27"/>
      <c r="AD23" s="27"/>
    </row>
    <row r="24" spans="1:45" ht="26.5" x14ac:dyDescent="0.35">
      <c r="A24" s="34" t="s">
        <v>373</v>
      </c>
      <c r="B24" s="34"/>
      <c r="C24" s="331"/>
      <c r="D24" s="332"/>
      <c r="E24" s="59"/>
      <c r="F24" s="333"/>
      <c r="G24" s="333"/>
      <c r="H24" s="333"/>
      <c r="I24" s="333"/>
      <c r="J24" s="333"/>
      <c r="K24" s="333"/>
      <c r="L24" s="333"/>
      <c r="M24" s="334"/>
      <c r="N24" s="333"/>
      <c r="O24" s="333"/>
      <c r="Q24" s="335"/>
      <c r="R24" s="335" t="s">
        <v>297</v>
      </c>
      <c r="T24" s="27"/>
      <c r="U24" s="67"/>
      <c r="V24" s="184"/>
      <c r="W24" s="67"/>
      <c r="X24" s="67"/>
      <c r="Y24" s="184"/>
      <c r="Z24" s="184"/>
      <c r="AA24" s="67"/>
      <c r="AB24" s="191"/>
      <c r="AC24" s="27"/>
      <c r="AD24" s="27"/>
    </row>
    <row r="25" spans="1:45" ht="20.25" customHeight="1" x14ac:dyDescent="0.45">
      <c r="A25" s="338" t="s">
        <v>236</v>
      </c>
      <c r="B25" s="384" t="s">
        <v>293</v>
      </c>
      <c r="C25" s="384" t="s">
        <v>294</v>
      </c>
      <c r="D25" s="390" t="s">
        <v>295</v>
      </c>
      <c r="E25" s="389" t="s">
        <v>188</v>
      </c>
      <c r="F25" s="385" t="s">
        <v>187</v>
      </c>
      <c r="G25" s="385" t="s">
        <v>189</v>
      </c>
      <c r="H25" s="386" t="s">
        <v>197</v>
      </c>
      <c r="I25" s="387" t="s">
        <v>281</v>
      </c>
      <c r="J25" s="388" t="s">
        <v>196</v>
      </c>
      <c r="K25" s="388" t="s">
        <v>191</v>
      </c>
      <c r="L25" s="389" t="s">
        <v>193</v>
      </c>
      <c r="M25" s="389" t="s">
        <v>194</v>
      </c>
      <c r="N25" s="419" t="s">
        <v>195</v>
      </c>
      <c r="O25" s="424"/>
      <c r="P25" s="27"/>
      <c r="Q25" s="423" t="s">
        <v>288</v>
      </c>
      <c r="R25" s="390" t="s">
        <v>232</v>
      </c>
      <c r="S25" s="340" t="s">
        <v>286</v>
      </c>
      <c r="T25" s="351">
        <f>AVERAGE(R26:R39)</f>
        <v>0.45799296725258237</v>
      </c>
      <c r="U25" s="243"/>
      <c r="V25" s="243"/>
      <c r="W25" s="243"/>
      <c r="Y25" s="183"/>
      <c r="Z25" s="67"/>
      <c r="AA25" s="183"/>
      <c r="AB25" s="27"/>
      <c r="AC25" s="27"/>
      <c r="AD25" s="27"/>
    </row>
    <row r="26" spans="1:45" ht="18.5" x14ac:dyDescent="0.45">
      <c r="A26" s="338" t="s">
        <v>33</v>
      </c>
      <c r="B26" s="383">
        <f t="shared" ref="B26:C39" si="6">(B3-B$19)/(B$18 - B$19)</f>
        <v>0.12057344646905344</v>
      </c>
      <c r="C26" s="383">
        <f t="shared" si="6"/>
        <v>0.14634146341463417</v>
      </c>
      <c r="D26" s="360">
        <f t="shared" ref="D26:D39" si="7">(B26*$B$42+C26*$C$42)/($B$42+$C$42)</f>
        <v>0.1257270498581696</v>
      </c>
      <c r="E26" s="360">
        <f t="shared" ref="E26:E39" si="8">(D3-D$19)/(D$18 - D$19)</f>
        <v>0.37218509488703422</v>
      </c>
      <c r="F26" s="382">
        <f t="shared" ref="F26:F39" si="9">(E$18-E3)/(E$18 - E$19)</f>
        <v>0.8041919199441786</v>
      </c>
      <c r="G26" s="382">
        <f t="shared" ref="G26:H39" si="10">(F3-F$19)/(F$18 - F$19)</f>
        <v>9.0909090909090856E-2</v>
      </c>
      <c r="H26" s="382">
        <f t="shared" si="10"/>
        <v>0</v>
      </c>
      <c r="I26" s="360">
        <f>(F26*$F$40+G26*$G$40+H26*$H$40)/($H$40+$F$40+$G$40)</f>
        <v>0.38089404717160402</v>
      </c>
      <c r="J26" s="360">
        <f t="shared" ref="J26:J39" si="11">(H3-H$19)/(H$18 - H$19)</f>
        <v>1</v>
      </c>
      <c r="K26" s="360">
        <f t="shared" ref="K26:K39" si="12">(I3-I$19)/(I$18 - I$19)</f>
        <v>0.95173142574467229</v>
      </c>
      <c r="L26" s="360">
        <f t="shared" ref="L26:N39" si="13">(K3-K$19)/(K$18 - K$19)</f>
        <v>0.43954065789790459</v>
      </c>
      <c r="M26" s="360">
        <f t="shared" si="13"/>
        <v>7.1726922396515985E-2</v>
      </c>
      <c r="N26" s="420">
        <f t="shared" si="13"/>
        <v>1</v>
      </c>
      <c r="O26" s="181"/>
      <c r="P26" s="27"/>
      <c r="Q26" s="423" t="s">
        <v>33</v>
      </c>
      <c r="R26" s="360">
        <f t="shared" ref="R26:R39" si="14">(E26*$E$42+I26*$I$42+J26*$J$42+K26*$K$42+ L26*$L$42+M26*$M$42+N26*$N$42)/($E$42+$I$42+$J$42+$K$42+$L$42+$M$42+$N$42)</f>
        <v>0.6110527860632361</v>
      </c>
      <c r="S26" s="336" t="s">
        <v>233</v>
      </c>
      <c r="T26" s="351">
        <f>STDEV(R26:R39)</f>
        <v>0.13443816252694832</v>
      </c>
      <c r="V26" s="243"/>
      <c r="W26" s="243"/>
      <c r="X26" s="28"/>
      <c r="Y26" s="425"/>
      <c r="Z26" s="426"/>
      <c r="AA26" s="427"/>
      <c r="AB26" s="428"/>
      <c r="AD26" s="338" t="s">
        <v>33</v>
      </c>
    </row>
    <row r="27" spans="1:45" ht="16.5" x14ac:dyDescent="0.45">
      <c r="A27" s="338" t="s">
        <v>24</v>
      </c>
      <c r="B27" s="383">
        <f t="shared" si="6"/>
        <v>9.9520500286426714E-2</v>
      </c>
      <c r="C27" s="383">
        <f t="shared" si="6"/>
        <v>0.87804878048780488</v>
      </c>
      <c r="D27" s="360">
        <f t="shared" si="7"/>
        <v>0.25522615632670237</v>
      </c>
      <c r="E27" s="360">
        <f t="shared" si="8"/>
        <v>0.82311716487931441</v>
      </c>
      <c r="F27" s="382">
        <f t="shared" si="9"/>
        <v>0.93194830817690966</v>
      </c>
      <c r="G27" s="382">
        <f t="shared" si="10"/>
        <v>0.25757575757575762</v>
      </c>
      <c r="H27" s="382">
        <f t="shared" si="10"/>
        <v>0.73113207547169823</v>
      </c>
      <c r="I27" s="360">
        <f t="shared" ref="I27:I39" si="15">(F27*$F$40+G27*$G$40+H27*$H$40)/($H$40+$F$40+$G$40)</f>
        <v>0.61507246475223898</v>
      </c>
      <c r="J27" s="360">
        <f t="shared" si="11"/>
        <v>0.60324017301077848</v>
      </c>
      <c r="K27" s="360">
        <f t="shared" si="12"/>
        <v>0.66719419120603751</v>
      </c>
      <c r="L27" s="360">
        <f t="shared" si="13"/>
        <v>0.57304375944012331</v>
      </c>
      <c r="M27" s="360">
        <f t="shared" si="13"/>
        <v>9.2298358072592165E-2</v>
      </c>
      <c r="N27" s="420">
        <f t="shared" si="13"/>
        <v>0.5261476248723983</v>
      </c>
      <c r="O27" s="181"/>
      <c r="P27" s="27"/>
      <c r="Q27" s="423" t="s">
        <v>24</v>
      </c>
      <c r="R27" s="360">
        <f t="shared" si="14"/>
        <v>0.62490441906288363</v>
      </c>
      <c r="S27" s="336" t="s">
        <v>285</v>
      </c>
      <c r="T27" s="397">
        <f>T26/T25</f>
        <v>0.29353761332497907</v>
      </c>
      <c r="V27" s="27"/>
      <c r="W27" s="27"/>
      <c r="X27" s="28"/>
      <c r="Y27" s="425"/>
      <c r="Z27" s="426"/>
      <c r="AA27" s="427"/>
      <c r="AB27" s="428"/>
      <c r="AC27" s="27"/>
      <c r="AD27" s="338" t="s">
        <v>24</v>
      </c>
    </row>
    <row r="28" spans="1:45" ht="16.5" x14ac:dyDescent="0.45">
      <c r="A28" s="338" t="s">
        <v>25</v>
      </c>
      <c r="B28" s="383">
        <f t="shared" si="6"/>
        <v>0.27458375133801116</v>
      </c>
      <c r="C28" s="383">
        <f t="shared" si="6"/>
        <v>0.21951219512195122</v>
      </c>
      <c r="D28" s="360">
        <f t="shared" si="7"/>
        <v>0.26356944009479916</v>
      </c>
      <c r="E28" s="360">
        <f t="shared" si="8"/>
        <v>0.46178486821178411</v>
      </c>
      <c r="F28" s="382">
        <f t="shared" si="9"/>
        <v>0.88875033270309411</v>
      </c>
      <c r="G28" s="382">
        <f t="shared" si="10"/>
        <v>1</v>
      </c>
      <c r="H28" s="382">
        <f t="shared" si="10"/>
        <v>0.61792452830188682</v>
      </c>
      <c r="I28" s="360">
        <f t="shared" si="15"/>
        <v>0.89575485855691672</v>
      </c>
      <c r="J28" s="360">
        <f t="shared" si="11"/>
        <v>0.19759055638722117</v>
      </c>
      <c r="K28" s="360">
        <f t="shared" si="12"/>
        <v>1</v>
      </c>
      <c r="L28" s="360">
        <f t="shared" si="13"/>
        <v>0.81013793709995052</v>
      </c>
      <c r="M28" s="360">
        <f t="shared" si="13"/>
        <v>0.1803274718084657</v>
      </c>
      <c r="N28" s="420">
        <f t="shared" si="13"/>
        <v>4.7702691519067725E-2</v>
      </c>
      <c r="O28" s="181"/>
      <c r="P28" s="27"/>
      <c r="Q28" s="423" t="s">
        <v>25</v>
      </c>
      <c r="R28" s="360">
        <f t="shared" si="14"/>
        <v>0.43532885301042057</v>
      </c>
      <c r="S28" s="183" t="s">
        <v>408</v>
      </c>
      <c r="V28" s="27"/>
      <c r="W28" s="27"/>
      <c r="X28" s="28"/>
      <c r="Y28" s="425"/>
      <c r="Z28" s="426"/>
      <c r="AA28" s="427"/>
      <c r="AB28" s="428"/>
      <c r="AC28" s="27"/>
      <c r="AD28" s="338" t="s">
        <v>25</v>
      </c>
    </row>
    <row r="29" spans="1:45" ht="16.5" x14ac:dyDescent="0.45">
      <c r="A29" s="338" t="s">
        <v>21</v>
      </c>
      <c r="B29" s="383">
        <f t="shared" si="6"/>
        <v>0.10796378443467827</v>
      </c>
      <c r="C29" s="383">
        <f t="shared" si="6"/>
        <v>0.91463414634146345</v>
      </c>
      <c r="D29" s="360">
        <f t="shared" si="7"/>
        <v>0.2692978568160353</v>
      </c>
      <c r="E29" s="360">
        <f t="shared" si="8"/>
        <v>0.14008520235416302</v>
      </c>
      <c r="F29" s="382">
        <f t="shared" si="9"/>
        <v>0.92562577799763923</v>
      </c>
      <c r="G29" s="382">
        <f t="shared" si="10"/>
        <v>0.53030303030303028</v>
      </c>
      <c r="H29" s="382">
        <f t="shared" si="10"/>
        <v>0.679245283018868</v>
      </c>
      <c r="I29" s="360">
        <f t="shared" si="15"/>
        <v>0.72070836483288225</v>
      </c>
      <c r="J29" s="360">
        <f t="shared" si="11"/>
        <v>0.36276223414916214</v>
      </c>
      <c r="K29" s="360">
        <f t="shared" si="12"/>
        <v>0.64527398051136187</v>
      </c>
      <c r="L29" s="360">
        <f t="shared" si="13"/>
        <v>0.76331729763946488</v>
      </c>
      <c r="M29" s="360">
        <f t="shared" si="13"/>
        <v>0.30074201669291328</v>
      </c>
      <c r="N29" s="420">
        <f t="shared" si="13"/>
        <v>0.43067276196772564</v>
      </c>
      <c r="O29" s="181"/>
      <c r="P29" s="27"/>
      <c r="Q29" s="423" t="s">
        <v>21</v>
      </c>
      <c r="R29" s="360">
        <f t="shared" si="14"/>
        <v>0.3814377051105875</v>
      </c>
      <c r="S29" s="417" t="s">
        <v>407</v>
      </c>
      <c r="T29" s="418">
        <f>STDEVA(D26:D39)</f>
        <v>0.18992964590308214</v>
      </c>
      <c r="U29" s="27"/>
      <c r="V29" s="27"/>
      <c r="W29" s="27"/>
      <c r="X29" s="28"/>
      <c r="Y29" s="425"/>
      <c r="Z29" s="426"/>
      <c r="AA29" s="427"/>
      <c r="AB29" s="428"/>
      <c r="AC29" s="27"/>
      <c r="AD29" s="338" t="s">
        <v>21</v>
      </c>
    </row>
    <row r="30" spans="1:45" ht="16.5" x14ac:dyDescent="0.45">
      <c r="A30" s="338" t="s">
        <v>26</v>
      </c>
      <c r="B30" s="383">
        <f t="shared" si="6"/>
        <v>9.9902352427504587E-2</v>
      </c>
      <c r="C30" s="383">
        <f t="shared" si="6"/>
        <v>4.8780487804878044E-2</v>
      </c>
      <c r="D30" s="360">
        <f t="shared" si="7"/>
        <v>8.967797950297926E-2</v>
      </c>
      <c r="E30" s="360">
        <f t="shared" si="8"/>
        <v>0</v>
      </c>
      <c r="F30" s="382">
        <f t="shared" si="9"/>
        <v>0.80374431595310525</v>
      </c>
      <c r="G30" s="382">
        <f t="shared" si="10"/>
        <v>0</v>
      </c>
      <c r="H30" s="382">
        <f t="shared" si="10"/>
        <v>0.46698113207547171</v>
      </c>
      <c r="I30" s="360">
        <f t="shared" si="15"/>
        <v>0.41156923922532779</v>
      </c>
      <c r="J30" s="360">
        <f t="shared" si="11"/>
        <v>0</v>
      </c>
      <c r="K30" s="360">
        <f t="shared" si="12"/>
        <v>0.61546322652915408</v>
      </c>
      <c r="L30" s="360">
        <f t="shared" si="13"/>
        <v>0.9502165516440938</v>
      </c>
      <c r="M30" s="360">
        <f t="shared" si="13"/>
        <v>0.148935329382548</v>
      </c>
      <c r="N30" s="420">
        <f t="shared" si="13"/>
        <v>0.3145764463308216</v>
      </c>
      <c r="O30" s="181"/>
      <c r="P30" s="27"/>
      <c r="Q30" s="423" t="s">
        <v>26</v>
      </c>
      <c r="R30" s="360">
        <f t="shared" si="14"/>
        <v>0.22961143662023056</v>
      </c>
      <c r="S30" s="417" t="s">
        <v>406</v>
      </c>
      <c r="T30" s="418">
        <f>AVERAGE(Table1[МСШТБ])</f>
        <v>0.29525776642736007</v>
      </c>
      <c r="U30" s="93"/>
      <c r="V30" s="187"/>
      <c r="W30" s="187"/>
      <c r="X30" s="28"/>
      <c r="Y30" s="425"/>
      <c r="Z30" s="426"/>
      <c r="AA30" s="427"/>
      <c r="AB30" s="428"/>
      <c r="AC30" s="27"/>
      <c r="AD30" s="338" t="s">
        <v>26</v>
      </c>
    </row>
    <row r="31" spans="1:45" ht="16.5" x14ac:dyDescent="0.45">
      <c r="A31" s="338" t="s">
        <v>27</v>
      </c>
      <c r="B31" s="383">
        <f t="shared" si="6"/>
        <v>0.39820973469788101</v>
      </c>
      <c r="C31" s="383">
        <f t="shared" si="6"/>
        <v>0.68292682926829262</v>
      </c>
      <c r="D31" s="360">
        <f t="shared" si="7"/>
        <v>0.45515315361196329</v>
      </c>
      <c r="E31" s="360">
        <f t="shared" si="8"/>
        <v>1</v>
      </c>
      <c r="F31" s="382">
        <f t="shared" si="9"/>
        <v>0.91248161061858379</v>
      </c>
      <c r="G31" s="382">
        <f t="shared" si="10"/>
        <v>0.37878787878787878</v>
      </c>
      <c r="H31" s="382">
        <f t="shared" si="10"/>
        <v>0.17924528301886794</v>
      </c>
      <c r="I31" s="360">
        <f t="shared" si="15"/>
        <v>0.57617248445236868</v>
      </c>
      <c r="J31" s="360">
        <f t="shared" si="11"/>
        <v>0.53708489611131338</v>
      </c>
      <c r="K31" s="360">
        <f t="shared" si="12"/>
        <v>0.66905698701886185</v>
      </c>
      <c r="L31" s="360">
        <f t="shared" si="13"/>
        <v>0.63396935037904012</v>
      </c>
      <c r="M31" s="360">
        <f t="shared" si="13"/>
        <v>0</v>
      </c>
      <c r="N31" s="420">
        <f t="shared" si="13"/>
        <v>7.3419368933478335E-2</v>
      </c>
      <c r="O31" s="181"/>
      <c r="P31" s="27"/>
      <c r="Q31" s="423" t="s">
        <v>27</v>
      </c>
      <c r="R31" s="360">
        <f t="shared" si="14"/>
        <v>0.59168394599498797</v>
      </c>
      <c r="S31" s="110" t="s">
        <v>285</v>
      </c>
      <c r="T31" s="360">
        <f>T29/T30</f>
        <v>0.64326723121035678</v>
      </c>
      <c r="U31" s="93"/>
      <c r="V31" s="187"/>
      <c r="W31" s="187"/>
      <c r="X31" s="28"/>
      <c r="Y31" s="425"/>
      <c r="Z31" s="426"/>
      <c r="AA31" s="427"/>
      <c r="AB31" s="428"/>
      <c r="AC31" s="27"/>
      <c r="AD31" s="338" t="s">
        <v>27</v>
      </c>
    </row>
    <row r="32" spans="1:45" ht="16.5" x14ac:dyDescent="0.45">
      <c r="A32" s="338" t="s">
        <v>28</v>
      </c>
      <c r="B32" s="383">
        <f t="shared" si="6"/>
        <v>0.26364575820815495</v>
      </c>
      <c r="C32" s="383">
        <f t="shared" si="6"/>
        <v>0.51219512195121952</v>
      </c>
      <c r="D32" s="360">
        <f t="shared" si="7"/>
        <v>0.31335563095676783</v>
      </c>
      <c r="E32" s="360">
        <f t="shared" si="8"/>
        <v>0.27604767541874664</v>
      </c>
      <c r="F32" s="382">
        <f t="shared" si="9"/>
        <v>0.91873370507193974</v>
      </c>
      <c r="G32" s="382">
        <f t="shared" si="10"/>
        <v>0.8787878787878789</v>
      </c>
      <c r="H32" s="382">
        <f t="shared" si="10"/>
        <v>1</v>
      </c>
      <c r="I32" s="360">
        <f t="shared" si="15"/>
        <v>0.91383897185524188</v>
      </c>
      <c r="J32" s="360">
        <f t="shared" si="11"/>
        <v>0.27868586145380714</v>
      </c>
      <c r="K32" s="360">
        <f t="shared" si="12"/>
        <v>0</v>
      </c>
      <c r="L32" s="360">
        <f t="shared" si="13"/>
        <v>0.86135576844480866</v>
      </c>
      <c r="M32" s="360">
        <f t="shared" si="13"/>
        <v>0.4375575726951253</v>
      </c>
      <c r="N32" s="420">
        <f t="shared" si="13"/>
        <v>1.3673783831852289E-2</v>
      </c>
      <c r="O32" s="181"/>
      <c r="P32" s="27"/>
      <c r="Q32" s="423" t="s">
        <v>28</v>
      </c>
      <c r="R32" s="360">
        <f t="shared" si="14"/>
        <v>0.32513852543679006</v>
      </c>
      <c r="S32" s="181"/>
      <c r="T32" s="27"/>
      <c r="U32" s="188"/>
      <c r="V32" s="27"/>
      <c r="W32" s="189"/>
      <c r="X32" s="28"/>
      <c r="Y32" s="425"/>
      <c r="Z32" s="426"/>
      <c r="AA32" s="427"/>
      <c r="AB32" s="428"/>
      <c r="AC32" s="27"/>
      <c r="AD32" s="338" t="s">
        <v>28</v>
      </c>
    </row>
    <row r="33" spans="1:47" ht="16.5" x14ac:dyDescent="0.45">
      <c r="A33" s="338" t="s">
        <v>29</v>
      </c>
      <c r="B33" s="383">
        <f t="shared" si="6"/>
        <v>0.21722408550532391</v>
      </c>
      <c r="C33" s="383">
        <f t="shared" si="6"/>
        <v>0.43902439024390244</v>
      </c>
      <c r="D33" s="360">
        <f t="shared" si="7"/>
        <v>0.26158414645303962</v>
      </c>
      <c r="E33" s="360">
        <f t="shared" si="8"/>
        <v>0.63908079021102315</v>
      </c>
      <c r="F33" s="382">
        <f t="shared" si="9"/>
        <v>0.98047341874176197</v>
      </c>
      <c r="G33" s="382">
        <f t="shared" si="10"/>
        <v>0.90909090909090917</v>
      </c>
      <c r="H33" s="382">
        <f t="shared" si="10"/>
        <v>0.83018867924528295</v>
      </c>
      <c r="I33" s="360">
        <f t="shared" si="15"/>
        <v>0.92771504917809378</v>
      </c>
      <c r="J33" s="360">
        <f t="shared" si="11"/>
        <v>0.37801300865111731</v>
      </c>
      <c r="K33" s="360">
        <f t="shared" si="12"/>
        <v>0.58818327546915594</v>
      </c>
      <c r="L33" s="360">
        <f t="shared" si="13"/>
        <v>0.46009523370811167</v>
      </c>
      <c r="M33" s="360">
        <f t="shared" si="13"/>
        <v>1.3224874249506894E-2</v>
      </c>
      <c r="N33" s="420">
        <f t="shared" si="13"/>
        <v>0.13713756063331281</v>
      </c>
      <c r="O33" s="181"/>
      <c r="P33" s="27"/>
      <c r="Q33" s="423" t="s">
        <v>29</v>
      </c>
      <c r="R33" s="360">
        <f t="shared" si="14"/>
        <v>0.46465356100148514</v>
      </c>
      <c r="S33" s="181"/>
      <c r="T33" s="27"/>
      <c r="U33" s="186"/>
      <c r="V33" s="184"/>
      <c r="W33" s="186"/>
      <c r="X33" s="28"/>
      <c r="Y33" s="425"/>
      <c r="Z33" s="426"/>
      <c r="AA33" s="427"/>
      <c r="AB33" s="428"/>
      <c r="AC33" s="27"/>
      <c r="AD33" s="338" t="s">
        <v>29</v>
      </c>
    </row>
    <row r="34" spans="1:47" ht="16.5" x14ac:dyDescent="0.45">
      <c r="A34" s="338" t="s">
        <v>30</v>
      </c>
      <c r="B34" s="383">
        <f t="shared" si="6"/>
        <v>0.23503184399709701</v>
      </c>
      <c r="C34" s="383">
        <f t="shared" si="6"/>
        <v>0</v>
      </c>
      <c r="D34" s="360">
        <f t="shared" si="7"/>
        <v>0.18802547519767759</v>
      </c>
      <c r="E34" s="360">
        <f t="shared" si="8"/>
        <v>0.48324892020904214</v>
      </c>
      <c r="F34" s="382">
        <f t="shared" si="9"/>
        <v>0.88188100186953722</v>
      </c>
      <c r="G34" s="382">
        <f t="shared" si="10"/>
        <v>0.90909090909090917</v>
      </c>
      <c r="H34" s="382">
        <f t="shared" si="10"/>
        <v>0.48113207547169817</v>
      </c>
      <c r="I34" s="360">
        <f t="shared" si="15"/>
        <v>0.83377367547895354</v>
      </c>
      <c r="J34" s="360">
        <f t="shared" si="11"/>
        <v>0.44616087317920089</v>
      </c>
      <c r="K34" s="360">
        <f t="shared" si="12"/>
        <v>0.27265610207229379</v>
      </c>
      <c r="L34" s="360">
        <f t="shared" si="13"/>
        <v>0</v>
      </c>
      <c r="M34" s="360">
        <f t="shared" si="13"/>
        <v>0.55043097960645815</v>
      </c>
      <c r="N34" s="420">
        <f t="shared" si="13"/>
        <v>0</v>
      </c>
      <c r="O34" s="181"/>
      <c r="P34" s="27"/>
      <c r="Q34" s="423" t="s">
        <v>30</v>
      </c>
      <c r="R34" s="360">
        <f t="shared" si="14"/>
        <v>0.37351484869602297</v>
      </c>
      <c r="S34" s="181"/>
      <c r="T34" s="27"/>
      <c r="U34" s="186"/>
      <c r="V34" s="67"/>
      <c r="W34" s="186"/>
      <c r="X34" s="28"/>
      <c r="Y34" s="425"/>
      <c r="Z34" s="426"/>
      <c r="AA34" s="427"/>
      <c r="AB34" s="428"/>
      <c r="AC34" s="27"/>
      <c r="AD34" s="338" t="s">
        <v>30</v>
      </c>
    </row>
    <row r="35" spans="1:47" ht="16.5" x14ac:dyDescent="0.45">
      <c r="A35" s="338" t="s">
        <v>22</v>
      </c>
      <c r="B35" s="383">
        <f t="shared" si="6"/>
        <v>1</v>
      </c>
      <c r="C35" s="383">
        <f t="shared" si="6"/>
        <v>0.29268292682926828</v>
      </c>
      <c r="D35" s="360">
        <f t="shared" si="7"/>
        <v>0.85853658536585375</v>
      </c>
      <c r="E35" s="360">
        <f t="shared" si="8"/>
        <v>0.59788852164197237</v>
      </c>
      <c r="F35" s="382">
        <f t="shared" si="9"/>
        <v>0.87349351258012908</v>
      </c>
      <c r="G35" s="382">
        <f t="shared" si="10"/>
        <v>0.90909090909090917</v>
      </c>
      <c r="H35" s="382">
        <f t="shared" si="10"/>
        <v>0.32547169811320759</v>
      </c>
      <c r="I35" s="360">
        <f t="shared" si="15"/>
        <v>0.80702107064283435</v>
      </c>
      <c r="J35" s="360">
        <f t="shared" si="11"/>
        <v>0.19409822473160004</v>
      </c>
      <c r="K35" s="360">
        <f t="shared" si="12"/>
        <v>0.31222888446038882</v>
      </c>
      <c r="L35" s="360">
        <f t="shared" si="13"/>
        <v>1</v>
      </c>
      <c r="M35" s="360">
        <f t="shared" si="13"/>
        <v>8.4779421584363968E-2</v>
      </c>
      <c r="N35" s="420">
        <f t="shared" si="13"/>
        <v>1.1078810235762907E-2</v>
      </c>
      <c r="O35" s="181"/>
      <c r="P35" s="27"/>
      <c r="Q35" s="423" t="s">
        <v>22</v>
      </c>
      <c r="R35" s="360">
        <f t="shared" si="14"/>
        <v>0.41716146109918356</v>
      </c>
      <c r="S35" s="181"/>
      <c r="T35" s="27"/>
      <c r="U35" s="186"/>
      <c r="V35" s="67"/>
      <c r="W35" s="186"/>
      <c r="X35" s="28"/>
      <c r="Y35" s="425"/>
      <c r="Z35" s="426"/>
      <c r="AA35" s="427"/>
      <c r="AB35" s="428"/>
      <c r="AC35" s="27"/>
      <c r="AD35" s="338" t="s">
        <v>22</v>
      </c>
    </row>
    <row r="36" spans="1:47" ht="16.5" x14ac:dyDescent="0.45">
      <c r="A36" s="338" t="s">
        <v>34</v>
      </c>
      <c r="B36" s="383">
        <f t="shared" si="6"/>
        <v>0.26199140423795514</v>
      </c>
      <c r="C36" s="383">
        <f t="shared" si="6"/>
        <v>0.63414634146341453</v>
      </c>
      <c r="D36" s="360">
        <f t="shared" si="7"/>
        <v>0.336422391683047</v>
      </c>
      <c r="E36" s="360">
        <f t="shared" si="8"/>
        <v>0.66602170474434574</v>
      </c>
      <c r="F36" s="382">
        <f t="shared" si="9"/>
        <v>0.95444370385559985</v>
      </c>
      <c r="G36" s="382">
        <f t="shared" si="10"/>
        <v>0.9545454545454547</v>
      </c>
      <c r="H36" s="382">
        <f t="shared" si="10"/>
        <v>0.679245283018868</v>
      </c>
      <c r="I36" s="360">
        <f t="shared" si="15"/>
        <v>0.91350000317347169</v>
      </c>
      <c r="J36" s="360">
        <f t="shared" si="11"/>
        <v>0.85844063174681007</v>
      </c>
      <c r="K36" s="360">
        <f t="shared" si="12"/>
        <v>0.60524410890233871</v>
      </c>
      <c r="L36" s="360">
        <f t="shared" si="13"/>
        <v>0.67867478338978049</v>
      </c>
      <c r="M36" s="360">
        <f t="shared" si="13"/>
        <v>0.29436457487219903</v>
      </c>
      <c r="N36" s="420">
        <f t="shared" si="13"/>
        <v>0.18513254602769721</v>
      </c>
      <c r="O36" s="181"/>
      <c r="P36" s="27"/>
      <c r="Q36" s="423" t="s">
        <v>34</v>
      </c>
      <c r="R36" s="360">
        <f t="shared" si="14"/>
        <v>0.60358472040534883</v>
      </c>
      <c r="S36" s="181"/>
      <c r="T36" s="27"/>
      <c r="U36" s="186"/>
      <c r="V36" s="67"/>
      <c r="W36" s="186"/>
      <c r="X36" s="28"/>
      <c r="Y36" s="425"/>
      <c r="Z36" s="426"/>
      <c r="AA36" s="427"/>
      <c r="AB36" s="428"/>
      <c r="AC36" s="27"/>
      <c r="AD36" s="338" t="s">
        <v>34</v>
      </c>
    </row>
    <row r="37" spans="1:47" ht="16.5" x14ac:dyDescent="0.45">
      <c r="A37" s="338" t="s">
        <v>23</v>
      </c>
      <c r="B37" s="383">
        <f t="shared" si="6"/>
        <v>0.10608587690117914</v>
      </c>
      <c r="C37" s="383">
        <f t="shared" si="6"/>
        <v>0.3048780487804878</v>
      </c>
      <c r="D37" s="360">
        <f t="shared" si="7"/>
        <v>0.14584431127704087</v>
      </c>
      <c r="E37" s="360">
        <f t="shared" si="8"/>
        <v>0.44263491629882606</v>
      </c>
      <c r="F37" s="382">
        <f t="shared" si="9"/>
        <v>1</v>
      </c>
      <c r="G37" s="382">
        <f t="shared" si="10"/>
        <v>0.93939393939393934</v>
      </c>
      <c r="H37" s="382">
        <f t="shared" si="10"/>
        <v>0.81132075471698117</v>
      </c>
      <c r="I37" s="360">
        <f t="shared" si="15"/>
        <v>0.9461090227850566</v>
      </c>
      <c r="J37" s="360">
        <f t="shared" si="11"/>
        <v>0.35142176589556273</v>
      </c>
      <c r="K37" s="360">
        <f t="shared" si="12"/>
        <v>0.91483545651284537</v>
      </c>
      <c r="L37" s="360">
        <f t="shared" si="13"/>
        <v>0.94532239296387266</v>
      </c>
      <c r="M37" s="360">
        <f t="shared" si="13"/>
        <v>0.97003176155164816</v>
      </c>
      <c r="N37" s="420">
        <f t="shared" si="13"/>
        <v>0.10854290177375067</v>
      </c>
      <c r="O37" s="181"/>
      <c r="P37" s="27"/>
      <c r="Q37" s="423" t="s">
        <v>23</v>
      </c>
      <c r="R37" s="360">
        <f t="shared" si="14"/>
        <v>0.53889730286227944</v>
      </c>
      <c r="S37" s="181"/>
      <c r="T37" s="27"/>
      <c r="U37" s="186"/>
      <c r="V37" s="67"/>
      <c r="W37" s="186"/>
      <c r="X37" s="28"/>
      <c r="Y37" s="425"/>
      <c r="Z37" s="426"/>
      <c r="AA37" s="427"/>
      <c r="AB37" s="428"/>
      <c r="AC37" s="27"/>
      <c r="AD37" s="338" t="s">
        <v>23</v>
      </c>
    </row>
    <row r="38" spans="1:47" ht="16.5" x14ac:dyDescent="0.45">
      <c r="A38" s="338" t="s">
        <v>31</v>
      </c>
      <c r="B38" s="383">
        <f t="shared" si="6"/>
        <v>0.33593691056090053</v>
      </c>
      <c r="C38" s="383">
        <f t="shared" si="6"/>
        <v>0.51219512195121952</v>
      </c>
      <c r="D38" s="360">
        <f t="shared" si="7"/>
        <v>0.37118855283896429</v>
      </c>
      <c r="E38" s="360">
        <f t="shared" si="8"/>
        <v>0.64374572703831756</v>
      </c>
      <c r="F38" s="382">
        <f t="shared" si="9"/>
        <v>0.80948073251478814</v>
      </c>
      <c r="G38" s="382">
        <f t="shared" si="10"/>
        <v>0.60606060606060608</v>
      </c>
      <c r="H38" s="382">
        <f t="shared" si="10"/>
        <v>0.26415094339622641</v>
      </c>
      <c r="I38" s="360">
        <f t="shared" si="15"/>
        <v>0.64169964628258447</v>
      </c>
      <c r="J38" s="360">
        <f t="shared" si="11"/>
        <v>0.60491481572418171</v>
      </c>
      <c r="K38" s="360">
        <f t="shared" si="12"/>
        <v>0.7790696832969074</v>
      </c>
      <c r="L38" s="360">
        <f t="shared" si="13"/>
        <v>0.8489105229500562</v>
      </c>
      <c r="M38" s="360">
        <f t="shared" si="13"/>
        <v>7.3830747306273398E-2</v>
      </c>
      <c r="N38" s="420">
        <f t="shared" si="13"/>
        <v>0.30935305327817558</v>
      </c>
      <c r="O38" s="181"/>
      <c r="P38" s="27"/>
      <c r="Q38" s="423" t="s">
        <v>31</v>
      </c>
      <c r="R38" s="360">
        <f t="shared" si="14"/>
        <v>0.56225243716615048</v>
      </c>
      <c r="S38" s="181"/>
      <c r="T38" s="27"/>
      <c r="U38" s="186"/>
      <c r="V38" s="184"/>
      <c r="W38" s="186"/>
      <c r="X38" s="28"/>
      <c r="Y38" s="425"/>
      <c r="Z38" s="426"/>
      <c r="AA38" s="427"/>
      <c r="AB38" s="428"/>
      <c r="AC38" s="27"/>
      <c r="AD38" s="338" t="s">
        <v>31</v>
      </c>
    </row>
    <row r="39" spans="1:47" ht="16.5" x14ac:dyDescent="0.45">
      <c r="A39" s="338" t="s">
        <v>32</v>
      </c>
      <c r="B39" s="383">
        <f t="shared" si="6"/>
        <v>0</v>
      </c>
      <c r="C39" s="383">
        <f t="shared" si="6"/>
        <v>1</v>
      </c>
      <c r="D39" s="360">
        <f t="shared" si="7"/>
        <v>0.2</v>
      </c>
      <c r="E39" s="360">
        <f t="shared" si="8"/>
        <v>0.16425750304488326</v>
      </c>
      <c r="F39" s="382">
        <f t="shared" si="9"/>
        <v>0</v>
      </c>
      <c r="G39" s="382">
        <f t="shared" si="10"/>
        <v>0.80303030303030321</v>
      </c>
      <c r="H39" s="382">
        <f t="shared" si="10"/>
        <v>9.9056603773584911E-2</v>
      </c>
      <c r="I39" s="360">
        <f t="shared" si="15"/>
        <v>0.35646813376640762</v>
      </c>
      <c r="J39" s="360">
        <f t="shared" si="11"/>
        <v>5.5087066575419751E-2</v>
      </c>
      <c r="K39" s="360">
        <f t="shared" si="12"/>
        <v>0.67395689434293571</v>
      </c>
      <c r="L39" s="360">
        <f t="shared" si="13"/>
        <v>0.21728197645018155</v>
      </c>
      <c r="M39" s="360">
        <f t="shared" si="13"/>
        <v>1</v>
      </c>
      <c r="N39" s="420">
        <f t="shared" si="13"/>
        <v>8.6216590943246178E-3</v>
      </c>
      <c r="O39" s="181"/>
      <c r="P39" s="27"/>
      <c r="Q39" s="423" t="s">
        <v>32</v>
      </c>
      <c r="R39" s="360">
        <f t="shared" si="14"/>
        <v>0.25267953900654555</v>
      </c>
      <c r="S39" s="181"/>
      <c r="T39" s="27"/>
      <c r="U39" s="186"/>
      <c r="V39" s="184"/>
      <c r="W39" s="186"/>
      <c r="X39" s="28"/>
      <c r="Y39" s="425"/>
      <c r="Z39" s="426"/>
      <c r="AA39" s="427"/>
      <c r="AB39" s="428"/>
      <c r="AC39" s="27"/>
      <c r="AD39" s="338" t="s">
        <v>32</v>
      </c>
    </row>
    <row r="40" spans="1:47" x14ac:dyDescent="0.35">
      <c r="A40" s="352" t="s">
        <v>290</v>
      </c>
      <c r="B40" s="393">
        <v>8</v>
      </c>
      <c r="C40" s="408">
        <v>2</v>
      </c>
      <c r="D40" s="392"/>
      <c r="E40" s="392"/>
      <c r="F40" s="392">
        <v>1</v>
      </c>
      <c r="G40" s="392">
        <v>1</v>
      </c>
      <c r="H40" s="392">
        <v>0.35</v>
      </c>
      <c r="I40" s="392">
        <v>0.5</v>
      </c>
      <c r="J40" s="392"/>
      <c r="K40" s="392">
        <v>0.5</v>
      </c>
      <c r="L40" s="392"/>
      <c r="M40" s="392"/>
      <c r="N40" s="421"/>
      <c r="O40" s="27"/>
      <c r="P40" s="27"/>
      <c r="R40" s="183"/>
      <c r="T40" s="27"/>
      <c r="U40" s="186"/>
      <c r="V40" s="67"/>
      <c r="W40" s="186"/>
      <c r="X40" s="67"/>
      <c r="Y40" s="183"/>
      <c r="Z40" s="183"/>
      <c r="AA40" s="183"/>
      <c r="AB40" s="27"/>
      <c r="AC40" s="27"/>
      <c r="AD40" s="27"/>
    </row>
    <row r="41" spans="1:47" x14ac:dyDescent="0.35">
      <c r="A41" s="352" t="s">
        <v>291</v>
      </c>
      <c r="B41" s="361"/>
      <c r="C41" s="361"/>
      <c r="D41" s="394"/>
      <c r="E41" s="391">
        <v>20</v>
      </c>
      <c r="F41" s="395"/>
      <c r="G41" s="391"/>
      <c r="H41" s="391"/>
      <c r="I41" s="391">
        <v>10</v>
      </c>
      <c r="J41" s="391">
        <v>10</v>
      </c>
      <c r="K41" s="391">
        <v>10</v>
      </c>
      <c r="L41" s="391">
        <v>5</v>
      </c>
      <c r="M41" s="391">
        <v>5</v>
      </c>
      <c r="N41" s="421">
        <v>10</v>
      </c>
      <c r="O41" s="27"/>
      <c r="P41" s="27"/>
      <c r="R41" s="183"/>
      <c r="U41" s="186"/>
      <c r="V41" s="67"/>
      <c r="W41" s="186"/>
      <c r="X41" s="67"/>
      <c r="Y41" s="27"/>
      <c r="Z41" s="27"/>
      <c r="AB41" s="27"/>
    </row>
    <row r="42" spans="1:47" x14ac:dyDescent="0.35">
      <c r="A42" s="352" t="s">
        <v>292</v>
      </c>
      <c r="B42" s="409">
        <f xml:space="preserve"> (B40*100)/10</f>
        <v>80</v>
      </c>
      <c r="C42" s="409">
        <f xml:space="preserve"> (C40*100)/10</f>
        <v>20</v>
      </c>
      <c r="D42" s="396"/>
      <c r="E42" s="396">
        <f xml:space="preserve"> (E41*100)/20</f>
        <v>100</v>
      </c>
      <c r="F42" s="395"/>
      <c r="G42" s="395"/>
      <c r="H42" s="395"/>
      <c r="I42" s="396">
        <f xml:space="preserve"> (I41*I40*100)/20</f>
        <v>25</v>
      </c>
      <c r="J42" s="396">
        <f xml:space="preserve"> (J41*100)/20</f>
        <v>50</v>
      </c>
      <c r="K42" s="396">
        <f>(K41*K40*100)/20</f>
        <v>25</v>
      </c>
      <c r="L42" s="396">
        <f xml:space="preserve"> (L41*100)/20</f>
        <v>25</v>
      </c>
      <c r="M42" s="396">
        <f xml:space="preserve"> (M41*100)/20</f>
        <v>25</v>
      </c>
      <c r="N42" s="422">
        <f xml:space="preserve"> (N41*100)/20</f>
        <v>50</v>
      </c>
      <c r="O42" s="27"/>
      <c r="P42" s="27"/>
      <c r="R42" s="183"/>
      <c r="U42" s="186"/>
      <c r="V42" s="190"/>
      <c r="W42" s="186"/>
      <c r="X42" s="190"/>
      <c r="Y42" s="27"/>
      <c r="Z42" s="27"/>
      <c r="AB42" s="27"/>
    </row>
    <row r="43" spans="1:47" x14ac:dyDescent="0.35">
      <c r="A43" s="34"/>
      <c r="B43" s="34"/>
      <c r="C43" s="27"/>
      <c r="D43" s="27"/>
      <c r="E43" s="27"/>
      <c r="F43" s="27"/>
      <c r="G43" s="27"/>
      <c r="U43" s="186"/>
      <c r="V43" s="190"/>
      <c r="W43" s="186"/>
      <c r="X43" s="190"/>
      <c r="Y43" s="27"/>
      <c r="Z43" s="27"/>
      <c r="AB43" s="27"/>
    </row>
    <row r="44" spans="1:47" x14ac:dyDescent="0.35">
      <c r="A44" s="398" t="s">
        <v>298</v>
      </c>
      <c r="B44" s="183"/>
      <c r="C44" s="184"/>
      <c r="D44" s="184"/>
      <c r="E44" s="67"/>
      <c r="F44" s="184"/>
      <c r="G44" s="67"/>
      <c r="H44" s="67"/>
      <c r="I44" s="247"/>
      <c r="J44" s="247"/>
      <c r="K44" s="184"/>
      <c r="L44" s="184"/>
      <c r="M44" s="67"/>
      <c r="N44" s="67"/>
      <c r="O44" s="248"/>
      <c r="P44" s="248"/>
      <c r="Q44" s="184"/>
      <c r="R44" s="183"/>
      <c r="S44" s="183"/>
      <c r="T44" s="183"/>
      <c r="U44" s="183"/>
      <c r="AU44" s="19"/>
    </row>
    <row r="45" spans="1:47" ht="15" customHeight="1" x14ac:dyDescent="0.35">
      <c r="A45" s="34" t="s">
        <v>236</v>
      </c>
      <c r="B45" s="34" t="s">
        <v>270</v>
      </c>
      <c r="C45" s="384" t="s">
        <v>293</v>
      </c>
      <c r="D45" s="384" t="s">
        <v>294</v>
      </c>
      <c r="E45" s="390" t="s">
        <v>295</v>
      </c>
      <c r="F45" s="389" t="s">
        <v>188</v>
      </c>
      <c r="G45" s="385" t="s">
        <v>187</v>
      </c>
      <c r="H45" s="385" t="s">
        <v>189</v>
      </c>
      <c r="I45" s="386" t="s">
        <v>197</v>
      </c>
      <c r="J45" s="387" t="s">
        <v>281</v>
      </c>
      <c r="K45" s="388" t="s">
        <v>196</v>
      </c>
      <c r="L45" s="388" t="s">
        <v>191</v>
      </c>
      <c r="M45" s="245" t="s">
        <v>374</v>
      </c>
      <c r="N45" s="389" t="s">
        <v>193</v>
      </c>
      <c r="O45" s="246" t="s">
        <v>376</v>
      </c>
      <c r="P45" s="389" t="s">
        <v>194</v>
      </c>
      <c r="Q45" s="390" t="s">
        <v>195</v>
      </c>
      <c r="R45" s="240" t="s">
        <v>232</v>
      </c>
      <c r="S45" t="s">
        <v>389</v>
      </c>
      <c r="V45" s="254"/>
      <c r="X45" s="23"/>
      <c r="Y45" s="23"/>
      <c r="Z45" s="19"/>
      <c r="AB45" s="33"/>
      <c r="AC45" s="23"/>
    </row>
    <row r="46" spans="1:47" ht="26.5" x14ac:dyDescent="0.35">
      <c r="A46" s="249" t="s">
        <v>239</v>
      </c>
      <c r="B46" s="57" t="s">
        <v>33</v>
      </c>
      <c r="C46" s="180">
        <f t="shared" ref="C46:L46" si="16">B26</f>
        <v>0.12057344646905344</v>
      </c>
      <c r="D46" s="180">
        <f t="shared" si="16"/>
        <v>0.14634146341463417</v>
      </c>
      <c r="E46" s="180">
        <f t="shared" si="16"/>
        <v>0.1257270498581696</v>
      </c>
      <c r="F46" s="180">
        <f t="shared" si="16"/>
        <v>0.37218509488703422</v>
      </c>
      <c r="G46" s="180">
        <f t="shared" si="16"/>
        <v>0.8041919199441786</v>
      </c>
      <c r="H46" s="180">
        <f t="shared" si="16"/>
        <v>9.0909090909090856E-2</v>
      </c>
      <c r="I46" s="180">
        <f t="shared" si="16"/>
        <v>0</v>
      </c>
      <c r="J46" s="180">
        <f t="shared" si="16"/>
        <v>0.38089404717160402</v>
      </c>
      <c r="K46" s="180">
        <f t="shared" si="16"/>
        <v>1</v>
      </c>
      <c r="L46" s="180">
        <f t="shared" si="16"/>
        <v>0.95173142574467229</v>
      </c>
      <c r="M46" s="180"/>
      <c r="N46" s="180">
        <f t="shared" ref="N46:N59" si="17">L26</f>
        <v>0.43954065789790459</v>
      </c>
      <c r="O46" s="180"/>
      <c r="P46" s="180">
        <f t="shared" ref="P46:P59" si="18">M26</f>
        <v>7.1726922396515985E-2</v>
      </c>
      <c r="Q46" s="180">
        <f t="shared" ref="Q46:Q59" si="19">N26</f>
        <v>1</v>
      </c>
      <c r="R46" s="180">
        <f t="shared" ref="R46:R59" si="20">R26</f>
        <v>0.6110527860632361</v>
      </c>
      <c r="S46" s="238">
        <f>Table1[[#This Row],[МСШТБ]]/Table1[[#This Row],[Факторы риска]]</f>
        <v>0.20575480993741591</v>
      </c>
      <c r="V46" s="258"/>
      <c r="X46" s="23"/>
      <c r="Y46" s="23"/>
      <c r="Z46" s="19"/>
    </row>
    <row r="47" spans="1:47" ht="26.5" x14ac:dyDescent="0.35">
      <c r="A47" s="249" t="s">
        <v>240</v>
      </c>
      <c r="B47" s="57" t="s">
        <v>24</v>
      </c>
      <c r="C47" s="180">
        <f t="shared" ref="C47:L47" si="21">B27</f>
        <v>9.9520500286426714E-2</v>
      </c>
      <c r="D47" s="180">
        <f t="shared" si="21"/>
        <v>0.87804878048780488</v>
      </c>
      <c r="E47" s="180">
        <f t="shared" si="21"/>
        <v>0.25522615632670237</v>
      </c>
      <c r="F47" s="180">
        <f t="shared" si="21"/>
        <v>0.82311716487931441</v>
      </c>
      <c r="G47" s="180">
        <f t="shared" si="21"/>
        <v>0.93194830817690966</v>
      </c>
      <c r="H47" s="180">
        <f t="shared" si="21"/>
        <v>0.25757575757575762</v>
      </c>
      <c r="I47" s="180">
        <f t="shared" si="21"/>
        <v>0.73113207547169823</v>
      </c>
      <c r="J47" s="180">
        <f t="shared" si="21"/>
        <v>0.61507246475223898</v>
      </c>
      <c r="K47" s="180">
        <f t="shared" si="21"/>
        <v>0.60324017301077848</v>
      </c>
      <c r="L47" s="180">
        <f t="shared" si="21"/>
        <v>0.66719419120603751</v>
      </c>
      <c r="M47" s="180"/>
      <c r="N47" s="180">
        <f t="shared" si="17"/>
        <v>0.57304375944012331</v>
      </c>
      <c r="O47" s="180"/>
      <c r="P47" s="180">
        <f t="shared" si="18"/>
        <v>9.2298358072592165E-2</v>
      </c>
      <c r="Q47" s="180">
        <f t="shared" si="19"/>
        <v>0.5261476248723983</v>
      </c>
      <c r="R47" s="180">
        <f t="shared" si="20"/>
        <v>0.62490441906288363</v>
      </c>
      <c r="S47" s="238">
        <f>Table1[[#This Row],[МСШТБ]]/Table1[[#This Row],[Факторы риска]]</f>
        <v>0.40842431024802717</v>
      </c>
      <c r="V47" s="259"/>
      <c r="X47" s="23"/>
      <c r="Y47" s="23"/>
      <c r="Z47" s="19"/>
    </row>
    <row r="48" spans="1:47" ht="26.5" x14ac:dyDescent="0.35">
      <c r="A48" s="249" t="s">
        <v>241</v>
      </c>
      <c r="B48" s="57" t="s">
        <v>25</v>
      </c>
      <c r="C48" s="180">
        <f t="shared" ref="C48:L48" si="22">B28</f>
        <v>0.27458375133801116</v>
      </c>
      <c r="D48" s="180">
        <f t="shared" si="22"/>
        <v>0.21951219512195122</v>
      </c>
      <c r="E48" s="180">
        <f t="shared" si="22"/>
        <v>0.26356944009479916</v>
      </c>
      <c r="F48" s="180">
        <f t="shared" si="22"/>
        <v>0.46178486821178411</v>
      </c>
      <c r="G48" s="180">
        <f t="shared" si="22"/>
        <v>0.88875033270309411</v>
      </c>
      <c r="H48" s="180">
        <f t="shared" si="22"/>
        <v>1</v>
      </c>
      <c r="I48" s="180">
        <f t="shared" si="22"/>
        <v>0.61792452830188682</v>
      </c>
      <c r="J48" s="180">
        <f t="shared" si="22"/>
        <v>0.89575485855691672</v>
      </c>
      <c r="K48" s="180">
        <f t="shared" si="22"/>
        <v>0.19759055638722117</v>
      </c>
      <c r="L48" s="180">
        <f t="shared" si="22"/>
        <v>1</v>
      </c>
      <c r="M48" s="180"/>
      <c r="N48" s="180">
        <f t="shared" si="17"/>
        <v>0.81013793709995052</v>
      </c>
      <c r="O48" s="180"/>
      <c r="P48" s="180">
        <f t="shared" si="18"/>
        <v>0.1803274718084657</v>
      </c>
      <c r="Q48" s="180">
        <f t="shared" si="19"/>
        <v>4.7702691519067725E-2</v>
      </c>
      <c r="R48" s="180">
        <f t="shared" si="20"/>
        <v>0.43532885301042057</v>
      </c>
      <c r="S48" s="238">
        <f>Table1[[#This Row],[МСШТБ]]/Table1[[#This Row],[Факторы риска]]</f>
        <v>0.60544904908586439</v>
      </c>
      <c r="V48" s="258"/>
      <c r="X48" s="23"/>
      <c r="Y48" s="23"/>
      <c r="Z48" s="19"/>
    </row>
    <row r="49" spans="1:42" ht="26.5" x14ac:dyDescent="0.35">
      <c r="A49" s="249" t="s">
        <v>249</v>
      </c>
      <c r="B49" s="57" t="s">
        <v>21</v>
      </c>
      <c r="C49" s="180">
        <f t="shared" ref="C49:L49" si="23">B29</f>
        <v>0.10796378443467827</v>
      </c>
      <c r="D49" s="180">
        <f t="shared" si="23"/>
        <v>0.91463414634146345</v>
      </c>
      <c r="E49" s="180">
        <f t="shared" si="23"/>
        <v>0.2692978568160353</v>
      </c>
      <c r="F49" s="180">
        <f t="shared" si="23"/>
        <v>0.14008520235416302</v>
      </c>
      <c r="G49" s="180">
        <f t="shared" si="23"/>
        <v>0.92562577799763923</v>
      </c>
      <c r="H49" s="180">
        <f t="shared" si="23"/>
        <v>0.53030303030303028</v>
      </c>
      <c r="I49" s="180">
        <f t="shared" si="23"/>
        <v>0.679245283018868</v>
      </c>
      <c r="J49" s="180">
        <f t="shared" si="23"/>
        <v>0.72070836483288225</v>
      </c>
      <c r="K49" s="180">
        <f t="shared" si="23"/>
        <v>0.36276223414916214</v>
      </c>
      <c r="L49" s="180">
        <f t="shared" si="23"/>
        <v>0.64527398051136187</v>
      </c>
      <c r="M49" s="180"/>
      <c r="N49" s="180">
        <f t="shared" si="17"/>
        <v>0.76331729763946488</v>
      </c>
      <c r="O49" s="180"/>
      <c r="P49" s="180">
        <f t="shared" si="18"/>
        <v>0.30074201669291328</v>
      </c>
      <c r="Q49" s="180">
        <f t="shared" si="19"/>
        <v>0.43067276196772564</v>
      </c>
      <c r="R49" s="180">
        <f t="shared" si="20"/>
        <v>0.3814377051105875</v>
      </c>
      <c r="S49" s="238">
        <f>Table1[[#This Row],[МСШТБ]]/Table1[[#This Row],[Факторы риска]]</f>
        <v>0.70600743767048335</v>
      </c>
      <c r="V49" s="259"/>
      <c r="X49" s="23"/>
      <c r="Y49" s="23"/>
      <c r="Z49" s="19"/>
    </row>
    <row r="50" spans="1:42" ht="26.5" x14ac:dyDescent="0.35">
      <c r="A50" s="249" t="s">
        <v>242</v>
      </c>
      <c r="B50" s="57" t="s">
        <v>26</v>
      </c>
      <c r="C50" s="180">
        <f t="shared" ref="C50:L50" si="24">B30</f>
        <v>9.9902352427504587E-2</v>
      </c>
      <c r="D50" s="180">
        <f t="shared" si="24"/>
        <v>4.8780487804878044E-2</v>
      </c>
      <c r="E50" s="180">
        <f t="shared" si="24"/>
        <v>8.967797950297926E-2</v>
      </c>
      <c r="F50" s="180">
        <f t="shared" si="24"/>
        <v>0</v>
      </c>
      <c r="G50" s="180">
        <f t="shared" si="24"/>
        <v>0.80374431595310525</v>
      </c>
      <c r="H50" s="180">
        <f t="shared" si="24"/>
        <v>0</v>
      </c>
      <c r="I50" s="180">
        <f t="shared" si="24"/>
        <v>0.46698113207547171</v>
      </c>
      <c r="J50" s="180">
        <f t="shared" si="24"/>
        <v>0.41156923922532779</v>
      </c>
      <c r="K50" s="180">
        <f t="shared" si="24"/>
        <v>0</v>
      </c>
      <c r="L50" s="180">
        <f t="shared" si="24"/>
        <v>0.61546322652915408</v>
      </c>
      <c r="M50" s="180"/>
      <c r="N50" s="180">
        <f t="shared" si="17"/>
        <v>0.9502165516440938</v>
      </c>
      <c r="O50" s="180"/>
      <c r="P50" s="180">
        <f t="shared" si="18"/>
        <v>0.148935329382548</v>
      </c>
      <c r="Q50" s="180">
        <f t="shared" si="19"/>
        <v>0.3145764463308216</v>
      </c>
      <c r="R50" s="180">
        <f t="shared" si="20"/>
        <v>0.22961143662023056</v>
      </c>
      <c r="S50" s="238">
        <f>Table1[[#This Row],[МСШТБ]]/Table1[[#This Row],[Факторы риска]]</f>
        <v>0.39056408000836457</v>
      </c>
      <c r="V50" s="258"/>
      <c r="X50" s="23"/>
      <c r="Y50" s="23"/>
      <c r="Z50" s="19"/>
      <c r="AK50" s="186"/>
      <c r="AL50" s="186"/>
      <c r="AM50" s="186"/>
      <c r="AN50" s="186"/>
    </row>
    <row r="51" spans="1:42" ht="26.5" x14ac:dyDescent="0.35">
      <c r="A51" s="249" t="s">
        <v>243</v>
      </c>
      <c r="B51" s="57" t="s">
        <v>27</v>
      </c>
      <c r="C51" s="180">
        <f t="shared" ref="C51:L51" si="25">B31</f>
        <v>0.39820973469788101</v>
      </c>
      <c r="D51" s="180">
        <f t="shared" si="25"/>
        <v>0.68292682926829262</v>
      </c>
      <c r="E51" s="180">
        <f t="shared" si="25"/>
        <v>0.45515315361196329</v>
      </c>
      <c r="F51" s="180">
        <f t="shared" si="25"/>
        <v>1</v>
      </c>
      <c r="G51" s="180">
        <f t="shared" si="25"/>
        <v>0.91248161061858379</v>
      </c>
      <c r="H51" s="180">
        <f t="shared" si="25"/>
        <v>0.37878787878787878</v>
      </c>
      <c r="I51" s="180">
        <f t="shared" si="25"/>
        <v>0.17924528301886794</v>
      </c>
      <c r="J51" s="180">
        <f t="shared" si="25"/>
        <v>0.57617248445236868</v>
      </c>
      <c r="K51" s="180">
        <f t="shared" si="25"/>
        <v>0.53708489611131338</v>
      </c>
      <c r="L51" s="180">
        <f t="shared" si="25"/>
        <v>0.66905698701886185</v>
      </c>
      <c r="M51" s="180"/>
      <c r="N51" s="180">
        <f t="shared" si="17"/>
        <v>0.63396935037904012</v>
      </c>
      <c r="O51" s="180"/>
      <c r="P51" s="180">
        <f t="shared" si="18"/>
        <v>0</v>
      </c>
      <c r="Q51" s="180">
        <f t="shared" si="19"/>
        <v>7.3419368933478335E-2</v>
      </c>
      <c r="R51" s="180">
        <f t="shared" si="20"/>
        <v>0.59168394599498797</v>
      </c>
      <c r="S51" s="238">
        <f>Table1[[#This Row],[МСШТБ]]/Table1[[#This Row],[Факторы риска]]</f>
        <v>0.76925047010793635</v>
      </c>
      <c r="V51" s="259"/>
      <c r="X51" s="23"/>
      <c r="Y51" s="23"/>
      <c r="Z51" s="19"/>
    </row>
    <row r="52" spans="1:42" ht="26.5" x14ac:dyDescent="0.35">
      <c r="A52" s="249" t="s">
        <v>244</v>
      </c>
      <c r="B52" s="57" t="s">
        <v>28</v>
      </c>
      <c r="C52" s="180">
        <f t="shared" ref="C52:L52" si="26">B32</f>
        <v>0.26364575820815495</v>
      </c>
      <c r="D52" s="180">
        <f t="shared" si="26"/>
        <v>0.51219512195121952</v>
      </c>
      <c r="E52" s="180">
        <f t="shared" si="26"/>
        <v>0.31335563095676783</v>
      </c>
      <c r="F52" s="180">
        <f t="shared" si="26"/>
        <v>0.27604767541874664</v>
      </c>
      <c r="G52" s="180">
        <f t="shared" si="26"/>
        <v>0.91873370507193974</v>
      </c>
      <c r="H52" s="180">
        <f t="shared" si="26"/>
        <v>0.8787878787878789</v>
      </c>
      <c r="I52" s="180">
        <f t="shared" si="26"/>
        <v>1</v>
      </c>
      <c r="J52" s="180">
        <f t="shared" si="26"/>
        <v>0.91383897185524188</v>
      </c>
      <c r="K52" s="180">
        <f t="shared" si="26"/>
        <v>0.27868586145380714</v>
      </c>
      <c r="L52" s="180">
        <f t="shared" si="26"/>
        <v>0</v>
      </c>
      <c r="M52" s="180"/>
      <c r="N52" s="180">
        <f t="shared" si="17"/>
        <v>0.86135576844480866</v>
      </c>
      <c r="O52" s="180"/>
      <c r="P52" s="180">
        <f t="shared" si="18"/>
        <v>0.4375575726951253</v>
      </c>
      <c r="Q52" s="180">
        <f t="shared" si="19"/>
        <v>1.3673783831852289E-2</v>
      </c>
      <c r="R52" s="180">
        <f t="shared" si="20"/>
        <v>0.32513852543679006</v>
      </c>
      <c r="S52" s="238">
        <f>Table1[[#This Row],[МСШТБ]]/Table1[[#This Row],[Факторы риска]]</f>
        <v>0.96376038654849305</v>
      </c>
      <c r="V52" s="258"/>
      <c r="X52" s="23"/>
      <c r="Y52" s="23"/>
      <c r="Z52" s="19"/>
    </row>
    <row r="53" spans="1:42" ht="26.5" x14ac:dyDescent="0.35">
      <c r="A53" s="249" t="s">
        <v>245</v>
      </c>
      <c r="B53" s="57" t="s">
        <v>29</v>
      </c>
      <c r="C53" s="180">
        <f t="shared" ref="C53:L53" si="27">B33</f>
        <v>0.21722408550532391</v>
      </c>
      <c r="D53" s="180">
        <f t="shared" si="27"/>
        <v>0.43902439024390244</v>
      </c>
      <c r="E53" s="180">
        <f t="shared" si="27"/>
        <v>0.26158414645303962</v>
      </c>
      <c r="F53" s="180">
        <f t="shared" si="27"/>
        <v>0.63908079021102315</v>
      </c>
      <c r="G53" s="180">
        <f t="shared" si="27"/>
        <v>0.98047341874176197</v>
      </c>
      <c r="H53" s="180">
        <f t="shared" si="27"/>
        <v>0.90909090909090917</v>
      </c>
      <c r="I53" s="180">
        <f t="shared" si="27"/>
        <v>0.83018867924528295</v>
      </c>
      <c r="J53" s="180">
        <f t="shared" si="27"/>
        <v>0.92771504917809378</v>
      </c>
      <c r="K53" s="180">
        <f t="shared" si="27"/>
        <v>0.37801300865111731</v>
      </c>
      <c r="L53" s="180">
        <f t="shared" si="27"/>
        <v>0.58818327546915594</v>
      </c>
      <c r="M53" s="180"/>
      <c r="N53" s="180">
        <f t="shared" si="17"/>
        <v>0.46009523370811167</v>
      </c>
      <c r="O53" s="180"/>
      <c r="P53" s="180">
        <f t="shared" si="18"/>
        <v>1.3224874249506894E-2</v>
      </c>
      <c r="Q53" s="180">
        <f t="shared" si="19"/>
        <v>0.13713756063331281</v>
      </c>
      <c r="R53" s="180">
        <f t="shared" si="20"/>
        <v>0.46465356100148514</v>
      </c>
      <c r="S53" s="238">
        <f>Table1[[#This Row],[МСШТБ]]/Table1[[#This Row],[Факторы риска]]</f>
        <v>0.56296597811332294</v>
      </c>
      <c r="V53" s="259"/>
      <c r="X53" s="23"/>
      <c r="Y53" s="23"/>
      <c r="Z53" s="19"/>
    </row>
    <row r="54" spans="1:42" ht="26.5" x14ac:dyDescent="0.35">
      <c r="A54" s="249" t="s">
        <v>250</v>
      </c>
      <c r="B54" s="57" t="s">
        <v>30</v>
      </c>
      <c r="C54" s="180">
        <f t="shared" ref="C54:L54" si="28">B34</f>
        <v>0.23503184399709701</v>
      </c>
      <c r="D54" s="180">
        <f t="shared" si="28"/>
        <v>0</v>
      </c>
      <c r="E54" s="180">
        <f t="shared" si="28"/>
        <v>0.18802547519767759</v>
      </c>
      <c r="F54" s="180">
        <f t="shared" si="28"/>
        <v>0.48324892020904214</v>
      </c>
      <c r="G54" s="180">
        <f t="shared" si="28"/>
        <v>0.88188100186953722</v>
      </c>
      <c r="H54" s="180">
        <f t="shared" si="28"/>
        <v>0.90909090909090917</v>
      </c>
      <c r="I54" s="180">
        <f t="shared" si="28"/>
        <v>0.48113207547169817</v>
      </c>
      <c r="J54" s="180">
        <f t="shared" si="28"/>
        <v>0.83377367547895354</v>
      </c>
      <c r="K54" s="180">
        <f t="shared" si="28"/>
        <v>0.44616087317920089</v>
      </c>
      <c r="L54" s="180">
        <f t="shared" si="28"/>
        <v>0.27265610207229379</v>
      </c>
      <c r="M54" s="180"/>
      <c r="N54" s="180">
        <f t="shared" si="17"/>
        <v>0</v>
      </c>
      <c r="O54" s="180"/>
      <c r="P54" s="180">
        <f t="shared" si="18"/>
        <v>0.55043097960645815</v>
      </c>
      <c r="Q54" s="180">
        <f t="shared" si="19"/>
        <v>0</v>
      </c>
      <c r="R54" s="180">
        <f t="shared" si="20"/>
        <v>0.37351484869602297</v>
      </c>
      <c r="S54" s="238">
        <f>Table1[[#This Row],[МСШТБ]]/Table1[[#This Row],[Факторы риска]]</f>
        <v>0.50339491416229631</v>
      </c>
      <c r="V54" s="258"/>
      <c r="X54" s="23"/>
      <c r="Y54" s="23"/>
      <c r="Z54" s="19"/>
    </row>
    <row r="55" spans="1:42" ht="26.5" x14ac:dyDescent="0.35">
      <c r="A55" s="249" t="s">
        <v>251</v>
      </c>
      <c r="B55" s="57" t="s">
        <v>22</v>
      </c>
      <c r="C55" s="180">
        <f t="shared" ref="C55:L55" si="29">B35</f>
        <v>1</v>
      </c>
      <c r="D55" s="180">
        <f t="shared" si="29"/>
        <v>0.29268292682926828</v>
      </c>
      <c r="E55" s="180">
        <f t="shared" si="29"/>
        <v>0.85853658536585375</v>
      </c>
      <c r="F55" s="180">
        <f t="shared" si="29"/>
        <v>0.59788852164197237</v>
      </c>
      <c r="G55" s="180">
        <f t="shared" si="29"/>
        <v>0.87349351258012908</v>
      </c>
      <c r="H55" s="180">
        <f t="shared" si="29"/>
        <v>0.90909090909090917</v>
      </c>
      <c r="I55" s="180">
        <f t="shared" si="29"/>
        <v>0.32547169811320759</v>
      </c>
      <c r="J55" s="180">
        <f t="shared" si="29"/>
        <v>0.80702107064283435</v>
      </c>
      <c r="K55" s="180">
        <f t="shared" si="29"/>
        <v>0.19409822473160004</v>
      </c>
      <c r="L55" s="180">
        <f t="shared" si="29"/>
        <v>0.31222888446038882</v>
      </c>
      <c r="M55" s="180"/>
      <c r="N55" s="180">
        <f t="shared" si="17"/>
        <v>1</v>
      </c>
      <c r="O55" s="180"/>
      <c r="P55" s="180">
        <f t="shared" si="18"/>
        <v>8.4779421584363968E-2</v>
      </c>
      <c r="Q55" s="180">
        <f t="shared" si="19"/>
        <v>1.1078810235762907E-2</v>
      </c>
      <c r="R55" s="180">
        <f t="shared" si="20"/>
        <v>0.41716146109918356</v>
      </c>
      <c r="S55" s="238">
        <f>Table1[[#This Row],[МСШТБ]]/Table1[[#This Row],[Факторы риска]]</f>
        <v>2.0580438641280185</v>
      </c>
      <c r="V55" s="259"/>
      <c r="X55" s="23"/>
      <c r="Y55" s="23"/>
      <c r="Z55" s="19"/>
    </row>
    <row r="56" spans="1:42" ht="26.5" x14ac:dyDescent="0.35">
      <c r="A56" s="249" t="s">
        <v>246</v>
      </c>
      <c r="B56" s="57" t="s">
        <v>34</v>
      </c>
      <c r="C56" s="180">
        <f t="shared" ref="C56:L56" si="30">B36</f>
        <v>0.26199140423795514</v>
      </c>
      <c r="D56" s="180">
        <f t="shared" si="30"/>
        <v>0.63414634146341453</v>
      </c>
      <c r="E56" s="180">
        <f t="shared" si="30"/>
        <v>0.336422391683047</v>
      </c>
      <c r="F56" s="180">
        <f t="shared" si="30"/>
        <v>0.66602170474434574</v>
      </c>
      <c r="G56" s="180">
        <f t="shared" si="30"/>
        <v>0.95444370385559985</v>
      </c>
      <c r="H56" s="180">
        <f t="shared" si="30"/>
        <v>0.9545454545454547</v>
      </c>
      <c r="I56" s="180">
        <f t="shared" si="30"/>
        <v>0.679245283018868</v>
      </c>
      <c r="J56" s="180">
        <f t="shared" si="30"/>
        <v>0.91350000317347169</v>
      </c>
      <c r="K56" s="180">
        <f t="shared" si="30"/>
        <v>0.85844063174681007</v>
      </c>
      <c r="L56" s="180">
        <f t="shared" si="30"/>
        <v>0.60524410890233871</v>
      </c>
      <c r="M56" s="180"/>
      <c r="N56" s="180">
        <f t="shared" si="17"/>
        <v>0.67867478338978049</v>
      </c>
      <c r="O56" s="180"/>
      <c r="P56" s="180">
        <f t="shared" si="18"/>
        <v>0.29436457487219903</v>
      </c>
      <c r="Q56" s="180">
        <f t="shared" si="19"/>
        <v>0.18513254602769721</v>
      </c>
      <c r="R56" s="180">
        <f t="shared" si="20"/>
        <v>0.60358472040534883</v>
      </c>
      <c r="S56" s="238">
        <f>Table1[[#This Row],[МСШТБ]]/Table1[[#This Row],[Факторы риска]]</f>
        <v>0.55737393659852108</v>
      </c>
      <c r="V56" s="258"/>
      <c r="X56" s="23"/>
      <c r="Y56" s="23"/>
      <c r="Z56" s="19"/>
    </row>
    <row r="57" spans="1:42" ht="26.5" x14ac:dyDescent="0.35">
      <c r="A57" s="249" t="s">
        <v>252</v>
      </c>
      <c r="B57" s="57" t="s">
        <v>23</v>
      </c>
      <c r="C57" s="180">
        <f t="shared" ref="C57:L57" si="31">B37</f>
        <v>0.10608587690117914</v>
      </c>
      <c r="D57" s="180">
        <f t="shared" si="31"/>
        <v>0.3048780487804878</v>
      </c>
      <c r="E57" s="180">
        <f t="shared" si="31"/>
        <v>0.14584431127704087</v>
      </c>
      <c r="F57" s="180">
        <f t="shared" si="31"/>
        <v>0.44263491629882606</v>
      </c>
      <c r="G57" s="180">
        <f t="shared" si="31"/>
        <v>1</v>
      </c>
      <c r="H57" s="180">
        <f t="shared" si="31"/>
        <v>0.93939393939393934</v>
      </c>
      <c r="I57" s="180">
        <f t="shared" si="31"/>
        <v>0.81132075471698117</v>
      </c>
      <c r="J57" s="180">
        <f t="shared" si="31"/>
        <v>0.9461090227850566</v>
      </c>
      <c r="K57" s="180">
        <f t="shared" si="31"/>
        <v>0.35142176589556273</v>
      </c>
      <c r="L57" s="180">
        <f t="shared" si="31"/>
        <v>0.91483545651284537</v>
      </c>
      <c r="M57" s="180"/>
      <c r="N57" s="180">
        <f t="shared" si="17"/>
        <v>0.94532239296387266</v>
      </c>
      <c r="O57" s="180"/>
      <c r="P57" s="180">
        <f t="shared" si="18"/>
        <v>0.97003176155164816</v>
      </c>
      <c r="Q57" s="180">
        <f t="shared" si="19"/>
        <v>0.10854290177375067</v>
      </c>
      <c r="R57" s="180">
        <f t="shared" si="20"/>
        <v>0.53889730286227944</v>
      </c>
      <c r="S57" s="238">
        <f>Table1[[#This Row],[МСШТБ]]/Table1[[#This Row],[Факторы риска]]</f>
        <v>0.27063470257210182</v>
      </c>
      <c r="V57" s="259"/>
      <c r="X57" s="23"/>
      <c r="Y57" s="23"/>
      <c r="Z57" s="19"/>
      <c r="AF57" s="27"/>
    </row>
    <row r="58" spans="1:42" ht="26.5" x14ac:dyDescent="0.35">
      <c r="A58" s="249" t="s">
        <v>247</v>
      </c>
      <c r="B58" s="57" t="s">
        <v>31</v>
      </c>
      <c r="C58" s="180">
        <f t="shared" ref="C58:L58" si="32">B38</f>
        <v>0.33593691056090053</v>
      </c>
      <c r="D58" s="180">
        <f t="shared" si="32"/>
        <v>0.51219512195121952</v>
      </c>
      <c r="E58" s="180">
        <f t="shared" si="32"/>
        <v>0.37118855283896429</v>
      </c>
      <c r="F58" s="180">
        <f t="shared" si="32"/>
        <v>0.64374572703831756</v>
      </c>
      <c r="G58" s="180">
        <f t="shared" si="32"/>
        <v>0.80948073251478814</v>
      </c>
      <c r="H58" s="180">
        <f t="shared" si="32"/>
        <v>0.60606060606060608</v>
      </c>
      <c r="I58" s="180">
        <f t="shared" si="32"/>
        <v>0.26415094339622641</v>
      </c>
      <c r="J58" s="180">
        <f t="shared" si="32"/>
        <v>0.64169964628258447</v>
      </c>
      <c r="K58" s="180">
        <f t="shared" si="32"/>
        <v>0.60491481572418171</v>
      </c>
      <c r="L58" s="180">
        <f t="shared" si="32"/>
        <v>0.7790696832969074</v>
      </c>
      <c r="M58" s="180"/>
      <c r="N58" s="180">
        <f t="shared" si="17"/>
        <v>0.8489105229500562</v>
      </c>
      <c r="O58" s="180"/>
      <c r="P58" s="180">
        <f t="shared" si="18"/>
        <v>7.3830747306273398E-2</v>
      </c>
      <c r="Q58" s="180">
        <f t="shared" si="19"/>
        <v>0.30935305327817558</v>
      </c>
      <c r="R58" s="180">
        <f t="shared" si="20"/>
        <v>0.56225243716615048</v>
      </c>
      <c r="S58" s="238">
        <f>Table1[[#This Row],[МСШТБ]]/Table1[[#This Row],[Факторы риска]]</f>
        <v>0.66018131412612246</v>
      </c>
      <c r="V58" s="258"/>
      <c r="X58" s="23"/>
      <c r="Y58" s="23"/>
      <c r="Z58" s="19"/>
      <c r="AF58" s="27"/>
      <c r="AG58" s="27"/>
    </row>
    <row r="59" spans="1:42" ht="26.5" x14ac:dyDescent="0.35">
      <c r="A59" s="250" t="s">
        <v>248</v>
      </c>
      <c r="B59" s="57" t="s">
        <v>32</v>
      </c>
      <c r="C59" s="180">
        <f t="shared" ref="C59:L59" si="33">B39</f>
        <v>0</v>
      </c>
      <c r="D59" s="180">
        <f t="shared" si="33"/>
        <v>1</v>
      </c>
      <c r="E59" s="180">
        <f t="shared" si="33"/>
        <v>0.2</v>
      </c>
      <c r="F59" s="180">
        <f t="shared" si="33"/>
        <v>0.16425750304488326</v>
      </c>
      <c r="G59" s="180">
        <f t="shared" si="33"/>
        <v>0</v>
      </c>
      <c r="H59" s="180">
        <f t="shared" si="33"/>
        <v>0.80303030303030321</v>
      </c>
      <c r="I59" s="180">
        <f t="shared" si="33"/>
        <v>9.9056603773584911E-2</v>
      </c>
      <c r="J59" s="180">
        <f t="shared" si="33"/>
        <v>0.35646813376640762</v>
      </c>
      <c r="K59" s="180">
        <f t="shared" si="33"/>
        <v>5.5087066575419751E-2</v>
      </c>
      <c r="L59" s="180">
        <f t="shared" si="33"/>
        <v>0.67395689434293571</v>
      </c>
      <c r="M59" s="180"/>
      <c r="N59" s="180">
        <f t="shared" si="17"/>
        <v>0.21728197645018155</v>
      </c>
      <c r="O59" s="180"/>
      <c r="P59" s="180">
        <f t="shared" si="18"/>
        <v>1</v>
      </c>
      <c r="Q59" s="180">
        <f t="shared" si="19"/>
        <v>8.6216590943246178E-3</v>
      </c>
      <c r="R59" s="180">
        <f t="shared" si="20"/>
        <v>0.25267953900654555</v>
      </c>
      <c r="S59" s="238">
        <f>Table1[[#This Row],[МСШТБ]]/Table1[[#This Row],[Факторы риска]]</f>
        <v>0.79151640368798959</v>
      </c>
      <c r="V59" s="259"/>
      <c r="AF59" s="27"/>
    </row>
    <row r="60" spans="1:42" x14ac:dyDescent="0.35">
      <c r="A60" s="63"/>
      <c r="B60" s="63"/>
      <c r="C60" s="244"/>
      <c r="D60" s="244"/>
      <c r="E60" s="244"/>
      <c r="F60" s="244"/>
      <c r="G60" s="33"/>
      <c r="H60" s="33"/>
      <c r="I60" s="33"/>
      <c r="J60" s="33"/>
      <c r="K60" s="33"/>
      <c r="L60" s="33"/>
      <c r="M60" s="33"/>
      <c r="N60" s="33"/>
      <c r="O60" s="33"/>
      <c r="P60" s="33"/>
      <c r="Q60" s="237"/>
      <c r="R60" s="237"/>
      <c r="V60" s="254"/>
      <c r="AE60" s="27"/>
      <c r="AF60" s="27"/>
      <c r="AG60" s="27"/>
      <c r="AH60" s="27"/>
      <c r="AI60" s="27"/>
      <c r="AJ60" s="27"/>
      <c r="AK60" s="27"/>
      <c r="AL60" s="27"/>
      <c r="AM60" s="27"/>
      <c r="AN60" s="27"/>
      <c r="AO60" s="27"/>
      <c r="AP60" s="27"/>
    </row>
    <row r="61" spans="1:42" x14ac:dyDescent="0.35">
      <c r="A61" s="34"/>
      <c r="B61" s="34"/>
      <c r="C61" s="239"/>
      <c r="D61" s="239"/>
      <c r="E61" s="416"/>
      <c r="F61" s="239"/>
      <c r="G61" s="68"/>
      <c r="H61" s="68"/>
      <c r="I61" s="68"/>
      <c r="J61" s="68"/>
      <c r="K61" s="68"/>
      <c r="L61" s="68"/>
      <c r="M61" s="68"/>
      <c r="N61" s="68"/>
      <c r="O61" s="68"/>
      <c r="P61" s="68"/>
      <c r="Q61" s="68"/>
      <c r="S61" s="23">
        <f>AVERAGE(Table1[РИСК/МСШБ])</f>
        <v>0.67523726121392547</v>
      </c>
      <c r="T61" t="s">
        <v>254</v>
      </c>
      <c r="V61" s="254"/>
      <c r="AE61" s="27"/>
      <c r="AP61" s="192"/>
    </row>
    <row r="62" spans="1:42" x14ac:dyDescent="0.35">
      <c r="A62" s="34"/>
      <c r="B62" s="34"/>
      <c r="C62" s="239"/>
      <c r="D62" s="239"/>
      <c r="E62" s="416"/>
      <c r="F62" s="239"/>
      <c r="G62" s="68"/>
      <c r="H62" s="68"/>
      <c r="I62" s="68"/>
      <c r="J62" s="68"/>
      <c r="K62" s="68"/>
      <c r="L62" s="68"/>
      <c r="M62" s="68"/>
      <c r="N62" s="68"/>
      <c r="O62" s="68"/>
      <c r="P62" s="68"/>
      <c r="Q62" s="68"/>
      <c r="S62" s="23">
        <f>_xlfn.STDEV.S(S46:S59)</f>
        <v>0.44860246811164772</v>
      </c>
      <c r="T62" t="s">
        <v>233</v>
      </c>
      <c r="AP62" s="186"/>
    </row>
    <row r="63" spans="1:42" x14ac:dyDescent="0.35">
      <c r="A63" s="27"/>
      <c r="B63" s="27"/>
      <c r="C63" s="27"/>
      <c r="E63" s="59"/>
      <c r="F63" s="183"/>
      <c r="G63" s="183"/>
      <c r="H63" s="183"/>
      <c r="I63" s="183"/>
      <c r="J63" s="183"/>
      <c r="K63" s="242"/>
      <c r="L63" s="183"/>
      <c r="M63" s="183"/>
      <c r="N63" s="183"/>
      <c r="O63" s="183"/>
      <c r="P63" s="183"/>
      <c r="Q63" s="183"/>
      <c r="Z63" s="27"/>
      <c r="AA63" s="191"/>
      <c r="AB63" s="191"/>
      <c r="AC63" s="191"/>
      <c r="AD63" s="191"/>
      <c r="AE63" s="191"/>
      <c r="AF63" s="191"/>
      <c r="AG63" s="191"/>
      <c r="AH63" s="191"/>
      <c r="AI63" s="191"/>
      <c r="AJ63" s="191"/>
      <c r="AK63" s="27"/>
      <c r="AL63" s="27"/>
    </row>
    <row r="64" spans="1:42" x14ac:dyDescent="0.35">
      <c r="A64" s="27"/>
      <c r="B64" s="27"/>
      <c r="C64" s="27"/>
      <c r="E64" s="183"/>
      <c r="F64" s="183"/>
      <c r="G64" s="183"/>
      <c r="H64" s="183"/>
      <c r="I64" s="183"/>
      <c r="J64" s="183"/>
      <c r="K64" s="242"/>
      <c r="L64" s="183"/>
      <c r="M64" s="183"/>
      <c r="N64" s="183"/>
      <c r="O64" s="183"/>
      <c r="P64" s="183"/>
      <c r="Q64" s="183"/>
      <c r="Z64" s="27"/>
      <c r="AA64" s="191"/>
      <c r="AB64" s="191"/>
      <c r="AC64" s="191"/>
      <c r="AD64" s="191"/>
      <c r="AE64" s="191"/>
      <c r="AF64" s="191"/>
      <c r="AG64" s="191"/>
      <c r="AH64" s="191"/>
      <c r="AI64" s="191"/>
      <c r="AJ64" s="191"/>
      <c r="AK64" s="27"/>
      <c r="AL64" s="27"/>
    </row>
    <row r="65" spans="1:38" x14ac:dyDescent="0.35">
      <c r="A65" s="27"/>
      <c r="B65" s="27"/>
      <c r="C65" s="27"/>
      <c r="D65" s="27"/>
      <c r="E65" s="183"/>
      <c r="F65" s="183"/>
      <c r="G65" s="183"/>
      <c r="H65" s="183"/>
      <c r="I65" s="183"/>
      <c r="J65" s="183"/>
      <c r="K65" s="242"/>
      <c r="L65" s="183"/>
      <c r="M65" s="183"/>
      <c r="N65" s="183"/>
      <c r="O65" s="183"/>
      <c r="P65" s="183"/>
      <c r="Q65" s="183"/>
      <c r="Z65" s="27"/>
      <c r="AA65" s="191"/>
      <c r="AB65" s="191"/>
      <c r="AC65" s="191"/>
      <c r="AD65" s="191"/>
      <c r="AE65" s="191"/>
      <c r="AF65" s="191"/>
      <c r="AG65" s="191"/>
      <c r="AH65" s="191"/>
      <c r="AI65" s="191"/>
      <c r="AJ65" s="191"/>
      <c r="AK65" s="27"/>
      <c r="AL65" s="27"/>
    </row>
    <row r="66" spans="1:38" x14ac:dyDescent="0.35">
      <c r="A66" s="27"/>
      <c r="B66" s="27"/>
      <c r="C66" s="27"/>
      <c r="D66" s="27"/>
      <c r="E66" s="183"/>
      <c r="F66" s="183"/>
      <c r="G66" s="183"/>
      <c r="H66" s="183"/>
      <c r="I66" s="183"/>
      <c r="J66" s="183"/>
      <c r="K66" s="242"/>
      <c r="L66" s="183"/>
      <c r="M66" s="183"/>
      <c r="N66" s="183"/>
      <c r="O66" s="183"/>
      <c r="P66" s="183"/>
      <c r="Q66" s="183"/>
      <c r="Z66" s="183"/>
      <c r="AA66" s="191"/>
      <c r="AB66" s="191"/>
      <c r="AC66" s="191"/>
      <c r="AD66" s="191"/>
      <c r="AE66" s="191"/>
      <c r="AF66" s="191"/>
      <c r="AG66" s="191"/>
      <c r="AH66" s="191"/>
      <c r="AI66" s="191"/>
      <c r="AJ66" s="191"/>
      <c r="AK66" s="191"/>
      <c r="AL66" s="191"/>
    </row>
    <row r="67" spans="1:38" ht="15.5" x14ac:dyDescent="0.35">
      <c r="A67" s="27"/>
      <c r="B67" s="27"/>
      <c r="C67" s="27"/>
      <c r="D67" s="27"/>
      <c r="E67" s="183"/>
      <c r="F67" s="183"/>
      <c r="G67" s="183"/>
      <c r="H67" s="183"/>
      <c r="I67" s="183"/>
      <c r="J67" s="183"/>
      <c r="K67" s="242"/>
      <c r="L67" s="183"/>
      <c r="M67" s="183"/>
      <c r="N67" s="183"/>
      <c r="O67" s="183"/>
      <c r="P67" s="183"/>
      <c r="Q67" s="183"/>
      <c r="Z67" s="193"/>
      <c r="AA67" s="194"/>
      <c r="AB67" s="194"/>
      <c r="AC67" s="194"/>
      <c r="AD67" s="194"/>
      <c r="AE67" s="194"/>
      <c r="AF67" s="194"/>
      <c r="AG67" s="194"/>
      <c r="AH67" s="194"/>
      <c r="AI67" s="194"/>
      <c r="AJ67" s="194"/>
      <c r="AK67" s="194"/>
      <c r="AL67" s="191"/>
    </row>
    <row r="68" spans="1:38" x14ac:dyDescent="0.35">
      <c r="D68" s="183"/>
      <c r="E68" s="183"/>
      <c r="F68" s="183"/>
      <c r="G68" s="183"/>
      <c r="H68" s="183"/>
      <c r="I68" s="183"/>
      <c r="J68" s="183"/>
      <c r="K68" s="242"/>
      <c r="L68" s="183"/>
      <c r="M68" s="183"/>
      <c r="N68" s="183"/>
      <c r="O68" s="183"/>
      <c r="P68" s="183"/>
      <c r="Q68" s="183"/>
      <c r="Z68" s="27"/>
      <c r="AA68" s="27"/>
      <c r="AB68" s="27"/>
      <c r="AC68" s="27"/>
      <c r="AD68" s="27"/>
      <c r="AE68" s="27"/>
      <c r="AF68" s="27"/>
      <c r="AG68" s="27"/>
      <c r="AH68" s="27"/>
      <c r="AI68" s="27"/>
      <c r="AJ68" s="27"/>
      <c r="AK68" s="27"/>
      <c r="AL68" s="27"/>
    </row>
    <row r="69" spans="1:38" x14ac:dyDescent="0.35">
      <c r="D69" s="183"/>
      <c r="E69" s="183"/>
      <c r="F69" s="183"/>
      <c r="G69" s="183"/>
      <c r="H69" s="183"/>
      <c r="I69" s="183"/>
      <c r="J69" s="183"/>
      <c r="K69" s="242"/>
      <c r="L69" s="183"/>
      <c r="M69" s="183"/>
      <c r="N69" s="183"/>
      <c r="O69" s="183"/>
      <c r="P69" s="183"/>
      <c r="Q69" s="183"/>
    </row>
    <row r="70" spans="1:38" x14ac:dyDescent="0.35">
      <c r="D70" s="183"/>
      <c r="E70" s="183"/>
      <c r="F70" s="59"/>
      <c r="G70" s="183"/>
      <c r="H70" s="183"/>
      <c r="I70" s="183"/>
      <c r="J70" s="183"/>
      <c r="K70" s="242"/>
      <c r="L70" s="183"/>
      <c r="M70" s="183"/>
      <c r="N70" s="183"/>
      <c r="O70" s="183"/>
      <c r="P70" s="183"/>
      <c r="Q70" s="183"/>
    </row>
    <row r="71" spans="1:38" x14ac:dyDescent="0.35">
      <c r="D71" s="183"/>
      <c r="E71" s="183"/>
      <c r="F71" s="183"/>
      <c r="G71" s="183"/>
      <c r="H71" s="183"/>
      <c r="I71" s="183"/>
      <c r="J71" s="183"/>
      <c r="K71" s="242"/>
      <c r="L71" s="183"/>
      <c r="M71" s="183"/>
      <c r="N71" s="183"/>
      <c r="O71" s="183"/>
      <c r="P71" s="183"/>
      <c r="Q71" s="183"/>
    </row>
    <row r="72" spans="1:38" ht="15.5" x14ac:dyDescent="0.35">
      <c r="D72" s="183"/>
      <c r="E72" s="183"/>
      <c r="F72" s="219"/>
      <c r="G72" s="439"/>
      <c r="H72" s="439"/>
      <c r="I72" s="439"/>
      <c r="J72" s="219"/>
      <c r="K72" s="242"/>
      <c r="L72" s="219"/>
      <c r="M72" s="440"/>
      <c r="N72" s="440"/>
      <c r="O72" s="241"/>
      <c r="P72" s="219"/>
      <c r="Q72" s="219"/>
      <c r="R72" s="219"/>
    </row>
    <row r="73" spans="1:38" x14ac:dyDescent="0.35">
      <c r="D73" s="183"/>
      <c r="E73" s="183"/>
      <c r="F73" s="183"/>
      <c r="G73" s="183"/>
      <c r="H73" s="183"/>
      <c r="I73" s="183"/>
      <c r="J73" s="183"/>
      <c r="K73" s="242"/>
      <c r="L73" s="183"/>
      <c r="M73" s="183"/>
      <c r="N73" s="183"/>
      <c r="O73" s="183"/>
      <c r="P73" s="183"/>
      <c r="Q73" s="183"/>
    </row>
    <row r="74" spans="1:38" x14ac:dyDescent="0.35">
      <c r="D74" s="183"/>
      <c r="E74" s="183"/>
      <c r="F74" s="183"/>
      <c r="G74" s="183"/>
      <c r="H74" s="183"/>
      <c r="I74" s="183"/>
      <c r="J74" s="183"/>
      <c r="K74" s="242"/>
      <c r="L74" s="183"/>
      <c r="M74" s="183"/>
      <c r="N74" s="183"/>
      <c r="O74" s="183"/>
      <c r="P74" s="183"/>
      <c r="Q74" s="183"/>
    </row>
    <row r="75" spans="1:38" x14ac:dyDescent="0.35">
      <c r="D75" s="183"/>
      <c r="E75" s="183"/>
      <c r="F75" s="183"/>
      <c r="G75" s="183"/>
      <c r="H75" s="183"/>
      <c r="I75" s="183"/>
      <c r="J75" s="183"/>
      <c r="K75" s="242"/>
      <c r="L75" s="183"/>
      <c r="M75" s="183"/>
      <c r="N75" s="183"/>
      <c r="O75" s="183"/>
      <c r="P75" s="183"/>
      <c r="Q75" s="183"/>
    </row>
    <row r="76" spans="1:38" x14ac:dyDescent="0.35">
      <c r="D76" s="27"/>
      <c r="E76" s="183"/>
      <c r="F76" s="183"/>
      <c r="G76" s="183"/>
      <c r="H76" s="183"/>
      <c r="I76" s="183"/>
      <c r="J76" s="183"/>
      <c r="K76" s="183"/>
      <c r="L76" s="183"/>
      <c r="M76" s="183"/>
      <c r="N76" s="183"/>
      <c r="O76" s="183"/>
      <c r="P76" s="183"/>
      <c r="Q76" s="183"/>
    </row>
    <row r="77" spans="1:38" x14ac:dyDescent="0.35">
      <c r="D77" s="27"/>
      <c r="E77" s="183"/>
      <c r="F77" s="183"/>
      <c r="G77" s="183"/>
      <c r="H77" s="183"/>
      <c r="I77" s="183"/>
      <c r="J77" s="183"/>
      <c r="K77" s="183"/>
      <c r="L77" s="183"/>
      <c r="M77" s="183"/>
      <c r="N77" s="183"/>
      <c r="O77" s="183"/>
      <c r="P77" s="183"/>
      <c r="Q77" s="183"/>
    </row>
    <row r="78" spans="1:38" x14ac:dyDescent="0.35">
      <c r="E78" s="183"/>
      <c r="F78" s="183"/>
      <c r="G78" s="183"/>
      <c r="H78" s="183"/>
      <c r="I78" s="183"/>
      <c r="J78" s="183"/>
      <c r="K78" s="183"/>
      <c r="L78" s="183"/>
      <c r="M78" s="183"/>
      <c r="N78" s="183"/>
      <c r="O78" s="183"/>
      <c r="P78" s="183"/>
      <c r="Q78" s="183"/>
    </row>
    <row r="79" spans="1:38" x14ac:dyDescent="0.35">
      <c r="E79" s="183"/>
      <c r="F79" s="183"/>
      <c r="G79" s="183"/>
      <c r="H79" s="183"/>
      <c r="I79" s="183"/>
      <c r="J79" s="183"/>
      <c r="K79" s="183"/>
      <c r="L79" s="183"/>
      <c r="M79" s="183"/>
      <c r="N79" s="183"/>
      <c r="O79" s="183"/>
      <c r="P79" s="183"/>
      <c r="Q79" s="183"/>
    </row>
    <row r="80" spans="1:38" x14ac:dyDescent="0.35">
      <c r="E80" s="183"/>
      <c r="F80" s="183"/>
      <c r="G80" s="183"/>
      <c r="H80" s="183"/>
      <c r="I80" s="183"/>
      <c r="J80" s="183"/>
      <c r="K80" s="183"/>
      <c r="L80" s="183"/>
      <c r="M80" s="183"/>
      <c r="N80" s="183"/>
      <c r="O80" s="183"/>
      <c r="P80" s="183"/>
      <c r="Q80" s="183"/>
    </row>
    <row r="81" spans="5:17" x14ac:dyDescent="0.35">
      <c r="E81" s="183"/>
      <c r="F81" s="183"/>
      <c r="G81" s="183"/>
      <c r="H81" s="183"/>
      <c r="I81" s="183"/>
      <c r="J81" s="183"/>
      <c r="K81" s="183"/>
      <c r="L81" s="183"/>
      <c r="M81" s="183"/>
      <c r="N81" s="183"/>
      <c r="O81" s="183"/>
      <c r="P81" s="183"/>
      <c r="Q81" s="183"/>
    </row>
  </sheetData>
  <mergeCells count="12">
    <mergeCell ref="I1:I2"/>
    <mergeCell ref="L1:L2"/>
    <mergeCell ref="G72:I72"/>
    <mergeCell ref="M72:N72"/>
    <mergeCell ref="E1:G1"/>
    <mergeCell ref="J1:K1"/>
    <mergeCell ref="M1:M2"/>
    <mergeCell ref="A1:A2"/>
    <mergeCell ref="B1:B2"/>
    <mergeCell ref="C1:C2"/>
    <mergeCell ref="D1:D2"/>
    <mergeCell ref="H1:H2"/>
  </mergeCells>
  <conditionalFormatting sqref="H3:H16">
    <cfRule type="colorScale" priority="145">
      <colorScale>
        <cfvo type="min"/>
        <cfvo type="max"/>
        <color rgb="FFFCFCFF"/>
        <color rgb="FFF8696B"/>
      </colorScale>
    </cfRule>
  </conditionalFormatting>
  <conditionalFormatting sqref="I3:I16">
    <cfRule type="colorScale" priority="144">
      <colorScale>
        <cfvo type="min"/>
        <cfvo type="max"/>
        <color rgb="FFFCFCFF"/>
        <color rgb="FFF8696B"/>
      </colorScale>
    </cfRule>
  </conditionalFormatting>
  <conditionalFormatting sqref="L3:L16">
    <cfRule type="colorScale" priority="141">
      <colorScale>
        <cfvo type="min"/>
        <cfvo type="max"/>
        <color rgb="FFFCFCFF"/>
        <color rgb="FFF8696B"/>
      </colorScale>
    </cfRule>
  </conditionalFormatting>
  <conditionalFormatting sqref="C3:C16">
    <cfRule type="colorScale" priority="139">
      <colorScale>
        <cfvo type="min"/>
        <cfvo type="max"/>
        <color rgb="FFFCFCFF"/>
        <color rgb="FFF8696B"/>
      </colorScale>
    </cfRule>
  </conditionalFormatting>
  <conditionalFormatting sqref="B3:B16">
    <cfRule type="colorScale" priority="138">
      <colorScale>
        <cfvo type="min"/>
        <cfvo type="max"/>
        <color rgb="FFFCFCFF"/>
        <color rgb="FFF8696B"/>
      </colorScale>
    </cfRule>
  </conditionalFormatting>
  <conditionalFormatting sqref="G26:G39 B26:E39">
    <cfRule type="colorScale" priority="137">
      <colorScale>
        <cfvo type="min"/>
        <cfvo type="max"/>
        <color rgb="FFF8696B"/>
        <color rgb="FFFCFCFF"/>
      </colorScale>
    </cfRule>
  </conditionalFormatting>
  <conditionalFormatting sqref="J26:N39">
    <cfRule type="colorScale" priority="121">
      <colorScale>
        <cfvo type="min"/>
        <cfvo type="max"/>
        <color rgb="FFFCFCFF"/>
        <color rgb="FFF8696B"/>
      </colorScale>
    </cfRule>
  </conditionalFormatting>
  <conditionalFormatting sqref="G26:G39">
    <cfRule type="colorScale" priority="114">
      <colorScale>
        <cfvo type="min"/>
        <cfvo type="max"/>
        <color rgb="FFFCFCFF"/>
        <color rgb="FFF8696B"/>
      </colorScale>
    </cfRule>
  </conditionalFormatting>
  <conditionalFormatting sqref="C26:D39">
    <cfRule type="colorScale" priority="113">
      <colorScale>
        <cfvo type="min"/>
        <cfvo type="max"/>
        <color rgb="FFFCFCFF"/>
        <color rgb="FFF8696B"/>
      </colorScale>
    </cfRule>
  </conditionalFormatting>
  <conditionalFormatting sqref="B26:B39">
    <cfRule type="colorScale" priority="112">
      <colorScale>
        <cfvo type="min"/>
        <cfvo type="max"/>
        <color rgb="FFFCFCFF"/>
        <color rgb="FFF8696B"/>
      </colorScale>
    </cfRule>
  </conditionalFormatting>
  <conditionalFormatting sqref="E26:E39">
    <cfRule type="colorScale" priority="111">
      <colorScale>
        <cfvo type="min"/>
        <cfvo type="max"/>
        <color rgb="FFFCFCFF"/>
        <color rgb="FFF8696B"/>
      </colorScale>
    </cfRule>
  </conditionalFormatting>
  <conditionalFormatting sqref="F3:F16">
    <cfRule type="colorScale" priority="107">
      <colorScale>
        <cfvo type="min"/>
        <cfvo type="max"/>
        <color rgb="FFFCFCFF"/>
        <color rgb="FFF8696B"/>
      </colorScale>
    </cfRule>
  </conditionalFormatting>
  <conditionalFormatting sqref="E3:E16">
    <cfRule type="colorScale" priority="106">
      <colorScale>
        <cfvo type="min"/>
        <cfvo type="max"/>
        <color rgb="FFF8696B"/>
        <color rgb="FFFCFCFF"/>
      </colorScale>
    </cfRule>
  </conditionalFormatting>
  <conditionalFormatting sqref="D3:D16">
    <cfRule type="colorScale" priority="105">
      <colorScale>
        <cfvo type="min"/>
        <cfvo type="max"/>
        <color rgb="FFFCFCFF"/>
        <color rgb="FFF8696B"/>
      </colorScale>
    </cfRule>
  </conditionalFormatting>
  <conditionalFormatting sqref="H26:I39">
    <cfRule type="colorScale" priority="103">
      <colorScale>
        <cfvo type="min"/>
        <cfvo type="max"/>
        <color rgb="FFF8696B"/>
        <color rgb="FFFCFCFF"/>
      </colorScale>
    </cfRule>
  </conditionalFormatting>
  <conditionalFormatting sqref="H26:I39">
    <cfRule type="colorScale" priority="99">
      <colorScale>
        <cfvo type="min"/>
        <cfvo type="max"/>
        <color rgb="FFFCFCFF"/>
        <color rgb="FFF8696B"/>
      </colorScale>
    </cfRule>
  </conditionalFormatting>
  <conditionalFormatting sqref="F26:F39">
    <cfRule type="colorScale" priority="35">
      <colorScale>
        <cfvo type="min"/>
        <cfvo type="max"/>
        <color rgb="FFFCFCFF"/>
        <color rgb="FFF8696B"/>
      </colorScale>
    </cfRule>
  </conditionalFormatting>
  <conditionalFormatting sqref="R26:R39 R45">
    <cfRule type="colorScale" priority="147">
      <colorScale>
        <cfvo type="min"/>
        <cfvo type="max"/>
        <color rgb="FFF8696B"/>
        <color rgb="FFFCFCFF"/>
      </colorScale>
    </cfRule>
  </conditionalFormatting>
  <conditionalFormatting sqref="AA26:AA39">
    <cfRule type="colorScale" priority="94">
      <colorScale>
        <cfvo type="min"/>
        <cfvo type="max"/>
        <color rgb="FFFCFCFF"/>
        <color rgb="FFF8696B"/>
      </colorScale>
    </cfRule>
  </conditionalFormatting>
  <conditionalFormatting sqref="AA66:AL66">
    <cfRule type="colorScale" priority="84">
      <colorScale>
        <cfvo type="min"/>
        <cfvo type="percentile" val="50"/>
        <cfvo type="max"/>
        <color rgb="FFF8696B"/>
        <color rgb="FFFCFCFF"/>
        <color rgb="FF63BE7B"/>
      </colorScale>
    </cfRule>
  </conditionalFormatting>
  <conditionalFormatting sqref="AA67:AL67">
    <cfRule type="colorScale" priority="148">
      <colorScale>
        <cfvo type="min"/>
        <cfvo type="percentile" val="50"/>
        <cfvo type="max"/>
        <color rgb="FFF8696B"/>
        <color rgb="FFFCFCFF"/>
        <color rgb="FF63BE7B"/>
      </colorScale>
    </cfRule>
  </conditionalFormatting>
  <conditionalFormatting sqref="S32:S39">
    <cfRule type="colorScale" priority="71">
      <colorScale>
        <cfvo type="min"/>
        <cfvo type="max"/>
        <color rgb="FFF8696B"/>
        <color rgb="FFFCFCFF"/>
      </colorScale>
    </cfRule>
  </conditionalFormatting>
  <conditionalFormatting sqref="W14:W15">
    <cfRule type="colorScale" priority="32">
      <colorScale>
        <cfvo type="min"/>
        <cfvo type="max"/>
        <color rgb="FFFCFCFF"/>
        <color rgb="FFF8696B"/>
      </colorScale>
    </cfRule>
  </conditionalFormatting>
  <conditionalFormatting sqref="W16">
    <cfRule type="colorScale" priority="31">
      <colorScale>
        <cfvo type="min"/>
        <cfvo type="max"/>
        <color rgb="FFFCFCFF"/>
        <color rgb="FFF8696B"/>
      </colorScale>
    </cfRule>
  </conditionalFormatting>
  <conditionalFormatting sqref="X45:X58">
    <cfRule type="colorScale" priority="28">
      <colorScale>
        <cfvo type="min"/>
        <cfvo type="max"/>
        <color rgb="FFFCFCFF"/>
        <color rgb="FFF8696B"/>
      </colorScale>
    </cfRule>
  </conditionalFormatting>
  <conditionalFormatting sqref="Y45:Y58">
    <cfRule type="colorScale" priority="27">
      <colorScale>
        <cfvo type="min"/>
        <cfvo type="max"/>
        <color rgb="FFFCFCFF"/>
        <color rgb="FFF8696B"/>
      </colorScale>
    </cfRule>
  </conditionalFormatting>
  <conditionalFormatting sqref="Z45:Z58">
    <cfRule type="colorScale" priority="26">
      <colorScale>
        <cfvo type="min"/>
        <cfvo type="max"/>
        <color rgb="FFFCFCFF"/>
        <color rgb="FFF8696B"/>
      </colorScale>
    </cfRule>
  </conditionalFormatting>
  <conditionalFormatting sqref="AE5:AH10 AK5:AK6 AK12">
    <cfRule type="colorScale" priority="24">
      <colorScale>
        <cfvo type="min"/>
        <cfvo type="percentile" val="50"/>
        <cfvo type="max"/>
        <color rgb="FFF8696B"/>
        <color rgb="FFFCFCFF"/>
        <color rgb="FF63BE7B"/>
      </colorScale>
    </cfRule>
  </conditionalFormatting>
  <conditionalFormatting sqref="AD5:AD10">
    <cfRule type="colorScale" priority="23">
      <colorScale>
        <cfvo type="min"/>
        <cfvo type="percentile" val="50"/>
        <cfvo type="max"/>
        <color rgb="FFF8696B"/>
        <color rgb="FFFCFCFF"/>
        <color rgb="FF63BE7B"/>
      </colorScale>
    </cfRule>
  </conditionalFormatting>
  <conditionalFormatting sqref="AC5:AC10">
    <cfRule type="colorScale" priority="22">
      <colorScale>
        <cfvo type="min"/>
        <cfvo type="percentile" val="50"/>
        <cfvo type="max"/>
        <color rgb="FFF8696B"/>
        <color rgb="FFFCFCFF"/>
        <color rgb="FF63BE7B"/>
      </colorScale>
    </cfRule>
  </conditionalFormatting>
  <conditionalFormatting sqref="AB5:AB10">
    <cfRule type="colorScale" priority="21">
      <colorScale>
        <cfvo type="min"/>
        <cfvo type="percentile" val="50"/>
        <cfvo type="max"/>
        <color rgb="FFF8696B"/>
        <color rgb="FFFCFCFF"/>
        <color rgb="FF63BE7B"/>
      </colorScale>
    </cfRule>
  </conditionalFormatting>
  <conditionalFormatting sqref="X4:X13">
    <cfRule type="colorScale" priority="17">
      <colorScale>
        <cfvo type="num" val="0"/>
        <cfvo type="num" val="1.5"/>
        <color theme="0"/>
        <color theme="9" tint="-0.499984740745262"/>
      </colorScale>
    </cfRule>
    <cfRule type="colorScale" priority="18">
      <colorScale>
        <cfvo type="num" val="0"/>
        <cfvo type="num" val="1.3"/>
        <color rgb="FFFF7128"/>
        <color rgb="FFFFEF9C"/>
      </colorScale>
    </cfRule>
  </conditionalFormatting>
  <conditionalFormatting sqref="D3:F16">
    <cfRule type="colorScale" priority="149">
      <colorScale>
        <cfvo type="min"/>
        <cfvo type="max"/>
        <color rgb="FFFCFCFF"/>
        <color rgb="FFF8696B"/>
      </colorScale>
    </cfRule>
  </conditionalFormatting>
  <conditionalFormatting sqref="G3:G16">
    <cfRule type="colorScale" priority="155">
      <colorScale>
        <cfvo type="min"/>
        <cfvo type="max"/>
        <color rgb="FFF8696B"/>
        <color rgb="FFFCFCFF"/>
      </colorScale>
    </cfRule>
  </conditionalFormatting>
  <conditionalFormatting sqref="M3:M16 R3:R16">
    <cfRule type="colorScale" priority="169">
      <colorScale>
        <cfvo type="min"/>
        <cfvo type="max"/>
        <color rgb="FFFCFCFF"/>
        <color rgb="FFF8696B"/>
      </colorScale>
    </cfRule>
  </conditionalFormatting>
  <conditionalFormatting sqref="K3:K16">
    <cfRule type="colorScale" priority="170">
      <colorScale>
        <cfvo type="min"/>
        <cfvo type="max"/>
        <color rgb="FFFCFCFF"/>
        <color rgb="FFF8696B"/>
      </colorScale>
    </cfRule>
  </conditionalFormatting>
  <conditionalFormatting sqref="AB5:AI12 AB17:AB24 AM2">
    <cfRule type="colorScale" priority="16">
      <colorScale>
        <cfvo type="num" val="-1"/>
        <cfvo type="num" val="0"/>
        <cfvo type="num" val="1"/>
        <color rgb="FFFF0000"/>
        <color theme="0"/>
        <color rgb="FFFF0000"/>
      </colorScale>
    </cfRule>
  </conditionalFormatting>
  <conditionalFormatting sqref="AB17:AB22">
    <cfRule type="colorScale" priority="15">
      <colorScale>
        <cfvo type="min"/>
        <cfvo type="percentile" val="50"/>
        <cfvo type="max"/>
        <color rgb="FFF8696B"/>
        <color rgb="FFFCFCFF"/>
        <color rgb="FF63BE7B"/>
      </colorScale>
    </cfRule>
  </conditionalFormatting>
  <conditionalFormatting sqref="AB24">
    <cfRule type="colorScale" priority="14">
      <colorScale>
        <cfvo type="min"/>
        <cfvo type="percentile" val="50"/>
        <cfvo type="max"/>
        <color rgb="FFF8696B"/>
        <color rgb="FFFCFCFF"/>
        <color rgb="FF63BE7B"/>
      </colorScale>
    </cfRule>
  </conditionalFormatting>
  <conditionalFormatting sqref="AM2">
    <cfRule type="colorScale" priority="12">
      <colorScale>
        <cfvo type="min"/>
        <cfvo type="percentile" val="50"/>
        <cfvo type="max"/>
        <color rgb="FFF8696B"/>
        <color rgb="FFFCFCFF"/>
        <color rgb="FF63BE7B"/>
      </colorScale>
    </cfRule>
  </conditionalFormatting>
  <conditionalFormatting sqref="K63:K75">
    <cfRule type="colorScale" priority="214">
      <colorScale>
        <cfvo type="min"/>
        <cfvo type="percentile" val="50"/>
        <cfvo type="max"/>
        <color rgb="FFF8696B"/>
        <color rgb="FFFCFCFF"/>
        <color rgb="FF63BE7B"/>
      </colorScale>
    </cfRule>
  </conditionalFormatting>
  <conditionalFormatting sqref="AD63:AJ65">
    <cfRule type="colorScale" priority="218">
      <colorScale>
        <cfvo type="min"/>
        <cfvo type="percentile" val="50"/>
        <cfvo type="max"/>
        <color rgb="FFF8696B"/>
        <color rgb="FFFCFCFF"/>
        <color rgb="FF63BE7B"/>
      </colorScale>
    </cfRule>
  </conditionalFormatting>
  <conditionalFormatting sqref="AC63:AC65">
    <cfRule type="colorScale" priority="219">
      <colorScale>
        <cfvo type="min"/>
        <cfvo type="percentile" val="50"/>
        <cfvo type="max"/>
        <color rgb="FFF8696B"/>
        <color rgb="FFFCFCFF"/>
        <color rgb="FF63BE7B"/>
      </colorScale>
    </cfRule>
  </conditionalFormatting>
  <conditionalFormatting sqref="AB63:AB65">
    <cfRule type="colorScale" priority="220">
      <colorScale>
        <cfvo type="min"/>
        <cfvo type="percentile" val="50"/>
        <cfvo type="max"/>
        <color rgb="FFF8696B"/>
        <color rgb="FFFCFCFF"/>
        <color rgb="FF63BE7B"/>
      </colorScale>
    </cfRule>
  </conditionalFormatting>
  <conditionalFormatting sqref="AA63:AA65">
    <cfRule type="colorScale" priority="221">
      <colorScale>
        <cfvo type="min"/>
        <cfvo type="percentile" val="50"/>
        <cfvo type="max"/>
        <color rgb="FFF8696B"/>
        <color rgb="FFFCFCFF"/>
        <color rgb="FF63BE7B"/>
      </colorScale>
    </cfRule>
  </conditionalFormatting>
  <conditionalFormatting sqref="AB12:AI12 AK13">
    <cfRule type="colorScale" priority="234">
      <colorScale>
        <cfvo type="min"/>
        <cfvo type="percentile" val="50"/>
        <cfvo type="max"/>
        <color rgb="FFF8696B"/>
        <color rgb="FFFCFCFF"/>
        <color rgb="FF63BE7B"/>
      </colorScale>
    </cfRule>
  </conditionalFormatting>
  <conditionalFormatting sqref="AB14:AK14">
    <cfRule type="colorScale" priority="236">
      <colorScale>
        <cfvo type="min"/>
        <cfvo type="percentile" val="50"/>
        <cfvo type="max"/>
        <color rgb="FFF8696B"/>
        <color rgb="FFFCFCFF"/>
        <color rgb="FF63BE7B"/>
      </colorScale>
    </cfRule>
  </conditionalFormatting>
  <conditionalFormatting sqref="O26:O39">
    <cfRule type="colorScale" priority="1">
      <colorScale>
        <cfvo type="num" val="0"/>
        <cfvo type="num" val="1"/>
        <color theme="0"/>
        <color rgb="FFC00000"/>
      </colorScale>
    </cfRule>
    <cfRule type="colorScale" priority="3">
      <colorScale>
        <cfvo type="min"/>
        <cfvo type="max"/>
        <color rgb="FFF8696B"/>
        <color rgb="FFFCFCFF"/>
      </colorScale>
    </cfRule>
  </conditionalFormatting>
  <conditionalFormatting sqref="R26:R39">
    <cfRule type="colorScale" priority="2">
      <colorScale>
        <cfvo type="num" val="0"/>
        <cfvo type="num" val="1"/>
        <color theme="0"/>
        <color rgb="FFC00000"/>
      </colorScale>
    </cfRule>
  </conditionalFormatting>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X158"/>
  <sheetViews>
    <sheetView zoomScale="55" zoomScaleNormal="55" workbookViewId="0">
      <selection activeCell="B4" sqref="B4"/>
    </sheetView>
  </sheetViews>
  <sheetFormatPr defaultRowHeight="14.5" x14ac:dyDescent="0.35"/>
  <cols>
    <col min="1" max="1" width="30.26953125" customWidth="1"/>
    <col min="2" max="2" width="30.7265625" customWidth="1"/>
    <col min="3" max="3" width="36" customWidth="1"/>
    <col min="4" max="5" width="22.54296875" customWidth="1"/>
    <col min="6" max="7" width="19.54296875" customWidth="1"/>
    <col min="8" max="8" width="18.453125" customWidth="1"/>
    <col min="9" max="9" width="15" customWidth="1"/>
    <col min="10" max="10" width="16.26953125" customWidth="1"/>
    <col min="11" max="11" width="19.54296875" customWidth="1"/>
    <col min="12" max="12" width="18.453125" customWidth="1"/>
    <col min="13" max="13" width="17.1796875" customWidth="1"/>
    <col min="14" max="14" width="17.81640625" customWidth="1"/>
    <col min="15" max="15" width="18.453125" customWidth="1"/>
    <col min="18" max="18" width="29.54296875" customWidth="1"/>
    <col min="20" max="20" width="15.1796875" customWidth="1"/>
    <col min="21" max="21" width="12.81640625" customWidth="1"/>
    <col min="22" max="25" width="10.81640625" customWidth="1"/>
    <col min="26" max="27" width="11.453125" customWidth="1"/>
    <col min="28" max="29" width="15.453125" customWidth="1"/>
    <col min="30" max="48" width="14.7265625" customWidth="1"/>
    <col min="49" max="49" width="18.1796875" customWidth="1"/>
    <col min="50" max="53" width="14.7265625" customWidth="1"/>
    <col min="71" max="71" width="12.7265625" customWidth="1"/>
    <col min="72" max="72" width="12.81640625" customWidth="1"/>
    <col min="73" max="73" width="15.81640625" customWidth="1"/>
    <col min="74" max="74" width="14" customWidth="1"/>
    <col min="75" max="75" width="15.453125" customWidth="1"/>
    <col min="76" max="76" width="16.7265625" customWidth="1"/>
    <col min="77" max="77" width="13.81640625" customWidth="1"/>
    <col min="78" max="78" width="15.453125" customWidth="1"/>
    <col min="79" max="79" width="13.54296875" customWidth="1"/>
    <col min="84" max="84" width="12.26953125" customWidth="1"/>
    <col min="86" max="86" width="17.81640625" customWidth="1"/>
    <col min="87" max="87" width="13.81640625" customWidth="1"/>
    <col min="96" max="96" width="16.7265625" customWidth="1"/>
    <col min="97" max="97" width="14.81640625" customWidth="1"/>
    <col min="98" max="98" width="13.1796875" customWidth="1"/>
  </cols>
  <sheetData>
    <row r="1" spans="1:102" ht="60" customHeight="1" thickBot="1" x14ac:dyDescent="0.4">
      <c r="B1" s="6" t="s">
        <v>0</v>
      </c>
      <c r="C1" s="16"/>
      <c r="D1" s="178"/>
      <c r="E1" s="178"/>
      <c r="F1" s="178"/>
      <c r="G1" s="178"/>
      <c r="H1" s="178"/>
      <c r="I1" s="178"/>
      <c r="J1" s="178"/>
      <c r="K1" s="178"/>
      <c r="L1" s="179"/>
      <c r="M1" s="178"/>
      <c r="N1" s="178"/>
      <c r="O1" s="322"/>
      <c r="R1" s="37"/>
      <c r="S1" s="37"/>
      <c r="T1" s="37"/>
      <c r="U1" s="37"/>
      <c r="V1" s="37"/>
      <c r="W1" s="37"/>
      <c r="X1" s="37"/>
      <c r="Y1" s="37"/>
      <c r="Z1" s="37"/>
      <c r="AA1" s="37"/>
      <c r="AB1" s="37"/>
      <c r="AC1" s="37"/>
      <c r="BB1" s="37" t="s">
        <v>6</v>
      </c>
      <c r="BC1" s="37" t="s">
        <v>7</v>
      </c>
      <c r="BD1" s="37" t="s">
        <v>110</v>
      </c>
      <c r="BE1" s="37" t="s">
        <v>8</v>
      </c>
      <c r="BF1" s="37" t="s">
        <v>9</v>
      </c>
      <c r="BG1" s="37" t="s">
        <v>10</v>
      </c>
      <c r="BH1" s="37" t="s">
        <v>11</v>
      </c>
      <c r="BI1" s="37" t="s">
        <v>12</v>
      </c>
      <c r="BJ1" s="37" t="s">
        <v>111</v>
      </c>
      <c r="BK1" s="37" t="s">
        <v>13</v>
      </c>
      <c r="BL1" s="37" t="s">
        <v>14</v>
      </c>
      <c r="BM1" s="37" t="s">
        <v>15</v>
      </c>
      <c r="BN1" s="37" t="s">
        <v>16</v>
      </c>
      <c r="BO1" s="37" t="s">
        <v>17</v>
      </c>
      <c r="BP1" s="37" t="s">
        <v>18</v>
      </c>
      <c r="BQ1" s="37" t="s">
        <v>19</v>
      </c>
      <c r="BR1" s="37" t="s">
        <v>20</v>
      </c>
      <c r="BS1" s="37" t="s">
        <v>118</v>
      </c>
      <c r="BT1" s="37" t="s">
        <v>119</v>
      </c>
      <c r="BU1" s="37" t="s">
        <v>120</v>
      </c>
      <c r="BV1" s="37" t="s">
        <v>122</v>
      </c>
      <c r="BW1" s="37" t="s">
        <v>121</v>
      </c>
      <c r="BX1" s="37" t="s">
        <v>123</v>
      </c>
      <c r="BZ1" s="27"/>
      <c r="CA1" s="27"/>
      <c r="CB1" s="27"/>
      <c r="CC1" s="27"/>
      <c r="CD1" s="27"/>
      <c r="CE1" s="27"/>
      <c r="CF1" s="27"/>
      <c r="CP1" t="s">
        <v>77</v>
      </c>
      <c r="CR1" t="s">
        <v>88</v>
      </c>
      <c r="CS1" t="s">
        <v>89</v>
      </c>
      <c r="CT1" t="s">
        <v>90</v>
      </c>
    </row>
    <row r="2" spans="1:102" ht="49" customHeight="1" x14ac:dyDescent="0.45">
      <c r="B2" s="7">
        <v>1</v>
      </c>
      <c r="C2" s="17">
        <v>2</v>
      </c>
      <c r="D2" s="4">
        <v>3</v>
      </c>
      <c r="E2" s="445">
        <v>4</v>
      </c>
      <c r="F2" s="445"/>
      <c r="G2" s="445"/>
      <c r="H2" s="4">
        <v>5</v>
      </c>
      <c r="I2" s="139">
        <v>6</v>
      </c>
      <c r="J2" s="445">
        <v>7</v>
      </c>
      <c r="K2" s="445"/>
      <c r="L2" s="5">
        <v>8</v>
      </c>
      <c r="M2" s="4">
        <v>9</v>
      </c>
      <c r="N2" s="4">
        <v>10</v>
      </c>
      <c r="O2" s="323"/>
      <c r="R2" s="37"/>
      <c r="S2" s="37"/>
      <c r="T2" s="37">
        <f>CORREL(T4:T17,AA4:AA17)</f>
        <v>0.76971952441427349</v>
      </c>
      <c r="U2" s="37"/>
      <c r="V2" s="37"/>
      <c r="W2" s="37"/>
      <c r="X2" s="37"/>
      <c r="Y2" s="37"/>
      <c r="Z2" s="37"/>
      <c r="AA2" s="37">
        <f>CORREL(AA4:AA19,AB4:AB19)</f>
        <v>9.4322862360477946E-2</v>
      </c>
      <c r="AB2" s="37"/>
      <c r="AC2" s="37"/>
      <c r="AG2" s="138">
        <f>CORREL(AG4:AG19,AH4:AH19)</f>
        <v>-2.054052786294748E-2</v>
      </c>
      <c r="AH2" s="138">
        <f>CORREL(AH4:AH19,AI4:AI19)</f>
        <v>0.41214092371685196</v>
      </c>
      <c r="AI2" s="138">
        <f>CORREL(AG4:AG19,AI4:AI19)</f>
        <v>-0.54644172307620409</v>
      </c>
      <c r="AL2" s="446" t="s">
        <v>173</v>
      </c>
      <c r="AM2" s="446"/>
      <c r="AN2" s="446"/>
      <c r="AO2" s="446"/>
      <c r="AP2" s="228" t="s">
        <v>125</v>
      </c>
      <c r="AQ2" s="229">
        <f>CORREL(AN4:AN17,AQ4:AQ17)</f>
        <v>0.93023973140471405</v>
      </c>
      <c r="AR2" s="140"/>
      <c r="AT2" s="155">
        <f>CORREL(AT4:AT17,AV4:AV17)</f>
        <v>0.94350776856426588</v>
      </c>
      <c r="BB2" s="37"/>
      <c r="BC2" s="37"/>
      <c r="BD2" s="37"/>
      <c r="BE2" s="37"/>
      <c r="BF2" s="37"/>
      <c r="BG2" s="37"/>
      <c r="BH2" s="37"/>
      <c r="BI2" s="37"/>
      <c r="BJ2" s="37"/>
      <c r="BK2" s="37"/>
      <c r="BL2" s="37"/>
      <c r="BM2" s="37"/>
      <c r="BN2" s="37"/>
      <c r="BO2" s="37"/>
      <c r="BP2" s="37"/>
      <c r="BQ2" s="37"/>
      <c r="BR2" s="37"/>
      <c r="BS2" s="37"/>
      <c r="BT2" s="37"/>
      <c r="BU2" s="37"/>
      <c r="BV2" s="37"/>
      <c r="BW2" s="37"/>
      <c r="BX2" s="37"/>
      <c r="BZ2" s="27"/>
      <c r="CA2" s="27"/>
      <c r="CB2" s="27"/>
      <c r="CC2" s="27"/>
      <c r="CD2" s="27"/>
      <c r="CE2" s="27"/>
      <c r="CF2" s="27"/>
      <c r="CS2" s="22"/>
      <c r="CT2" s="22"/>
    </row>
    <row r="3" spans="1:102" ht="72.75" customHeight="1" thickBot="1" x14ac:dyDescent="0.4">
      <c r="B3" s="77" t="s">
        <v>37</v>
      </c>
      <c r="C3" s="78" t="s">
        <v>70</v>
      </c>
      <c r="D3" s="79" t="s">
        <v>280</v>
      </c>
      <c r="E3" s="112" t="s">
        <v>92</v>
      </c>
      <c r="F3" s="112" t="s">
        <v>155</v>
      </c>
      <c r="G3" s="112" t="s">
        <v>163</v>
      </c>
      <c r="H3" s="79" t="s">
        <v>235</v>
      </c>
      <c r="I3" s="79" t="s">
        <v>234</v>
      </c>
      <c r="J3" s="112" t="s">
        <v>181</v>
      </c>
      <c r="K3" s="112" t="s">
        <v>180</v>
      </c>
      <c r="L3" s="81" t="s">
        <v>184</v>
      </c>
      <c r="M3" s="79" t="s">
        <v>144</v>
      </c>
      <c r="N3" s="80" t="s">
        <v>185</v>
      </c>
      <c r="O3" s="67"/>
      <c r="T3" s="1" t="s">
        <v>128</v>
      </c>
      <c r="U3" s="1" t="s">
        <v>130</v>
      </c>
      <c r="V3" s="1" t="s">
        <v>135</v>
      </c>
      <c r="W3" s="1" t="s">
        <v>136</v>
      </c>
      <c r="X3" s="1" t="s">
        <v>124</v>
      </c>
      <c r="Y3" s="1" t="s">
        <v>186</v>
      </c>
      <c r="Z3" s="1" t="s">
        <v>137</v>
      </c>
      <c r="AA3" s="1" t="s">
        <v>133</v>
      </c>
      <c r="AB3" s="1" t="s">
        <v>143</v>
      </c>
      <c r="AC3" s="1" t="s">
        <v>141</v>
      </c>
      <c r="AD3" s="37" t="s">
        <v>140</v>
      </c>
      <c r="AE3" s="37" t="s">
        <v>146</v>
      </c>
      <c r="AF3" s="37" t="s">
        <v>147</v>
      </c>
      <c r="AG3" s="37" t="s">
        <v>149</v>
      </c>
      <c r="AH3" s="37" t="s">
        <v>154</v>
      </c>
      <c r="AI3" s="37" t="s">
        <v>163</v>
      </c>
      <c r="AJ3" s="37" t="s">
        <v>158</v>
      </c>
      <c r="AK3" s="145" t="s">
        <v>157</v>
      </c>
      <c r="AL3" s="146" t="s">
        <v>165</v>
      </c>
      <c r="AM3" s="146" t="s">
        <v>166</v>
      </c>
      <c r="AN3" s="150" t="s">
        <v>168</v>
      </c>
      <c r="AO3" s="223" t="s">
        <v>171</v>
      </c>
      <c r="AP3" s="230" t="s">
        <v>172</v>
      </c>
      <c r="AQ3" s="185" t="s">
        <v>174</v>
      </c>
      <c r="AR3" s="226" t="s">
        <v>170</v>
      </c>
      <c r="AS3" s="110" t="s">
        <v>86</v>
      </c>
      <c r="AT3" s="110" t="s">
        <v>87</v>
      </c>
      <c r="AU3" s="25" t="s">
        <v>176</v>
      </c>
      <c r="AV3" s="162" t="s">
        <v>179</v>
      </c>
      <c r="AW3" s="25" t="s">
        <v>175</v>
      </c>
      <c r="AX3" s="145" t="s">
        <v>183</v>
      </c>
      <c r="AY3" s="145" t="s">
        <v>182</v>
      </c>
      <c r="AZ3" s="220" t="s">
        <v>184</v>
      </c>
      <c r="BZ3" s="27"/>
      <c r="CA3" s="27"/>
      <c r="CB3" s="156"/>
      <c r="CC3" s="27"/>
      <c r="CD3" s="27"/>
      <c r="CE3" s="27"/>
      <c r="CF3" s="27"/>
      <c r="CS3" s="22"/>
      <c r="CT3" s="22"/>
    </row>
    <row r="4" spans="1:102" ht="15" customHeight="1" x14ac:dyDescent="0.35">
      <c r="A4" s="84" t="s">
        <v>33</v>
      </c>
      <c r="B4" s="70">
        <f>'[1]Демо+РИК_Разделы 1,3'!DJ3</f>
        <v>0.73065842762306377</v>
      </c>
      <c r="C4" s="71">
        <f t="shared" ref="C4:C17" si="0">Z4</f>
        <v>0.17</v>
      </c>
      <c r="D4" s="108">
        <f t="shared" ref="D4:D19" si="1">AF4</f>
        <v>57.529512514468216</v>
      </c>
      <c r="E4" s="167">
        <f t="shared" ref="E4:E17" si="2">AG4</f>
        <v>881700.6</v>
      </c>
      <c r="F4" s="108">
        <f t="shared" ref="F4:F19" si="3">AH4</f>
        <v>6.1</v>
      </c>
      <c r="G4" s="108">
        <f t="shared" ref="G4:G19" si="4">AI4</f>
        <v>1.1000000000000001</v>
      </c>
      <c r="H4" s="164">
        <f t="shared" ref="H4:H19" si="5">AK4</f>
        <v>0.14220998031969292</v>
      </c>
      <c r="I4" s="168">
        <f t="shared" ref="I4:I19" si="6">AP4</f>
        <v>2.9503631850365933E-2</v>
      </c>
      <c r="J4" s="169">
        <f t="shared" ref="J4:J19" si="7">AU4</f>
        <v>1.713916742631419</v>
      </c>
      <c r="K4" s="170">
        <f t="shared" ref="K4:K19" si="8">AW4</f>
        <v>0.1308673856904147</v>
      </c>
      <c r="L4" s="164">
        <f t="shared" ref="L4:L19" si="9">AZ4</f>
        <v>8.1583588130066859E-2</v>
      </c>
      <c r="M4" s="107">
        <f t="shared" ref="M4:M17" si="10">AD4</f>
        <v>9.1958582105131299</v>
      </c>
      <c r="N4" s="108">
        <f t="shared" ref="N4:N19" si="11">AB4</f>
        <v>7.0318984078857625</v>
      </c>
      <c r="O4" s="324"/>
      <c r="Q4" s="22"/>
      <c r="R4" s="53" t="s">
        <v>33</v>
      </c>
      <c r="S4" s="38">
        <v>31</v>
      </c>
      <c r="T4" s="119">
        <f>[2]КДН_Свод!M3</f>
        <v>1514527</v>
      </c>
      <c r="U4" s="120">
        <f>'[1]Демо+РИК_Разделы 1,3'!P3</f>
        <v>287412</v>
      </c>
      <c r="V4" s="120">
        <f>'[1]Демо+РИК_Разделы 1,3'!X3</f>
        <v>90313</v>
      </c>
      <c r="W4" s="120">
        <f>'[1]Демо+РИК_Разделы 1,3'!AE3</f>
        <v>72304</v>
      </c>
      <c r="X4" s="120">
        <f>'[1]Демо+РИК_Разделы 1,3'!AK3</f>
        <v>13166</v>
      </c>
      <c r="Y4" s="182">
        <f>'[1]Демо+РИК_Разделы 1,3'!BR3</f>
        <v>238</v>
      </c>
      <c r="Z4" s="121">
        <v>0.17</v>
      </c>
      <c r="AA4" s="122">
        <f>[2]КДН_Свод!H3</f>
        <v>1065</v>
      </c>
      <c r="AB4" s="123">
        <f>(AA4/T4)*10000</f>
        <v>7.0318984078857625</v>
      </c>
      <c r="AC4" s="123">
        <f>[3]Лист2!B2</f>
        <v>2643</v>
      </c>
      <c r="AD4" s="124">
        <f>(AC4/U4)*1000</f>
        <v>9.1958582105131299</v>
      </c>
      <c r="AE4" s="125">
        <v>8713</v>
      </c>
      <c r="AF4" s="124">
        <f>(AE4/T4)*10000</f>
        <v>57.529512514468216</v>
      </c>
      <c r="AG4" s="123">
        <f>[2]КДН_Свод!AC3</f>
        <v>881700.6</v>
      </c>
      <c r="AH4" s="118">
        <v>6.1</v>
      </c>
      <c r="AI4" s="118">
        <v>1.1000000000000001</v>
      </c>
      <c r="AJ4" s="141">
        <v>174508</v>
      </c>
      <c r="AK4" s="134">
        <f>AJ4/(T4-U4)</f>
        <v>0.14220998031969292</v>
      </c>
      <c r="AL4" s="147">
        <v>938</v>
      </c>
      <c r="AM4" s="147">
        <v>5504</v>
      </c>
      <c r="AN4" s="151">
        <f>SUM(AL4:AM4)</f>
        <v>6442</v>
      </c>
      <c r="AO4" s="224">
        <f>[4]Данные!$E$30</f>
        <v>218346</v>
      </c>
      <c r="AP4" s="231">
        <f>AN4/AO4</f>
        <v>2.9503631850365933E-2</v>
      </c>
      <c r="AQ4" s="232">
        <v>6063</v>
      </c>
      <c r="AR4" s="227">
        <f>AQ4/U4</f>
        <v>2.1095152603231599E-2</v>
      </c>
      <c r="AS4" s="25">
        <v>11281</v>
      </c>
      <c r="AT4" s="110">
        <v>6582</v>
      </c>
      <c r="AU4" s="160">
        <f t="shared" ref="AU4:AU19" si="12">AS4/AT4</f>
        <v>1.713916742631419</v>
      </c>
      <c r="AV4" s="163">
        <v>1723</v>
      </c>
      <c r="AW4" s="164">
        <f>AV4/X4</f>
        <v>0.1308673856904147</v>
      </c>
      <c r="AX4" s="166">
        <v>157642</v>
      </c>
      <c r="AY4" s="166">
        <v>12861</v>
      </c>
      <c r="AZ4" s="221">
        <f>AY4/AX4</f>
        <v>8.1583588130066859E-2</v>
      </c>
      <c r="BB4" s="38">
        <v>267</v>
      </c>
      <c r="BC4" s="38">
        <v>62</v>
      </c>
      <c r="BD4" s="38">
        <v>82</v>
      </c>
      <c r="BE4" s="38">
        <v>18</v>
      </c>
      <c r="BF4" s="38">
        <v>125</v>
      </c>
      <c r="BG4" s="38">
        <v>17</v>
      </c>
      <c r="BH4" s="38">
        <v>1</v>
      </c>
      <c r="BI4" s="38">
        <v>151</v>
      </c>
      <c r="BJ4" s="38">
        <v>3</v>
      </c>
      <c r="BK4" s="38">
        <v>8</v>
      </c>
      <c r="BL4" s="38">
        <v>219</v>
      </c>
      <c r="BM4" s="38">
        <v>216</v>
      </c>
      <c r="BN4" s="38">
        <v>189</v>
      </c>
      <c r="BO4" s="38">
        <v>1672</v>
      </c>
      <c r="BP4" s="38">
        <v>7</v>
      </c>
      <c r="BQ4" s="38">
        <v>6</v>
      </c>
      <c r="BR4" s="38">
        <v>1</v>
      </c>
      <c r="BS4" s="38">
        <v>8</v>
      </c>
      <c r="BT4" s="38">
        <f t="shared" ref="BT4:BT17" si="13">BB4-BC4</f>
        <v>205</v>
      </c>
      <c r="BU4" s="39">
        <v>2</v>
      </c>
      <c r="BV4" s="39">
        <v>46</v>
      </c>
      <c r="BW4" s="39">
        <v>13</v>
      </c>
      <c r="BX4" s="39">
        <v>16</v>
      </c>
      <c r="CD4" s="27"/>
      <c r="CE4" s="27"/>
      <c r="CF4" s="27"/>
      <c r="CP4">
        <v>208</v>
      </c>
      <c r="CR4" s="24">
        <v>0.33700000000000002</v>
      </c>
      <c r="CS4" s="24">
        <v>8.1000000000000003E-2</v>
      </c>
      <c r="CT4" s="24">
        <f>CR4+CS4</f>
        <v>0.41800000000000004</v>
      </c>
      <c r="CX4" s="28">
        <v>67375</v>
      </c>
    </row>
    <row r="5" spans="1:102" ht="12.75" customHeight="1" x14ac:dyDescent="0.35">
      <c r="A5" s="92" t="s">
        <v>24</v>
      </c>
      <c r="B5" s="70">
        <f>'[1]Демо+РИК_Разделы 1,3'!DJ4</f>
        <v>0.69008737042573265</v>
      </c>
      <c r="C5" s="71">
        <f t="shared" si="0"/>
        <v>0.77</v>
      </c>
      <c r="D5" s="108">
        <f t="shared" si="1"/>
        <v>126.07196836101629</v>
      </c>
      <c r="E5" s="167">
        <f t="shared" si="2"/>
        <v>546328.80000000005</v>
      </c>
      <c r="F5" s="108">
        <f t="shared" si="3"/>
        <v>7.2</v>
      </c>
      <c r="G5" s="108">
        <f t="shared" si="4"/>
        <v>16.600000000000001</v>
      </c>
      <c r="H5" s="164">
        <f t="shared" si="5"/>
        <v>0.10746543415090426</v>
      </c>
      <c r="I5" s="168">
        <f t="shared" si="6"/>
        <v>2.5159019746299853E-2</v>
      </c>
      <c r="J5" s="169">
        <f t="shared" si="7"/>
        <v>1.6709844559585492</v>
      </c>
      <c r="K5" s="170">
        <f t="shared" si="8"/>
        <v>0.15483275189821466</v>
      </c>
      <c r="L5" s="164">
        <f t="shared" si="9"/>
        <v>8.2802630552883991E-2</v>
      </c>
      <c r="M5" s="107">
        <f t="shared" si="10"/>
        <v>4.874504075904734</v>
      </c>
      <c r="N5" s="108">
        <f t="shared" si="11"/>
        <v>6.5899963330564901</v>
      </c>
      <c r="O5" s="35"/>
      <c r="Q5" s="22"/>
      <c r="R5" s="53" t="s">
        <v>24</v>
      </c>
      <c r="S5" s="40">
        <v>36</v>
      </c>
      <c r="T5" s="119">
        <f>[2]КДН_Свод!M4</f>
        <v>2285282</v>
      </c>
      <c r="U5" s="120">
        <f>'[1]Демо+РИК_Разделы 1,3'!P4</f>
        <v>410093</v>
      </c>
      <c r="V5" s="120">
        <f>'[1]Демо+РИК_Разделы 1,3'!X4</f>
        <v>152789</v>
      </c>
      <c r="W5" s="120">
        <f>'[1]Демо+РИК_Разделы 1,3'!AE4</f>
        <v>107609</v>
      </c>
      <c r="X5" s="120">
        <f>'[1]Демо+РИК_Разделы 1,3'!AK4</f>
        <v>19492</v>
      </c>
      <c r="Y5" s="182">
        <f>'[1]Демо+РИК_Разделы 1,3'!BR4</f>
        <v>370</v>
      </c>
      <c r="Z5" s="121">
        <v>0.77</v>
      </c>
      <c r="AA5" s="122">
        <f>[2]КДН_Свод!H4</f>
        <v>1506</v>
      </c>
      <c r="AB5" s="123">
        <f t="shared" ref="AB5:AB18" si="14">(AA5/T5)*10000</f>
        <v>6.5899963330564901</v>
      </c>
      <c r="AC5" s="123">
        <f>[3]Лист2!B3</f>
        <v>1999</v>
      </c>
      <c r="AD5" s="124">
        <f t="shared" ref="AD5:AD17" si="15">(AC5/U5)*1000</f>
        <v>4.874504075904734</v>
      </c>
      <c r="AE5" s="126">
        <v>28811</v>
      </c>
      <c r="AF5" s="124">
        <f t="shared" ref="AF5:AF17" si="16">(AE5/T5)*10000</f>
        <v>126.07196836101629</v>
      </c>
      <c r="AG5" s="123">
        <f>[2]КДН_Свод!AC4</f>
        <v>546328.80000000005</v>
      </c>
      <c r="AH5" s="118">
        <v>7.2</v>
      </c>
      <c r="AI5" s="118">
        <v>16.600000000000001</v>
      </c>
      <c r="AJ5" s="141">
        <v>201518</v>
      </c>
      <c r="AK5" s="134">
        <f t="shared" ref="AK5:AK19" si="17">AJ5/(T5-U5)</f>
        <v>0.10746543415090426</v>
      </c>
      <c r="AL5" s="147">
        <v>1999</v>
      </c>
      <c r="AM5" s="147">
        <v>6944</v>
      </c>
      <c r="AN5" s="151">
        <f t="shared" ref="AN5:AN19" si="18">SUM(AL5:AM5)</f>
        <v>8943</v>
      </c>
      <c r="AO5" s="224">
        <f>[4]Данные!$E$35</f>
        <v>355459</v>
      </c>
      <c r="AP5" s="231">
        <f t="shared" ref="AP5:AP19" si="19">AN5/AO5</f>
        <v>2.5159019746299853E-2</v>
      </c>
      <c r="AQ5" s="233">
        <v>8461</v>
      </c>
      <c r="AR5" s="227">
        <f t="shared" ref="AR5:AR19" si="20">AQ5/U5</f>
        <v>2.0631905445837897E-2</v>
      </c>
      <c r="AS5" s="25">
        <v>16770</v>
      </c>
      <c r="AT5" s="110">
        <v>10036</v>
      </c>
      <c r="AU5" s="160">
        <f t="shared" si="12"/>
        <v>1.6709844559585492</v>
      </c>
      <c r="AV5" s="163">
        <v>3018</v>
      </c>
      <c r="AW5" s="164">
        <f t="shared" ref="AW5:AW17" si="21">AV5/X5</f>
        <v>0.15483275189821466</v>
      </c>
      <c r="AX5" s="166">
        <v>230826</v>
      </c>
      <c r="AY5" s="166">
        <v>19113</v>
      </c>
      <c r="AZ5" s="221">
        <f t="shared" ref="AZ5:AZ19" si="22">AY5/AX5</f>
        <v>8.2802630552883991E-2</v>
      </c>
      <c r="BB5" s="38">
        <v>534</v>
      </c>
      <c r="BC5" s="38">
        <v>168</v>
      </c>
      <c r="BD5" s="38">
        <v>171</v>
      </c>
      <c r="BE5" s="38">
        <v>9</v>
      </c>
      <c r="BF5" s="38">
        <v>161</v>
      </c>
      <c r="BG5" s="38">
        <v>62</v>
      </c>
      <c r="BH5" s="38">
        <v>4</v>
      </c>
      <c r="BI5" s="38">
        <v>4</v>
      </c>
      <c r="BJ5" s="38">
        <v>5</v>
      </c>
      <c r="BK5" s="38">
        <v>13</v>
      </c>
      <c r="BL5" s="38">
        <v>202</v>
      </c>
      <c r="BM5" s="38">
        <v>86</v>
      </c>
      <c r="BN5" s="38">
        <v>195</v>
      </c>
      <c r="BO5" s="38">
        <v>3947</v>
      </c>
      <c r="BP5" s="38">
        <v>24</v>
      </c>
      <c r="BQ5" s="38">
        <v>20</v>
      </c>
      <c r="BR5" s="38">
        <v>2</v>
      </c>
      <c r="BS5" s="38">
        <v>13</v>
      </c>
      <c r="BT5" s="38">
        <f t="shared" si="13"/>
        <v>366</v>
      </c>
      <c r="BU5" s="38">
        <v>0</v>
      </c>
      <c r="BV5" s="39">
        <v>67</v>
      </c>
      <c r="BW5" s="39">
        <v>22</v>
      </c>
      <c r="BX5" s="39">
        <v>32</v>
      </c>
      <c r="CD5" s="27"/>
      <c r="CE5" s="27"/>
      <c r="CF5" s="27"/>
      <c r="CP5">
        <v>401</v>
      </c>
      <c r="CR5" s="15">
        <v>0.32</v>
      </c>
      <c r="CS5" s="24">
        <v>6.9000000000000006E-2</v>
      </c>
      <c r="CT5" s="24">
        <f t="shared" ref="CT5:CT17" si="23">CR5+CS5</f>
        <v>0.38900000000000001</v>
      </c>
      <c r="CX5" s="28">
        <v>90878</v>
      </c>
    </row>
    <row r="6" spans="1:102" ht="13.5" customHeight="1" x14ac:dyDescent="0.35">
      <c r="A6" s="92" t="s">
        <v>25</v>
      </c>
      <c r="B6" s="70">
        <f>'[1]Демо+РИК_Разделы 1,3'!DJ5</f>
        <v>1.0274511346206787</v>
      </c>
      <c r="C6" s="71">
        <f t="shared" si="0"/>
        <v>0.23</v>
      </c>
      <c r="D6" s="108">
        <f t="shared" si="1"/>
        <v>71.148833285061272</v>
      </c>
      <c r="E6" s="167">
        <f t="shared" si="2"/>
        <v>659727.30000000005</v>
      </c>
      <c r="F6" s="108">
        <f t="shared" si="3"/>
        <v>12.1</v>
      </c>
      <c r="G6" s="108">
        <f t="shared" si="4"/>
        <v>14.2</v>
      </c>
      <c r="H6" s="164">
        <f t="shared" si="5"/>
        <v>7.1942402648242851E-2</v>
      </c>
      <c r="I6" s="168">
        <f t="shared" si="6"/>
        <v>3.0240646927832831E-2</v>
      </c>
      <c r="J6" s="169">
        <f t="shared" si="7"/>
        <v>1.7110326566637246</v>
      </c>
      <c r="K6" s="170">
        <f t="shared" si="8"/>
        <v>0.19739392634072797</v>
      </c>
      <c r="L6" s="164">
        <f t="shared" si="9"/>
        <v>8.8019146588846575E-2</v>
      </c>
      <c r="M6" s="107">
        <f t="shared" si="10"/>
        <v>0.51126755024186887</v>
      </c>
      <c r="N6" s="108">
        <f t="shared" si="11"/>
        <v>11.527176529506182</v>
      </c>
      <c r="O6" s="35"/>
      <c r="Q6" s="22"/>
      <c r="R6" s="53" t="s">
        <v>25</v>
      </c>
      <c r="S6" s="40">
        <v>39</v>
      </c>
      <c r="T6" s="119">
        <f>[2]КДН_Свод!M5</f>
        <v>1032343</v>
      </c>
      <c r="U6" s="120">
        <f>'[1]Демо+РИК_Разделы 1,3'!P5</f>
        <v>203416</v>
      </c>
      <c r="V6" s="120">
        <f>'[1]Демо+РИК_Разделы 1,3'!X5</f>
        <v>75931</v>
      </c>
      <c r="W6" s="120">
        <f>'[1]Демо+РИК_Разделы 1,3'!AE5</f>
        <v>53065</v>
      </c>
      <c r="X6" s="120">
        <f>'[1]Демо+РИК_Разделы 1,3'!AK5</f>
        <v>9286</v>
      </c>
      <c r="Y6" s="182">
        <f>'[1]Демо+РИК_Разделы 1,3'!BR5</f>
        <v>208</v>
      </c>
      <c r="Z6" s="121">
        <v>0.23</v>
      </c>
      <c r="AA6" s="122">
        <f>[2]КДН_Свод!H5</f>
        <v>1190</v>
      </c>
      <c r="AB6" s="123">
        <f t="shared" si="14"/>
        <v>11.527176529506182</v>
      </c>
      <c r="AC6" s="123">
        <f>[3]Лист2!B4</f>
        <v>104</v>
      </c>
      <c r="AD6" s="124">
        <f t="shared" si="15"/>
        <v>0.51126755024186887</v>
      </c>
      <c r="AE6" s="125">
        <v>7345</v>
      </c>
      <c r="AF6" s="124">
        <f t="shared" si="16"/>
        <v>71.148833285061272</v>
      </c>
      <c r="AG6" s="123">
        <f>[2]КДН_Свод!AC5</f>
        <v>659727.30000000005</v>
      </c>
      <c r="AH6" s="118">
        <v>12.1</v>
      </c>
      <c r="AI6" s="118">
        <v>14.2</v>
      </c>
      <c r="AJ6" s="142">
        <v>59635</v>
      </c>
      <c r="AK6" s="134">
        <f t="shared" si="17"/>
        <v>7.1942402648242851E-2</v>
      </c>
      <c r="AL6" s="147">
        <v>742</v>
      </c>
      <c r="AM6" s="147">
        <v>3753</v>
      </c>
      <c r="AN6" s="151">
        <f t="shared" si="18"/>
        <v>4495</v>
      </c>
      <c r="AO6" s="224">
        <f>[4]Данные!$E$40</f>
        <v>148641</v>
      </c>
      <c r="AP6" s="231">
        <f t="shared" si="19"/>
        <v>3.0240646927832831E-2</v>
      </c>
      <c r="AQ6" s="233">
        <v>4065</v>
      </c>
      <c r="AR6" s="227">
        <f t="shared" si="20"/>
        <v>1.9983678766665357E-2</v>
      </c>
      <c r="AS6" s="157">
        <v>9693</v>
      </c>
      <c r="AT6" s="158">
        <v>5665</v>
      </c>
      <c r="AU6" s="160">
        <f t="shared" si="12"/>
        <v>1.7110326566637246</v>
      </c>
      <c r="AV6" s="163">
        <v>1833</v>
      </c>
      <c r="AW6" s="164">
        <f t="shared" si="21"/>
        <v>0.19739392634072797</v>
      </c>
      <c r="AX6" s="166">
        <v>112396</v>
      </c>
      <c r="AY6" s="166">
        <v>9893</v>
      </c>
      <c r="AZ6" s="221">
        <f t="shared" si="22"/>
        <v>8.8019146588846575E-2</v>
      </c>
      <c r="BB6" s="38">
        <v>295</v>
      </c>
      <c r="BC6" s="38">
        <v>76</v>
      </c>
      <c r="BD6" s="38">
        <v>99</v>
      </c>
      <c r="BE6" s="38">
        <v>4</v>
      </c>
      <c r="BF6" s="38">
        <v>109</v>
      </c>
      <c r="BG6" s="38">
        <v>30</v>
      </c>
      <c r="BH6" s="38">
        <v>0</v>
      </c>
      <c r="BI6" s="38">
        <v>127</v>
      </c>
      <c r="BJ6" s="38">
        <v>10</v>
      </c>
      <c r="BK6" s="38">
        <v>3</v>
      </c>
      <c r="BL6" s="38">
        <v>324</v>
      </c>
      <c r="BM6" s="38">
        <v>331</v>
      </c>
      <c r="BN6" s="38">
        <v>270</v>
      </c>
      <c r="BO6" s="38">
        <v>1809</v>
      </c>
      <c r="BP6" s="38">
        <v>11</v>
      </c>
      <c r="BQ6" s="38">
        <v>10</v>
      </c>
      <c r="BR6" s="38">
        <v>0</v>
      </c>
      <c r="BS6" s="38">
        <v>3</v>
      </c>
      <c r="BT6" s="38">
        <f t="shared" si="13"/>
        <v>219</v>
      </c>
      <c r="BU6" s="39">
        <v>4</v>
      </c>
      <c r="BV6" s="39">
        <v>53</v>
      </c>
      <c r="BW6" s="39">
        <v>1</v>
      </c>
      <c r="BX6" s="39">
        <v>20</v>
      </c>
      <c r="CD6" s="27"/>
      <c r="CE6" s="27"/>
      <c r="CF6" s="27"/>
      <c r="CP6">
        <v>237</v>
      </c>
      <c r="CR6" s="24">
        <v>7.1999999999999995E-2</v>
      </c>
      <c r="CS6" s="24">
        <v>0.32700000000000001</v>
      </c>
      <c r="CT6" s="24">
        <f t="shared" si="23"/>
        <v>0.39900000000000002</v>
      </c>
      <c r="CX6" s="28">
        <v>45640</v>
      </c>
    </row>
    <row r="7" spans="1:102" ht="13.5" customHeight="1" x14ac:dyDescent="0.35">
      <c r="A7" s="92" t="s">
        <v>21</v>
      </c>
      <c r="B7" s="70">
        <f>'[1]Демо+РИК_Разделы 1,3'!DJ6</f>
        <v>0.70635839307218362</v>
      </c>
      <c r="C7" s="71">
        <f t="shared" si="0"/>
        <v>0.8</v>
      </c>
      <c r="D7" s="108">
        <f t="shared" si="1"/>
        <v>22.249926752924942</v>
      </c>
      <c r="E7" s="167">
        <f t="shared" si="2"/>
        <v>562926</v>
      </c>
      <c r="F7" s="108">
        <f t="shared" si="3"/>
        <v>9</v>
      </c>
      <c r="G7" s="108">
        <f t="shared" si="4"/>
        <v>15.5</v>
      </c>
      <c r="H7" s="164">
        <f t="shared" si="5"/>
        <v>8.6406606414346276E-2</v>
      </c>
      <c r="I7" s="168">
        <f t="shared" si="6"/>
        <v>2.4824319042322796E-2</v>
      </c>
      <c r="J7" s="169">
        <f t="shared" si="7"/>
        <v>1.6003987564206543</v>
      </c>
      <c r="K7" s="170">
        <f t="shared" si="8"/>
        <v>0.18898907463472422</v>
      </c>
      <c r="L7" s="164">
        <f t="shared" si="9"/>
        <v>9.5154790442283171E-2</v>
      </c>
      <c r="M7" s="107">
        <f t="shared" si="10"/>
        <v>4.0038094983938057</v>
      </c>
      <c r="N7" s="108">
        <f t="shared" si="11"/>
        <v>9.0628756329105773</v>
      </c>
      <c r="O7" s="35"/>
      <c r="Q7" s="22"/>
      <c r="R7" s="53" t="s">
        <v>21</v>
      </c>
      <c r="S7" s="40">
        <v>23</v>
      </c>
      <c r="T7" s="119">
        <f>[2]КДН_Свод!M6</f>
        <v>5819345</v>
      </c>
      <c r="U7" s="120">
        <f>'[1]Демо+РИК_Разделы 1,3'!P6</f>
        <v>1199108</v>
      </c>
      <c r="V7" s="120">
        <f>'[1]Демо+РИК_Разделы 1,3'!X6</f>
        <v>463137</v>
      </c>
      <c r="W7" s="120">
        <f>'[1]Демо+РИК_Разделы 1,3'!AE6</f>
        <v>326140</v>
      </c>
      <c r="X7" s="120">
        <f>'[1]Демо+РИК_Разделы 1,3'!AK6</f>
        <v>60776</v>
      </c>
      <c r="Y7" s="182">
        <f>'[1]Демо+РИК_Разделы 1,3'!BR6</f>
        <v>816</v>
      </c>
      <c r="Z7" s="121">
        <v>0.8</v>
      </c>
      <c r="AA7" s="122">
        <f>[2]КДН_Свод!H6</f>
        <v>5274</v>
      </c>
      <c r="AB7" s="123">
        <f t="shared" si="14"/>
        <v>9.0628756329105773</v>
      </c>
      <c r="AC7" s="123">
        <f>[3]Лист2!B5</f>
        <v>4801</v>
      </c>
      <c r="AD7" s="124">
        <f t="shared" si="15"/>
        <v>4.0038094983938057</v>
      </c>
      <c r="AE7" s="126">
        <v>12948</v>
      </c>
      <c r="AF7" s="124">
        <f t="shared" si="16"/>
        <v>22.249926752924942</v>
      </c>
      <c r="AG7" s="123">
        <f>[2]КДН_Свод!AC6</f>
        <v>562926</v>
      </c>
      <c r="AH7" s="127">
        <v>9</v>
      </c>
      <c r="AI7" s="136">
        <v>15.5</v>
      </c>
      <c r="AJ7" s="143">
        <v>399219</v>
      </c>
      <c r="AK7" s="134">
        <f t="shared" si="17"/>
        <v>8.6406606414346276E-2</v>
      </c>
      <c r="AL7" s="147">
        <v>6769</v>
      </c>
      <c r="AM7" s="147">
        <v>22827</v>
      </c>
      <c r="AN7" s="151">
        <f t="shared" si="18"/>
        <v>29596</v>
      </c>
      <c r="AO7" s="224">
        <f>[4]Данные!$E$10</f>
        <v>1192218</v>
      </c>
      <c r="AP7" s="231">
        <f t="shared" si="19"/>
        <v>2.4824319042322796E-2</v>
      </c>
      <c r="AQ7" s="233">
        <v>30093</v>
      </c>
      <c r="AR7" s="227">
        <f t="shared" si="20"/>
        <v>2.5096154808407583E-2</v>
      </c>
      <c r="AS7" s="154">
        <v>47359</v>
      </c>
      <c r="AT7" s="154">
        <v>29592</v>
      </c>
      <c r="AU7" s="160">
        <f t="shared" si="12"/>
        <v>1.6003987564206543</v>
      </c>
      <c r="AV7" s="163">
        <v>11486</v>
      </c>
      <c r="AW7" s="164">
        <f t="shared" si="21"/>
        <v>0.18898907463472422</v>
      </c>
      <c r="AX7" s="166">
        <v>634503</v>
      </c>
      <c r="AY7" s="166">
        <v>60376</v>
      </c>
      <c r="AZ7" s="221">
        <f t="shared" si="22"/>
        <v>9.5154790442283171E-2</v>
      </c>
      <c r="BB7" s="38">
        <v>1133</v>
      </c>
      <c r="BC7" s="38">
        <v>434</v>
      </c>
      <c r="BD7" s="38">
        <v>365</v>
      </c>
      <c r="BE7" s="38">
        <v>3</v>
      </c>
      <c r="BF7" s="38">
        <v>711</v>
      </c>
      <c r="BG7" s="38">
        <v>234</v>
      </c>
      <c r="BH7" s="38">
        <v>0</v>
      </c>
      <c r="BI7" s="38">
        <v>743</v>
      </c>
      <c r="BJ7" s="38">
        <v>38</v>
      </c>
      <c r="BK7" s="38">
        <v>27</v>
      </c>
      <c r="BL7" s="38">
        <v>234</v>
      </c>
      <c r="BM7" s="38">
        <v>50</v>
      </c>
      <c r="BN7" s="38">
        <v>161</v>
      </c>
      <c r="BO7" s="38">
        <v>13189</v>
      </c>
      <c r="BP7" s="38">
        <v>58</v>
      </c>
      <c r="BQ7" s="38">
        <v>55</v>
      </c>
      <c r="BR7" s="38">
        <v>1</v>
      </c>
      <c r="BS7" s="38">
        <v>27</v>
      </c>
      <c r="BT7" s="38">
        <f t="shared" si="13"/>
        <v>699</v>
      </c>
      <c r="BU7" s="39">
        <v>3</v>
      </c>
      <c r="BV7" s="39">
        <v>96</v>
      </c>
      <c r="BW7" s="39">
        <v>1</v>
      </c>
      <c r="BX7" s="39">
        <v>41</v>
      </c>
      <c r="CD7" s="27"/>
      <c r="CE7" s="27"/>
      <c r="CF7" s="27"/>
      <c r="CP7">
        <v>1099</v>
      </c>
      <c r="CR7" s="24">
        <v>0.28699999999999998</v>
      </c>
      <c r="CS7" s="24">
        <v>5.8000000000000003E-2</v>
      </c>
      <c r="CT7" s="24">
        <f>CR7+CS7</f>
        <v>0.34499999999999997</v>
      </c>
      <c r="CX7" s="28">
        <v>221424</v>
      </c>
    </row>
    <row r="8" spans="1:102" ht="13.5" customHeight="1" x14ac:dyDescent="0.35">
      <c r="A8" s="92" t="s">
        <v>26</v>
      </c>
      <c r="B8" s="70">
        <f>'[1]Демо+РИК_Разделы 1,3'!DJ7</f>
        <v>0.69082323631938025</v>
      </c>
      <c r="C8" s="71">
        <f t="shared" si="0"/>
        <v>0.09</v>
      </c>
      <c r="D8" s="108">
        <f t="shared" si="1"/>
        <v>0.95673330744799423</v>
      </c>
      <c r="E8" s="167">
        <f t="shared" si="2"/>
        <v>882875.6</v>
      </c>
      <c r="F8" s="108">
        <f t="shared" si="3"/>
        <v>5.5</v>
      </c>
      <c r="G8" s="108">
        <f t="shared" si="4"/>
        <v>11</v>
      </c>
      <c r="H8" s="164">
        <f t="shared" si="5"/>
        <v>5.4639254138958551E-2</v>
      </c>
      <c r="I8" s="168">
        <f t="shared" si="6"/>
        <v>2.4369137270445238E-2</v>
      </c>
      <c r="J8" s="169">
        <f t="shared" si="7"/>
        <v>1.7240465242088179</v>
      </c>
      <c r="K8" s="170">
        <f t="shared" si="8"/>
        <v>0.22253967394247956</v>
      </c>
      <c r="L8" s="164">
        <f t="shared" si="9"/>
        <v>8.6158880054079831E-2</v>
      </c>
      <c r="M8" s="107">
        <f t="shared" si="10"/>
        <v>2.945055084732298</v>
      </c>
      <c r="N8" s="108">
        <f t="shared" si="11"/>
        <v>9.9572426340846594</v>
      </c>
      <c r="O8" s="35"/>
      <c r="Q8" s="22"/>
      <c r="R8" s="53" t="s">
        <v>26</v>
      </c>
      <c r="S8" s="40">
        <v>50</v>
      </c>
      <c r="T8" s="119">
        <f>[2]КДН_Свод!M7</f>
        <v>8591736</v>
      </c>
      <c r="U8" s="120">
        <f>'[1]Демо+РИК_Разделы 1,3'!P7</f>
        <v>1573485</v>
      </c>
      <c r="V8" s="120">
        <f>'[1]Демо+РИК_Разделы 1,3'!X7</f>
        <v>639437</v>
      </c>
      <c r="W8" s="120">
        <f>'[1]Демо+РИК_Разделы 1,3'!AE7</f>
        <v>449075</v>
      </c>
      <c r="X8" s="120">
        <f>'[1]Демо+РИК_Разделы 1,3'!AK7</f>
        <v>73852</v>
      </c>
      <c r="Y8" s="182">
        <f>'[1]Демо+РИК_Разделы 1,3'!BR7</f>
        <v>1118</v>
      </c>
      <c r="Z8" s="121">
        <v>0.09</v>
      </c>
      <c r="AA8" s="122">
        <f>[2]КДН_Свод!H7</f>
        <v>8555</v>
      </c>
      <c r="AB8" s="123">
        <f t="shared" si="14"/>
        <v>9.9572426340846594</v>
      </c>
      <c r="AC8" s="123">
        <f>[3]Лист2!B6</f>
        <v>4634</v>
      </c>
      <c r="AD8" s="124">
        <f t="shared" si="15"/>
        <v>2.945055084732298</v>
      </c>
      <c r="AE8" s="125">
        <v>822</v>
      </c>
      <c r="AF8" s="124">
        <f t="shared" si="16"/>
        <v>0.95673330744799423</v>
      </c>
      <c r="AG8" s="123">
        <f>[2]КДН_Свод!AC7</f>
        <v>882875.6</v>
      </c>
      <c r="AH8" s="118">
        <v>5.5</v>
      </c>
      <c r="AI8" s="136">
        <v>11</v>
      </c>
      <c r="AJ8" s="142">
        <v>383472</v>
      </c>
      <c r="AK8" s="134">
        <f t="shared" si="17"/>
        <v>5.4639254138958551E-2</v>
      </c>
      <c r="AL8" s="147">
        <v>3967</v>
      </c>
      <c r="AM8" s="147">
        <v>25545</v>
      </c>
      <c r="AN8" s="151">
        <f t="shared" si="18"/>
        <v>29512</v>
      </c>
      <c r="AO8" s="224">
        <f>[4]Данные!$E$45</f>
        <v>1211040</v>
      </c>
      <c r="AP8" s="231">
        <f t="shared" si="19"/>
        <v>2.4369137270445238E-2</v>
      </c>
      <c r="AQ8" s="233">
        <v>28572</v>
      </c>
      <c r="AR8" s="227">
        <f t="shared" si="20"/>
        <v>1.8158419050705917E-2</v>
      </c>
      <c r="AS8" s="154">
        <v>63738</v>
      </c>
      <c r="AT8" s="154">
        <v>36970</v>
      </c>
      <c r="AU8" s="160">
        <f t="shared" si="12"/>
        <v>1.7240465242088179</v>
      </c>
      <c r="AV8" s="163">
        <v>16435</v>
      </c>
      <c r="AW8" s="164">
        <f t="shared" si="21"/>
        <v>0.22253967394247956</v>
      </c>
      <c r="AX8" s="166">
        <v>778109</v>
      </c>
      <c r="AY8" s="166">
        <v>67041</v>
      </c>
      <c r="AZ8" s="221">
        <f t="shared" si="22"/>
        <v>8.6158880054079831E-2</v>
      </c>
      <c r="BB8" s="38">
        <v>1744</v>
      </c>
      <c r="BC8" s="38">
        <v>549</v>
      </c>
      <c r="BD8" s="38">
        <v>598</v>
      </c>
      <c r="BE8" s="38">
        <v>0</v>
      </c>
      <c r="BF8" s="38">
        <v>1287</v>
      </c>
      <c r="BG8" s="38">
        <v>465</v>
      </c>
      <c r="BH8" s="38">
        <v>0</v>
      </c>
      <c r="BI8" s="38">
        <v>917</v>
      </c>
      <c r="BJ8" s="38">
        <v>87</v>
      </c>
      <c r="BK8" s="38">
        <v>62</v>
      </c>
      <c r="BL8" s="38">
        <v>601</v>
      </c>
      <c r="BM8" s="38">
        <v>198</v>
      </c>
      <c r="BN8" s="38">
        <v>501</v>
      </c>
      <c r="BO8" s="38">
        <v>15343</v>
      </c>
      <c r="BP8" s="38">
        <v>103</v>
      </c>
      <c r="BQ8" s="38">
        <v>95</v>
      </c>
      <c r="BR8" s="38">
        <v>0</v>
      </c>
      <c r="BS8" s="38">
        <v>62</v>
      </c>
      <c r="BT8" s="38">
        <f t="shared" si="13"/>
        <v>1195</v>
      </c>
      <c r="BU8" s="39">
        <v>8</v>
      </c>
      <c r="BV8" s="39">
        <v>133</v>
      </c>
      <c r="BW8" s="39">
        <v>86</v>
      </c>
      <c r="BX8" s="39">
        <v>20</v>
      </c>
      <c r="CD8" s="27"/>
      <c r="CE8" s="27"/>
      <c r="CF8" s="27"/>
      <c r="CP8">
        <v>1151</v>
      </c>
      <c r="CR8" s="24">
        <v>0.29899999999999999</v>
      </c>
      <c r="CS8" s="24">
        <v>0.106</v>
      </c>
      <c r="CT8" s="24">
        <f t="shared" si="23"/>
        <v>0.40499999999999997</v>
      </c>
      <c r="CX8" s="28">
        <v>320442</v>
      </c>
    </row>
    <row r="9" spans="1:102" ht="12.75" customHeight="1" x14ac:dyDescent="0.35">
      <c r="A9" s="92" t="s">
        <v>27</v>
      </c>
      <c r="B9" s="70">
        <f>'[1]Демо+РИК_Разделы 1,3'!DJ8</f>
        <v>1.265690324445264</v>
      </c>
      <c r="C9" s="71">
        <f t="shared" si="0"/>
        <v>0.61</v>
      </c>
      <c r="D9" s="108">
        <f t="shared" si="1"/>
        <v>152.95846573628481</v>
      </c>
      <c r="E9" s="167">
        <f t="shared" si="2"/>
        <v>597430.6</v>
      </c>
      <c r="F9" s="108">
        <f t="shared" si="3"/>
        <v>8</v>
      </c>
      <c r="G9" s="108">
        <f t="shared" si="4"/>
        <v>4.9000000000000004</v>
      </c>
      <c r="H9" s="164">
        <f t="shared" si="5"/>
        <v>0.10167216851213054</v>
      </c>
      <c r="I9" s="168">
        <f t="shared" si="6"/>
        <v>2.5187462861131285E-2</v>
      </c>
      <c r="J9" s="169">
        <f t="shared" si="7"/>
        <v>1.64440683182028</v>
      </c>
      <c r="K9" s="170">
        <f t="shared" si="8"/>
        <v>0.16576960715783587</v>
      </c>
      <c r="L9" s="164">
        <f t="shared" si="9"/>
        <v>7.7333123425692693E-2</v>
      </c>
      <c r="M9" s="107">
        <f t="shared" si="10"/>
        <v>0.74579390508651378</v>
      </c>
      <c r="N9" s="108">
        <f t="shared" si="11"/>
        <v>12.583485651484173</v>
      </c>
      <c r="O9" s="35"/>
      <c r="Q9" s="22"/>
      <c r="R9" s="53" t="s">
        <v>27</v>
      </c>
      <c r="S9" s="40">
        <v>52</v>
      </c>
      <c r="T9" s="119">
        <f>[2]КДН_Свод!M8</f>
        <v>3081817</v>
      </c>
      <c r="U9" s="120">
        <f>'[1]Демо+РИК_Разделы 1,3'!P8</f>
        <v>602043</v>
      </c>
      <c r="V9" s="120">
        <f>'[1]Демо+РИК_Разделы 1,3'!X8</f>
        <v>225963</v>
      </c>
      <c r="W9" s="120">
        <f>'[1]Демо+РИК_Разделы 1,3'!AE8</f>
        <v>160250</v>
      </c>
      <c r="X9" s="120">
        <f>'[1]Демо+РИК_Разделы 1,3'!AK8</f>
        <v>28612</v>
      </c>
      <c r="Y9" s="182">
        <f>'[1]Демо+РИК_Разделы 1,3'!BR8</f>
        <v>876</v>
      </c>
      <c r="Z9" s="121">
        <v>0.61</v>
      </c>
      <c r="AA9" s="122">
        <f>[2]КДН_Свод!H8</f>
        <v>3878</v>
      </c>
      <c r="AB9" s="123">
        <f t="shared" si="14"/>
        <v>12.583485651484173</v>
      </c>
      <c r="AC9" s="123">
        <f>[3]Лист2!B7</f>
        <v>449</v>
      </c>
      <c r="AD9" s="124">
        <f t="shared" si="15"/>
        <v>0.74579390508651378</v>
      </c>
      <c r="AE9" s="126">
        <v>47139</v>
      </c>
      <c r="AF9" s="124">
        <f t="shared" si="16"/>
        <v>152.95846573628481</v>
      </c>
      <c r="AG9" s="123">
        <f>[2]КДН_Свод!AC8</f>
        <v>597430.6</v>
      </c>
      <c r="AH9" s="128">
        <v>8</v>
      </c>
      <c r="AI9" s="136">
        <v>4.9000000000000004</v>
      </c>
      <c r="AJ9" s="144">
        <v>252124</v>
      </c>
      <c r="AK9" s="134">
        <f t="shared" si="17"/>
        <v>0.10167216851213054</v>
      </c>
      <c r="AL9" s="147">
        <v>3611</v>
      </c>
      <c r="AM9" s="147">
        <v>9741</v>
      </c>
      <c r="AN9" s="151">
        <f t="shared" si="18"/>
        <v>13352</v>
      </c>
      <c r="AO9" s="224">
        <f>[4]Данные!$E$50</f>
        <v>530105</v>
      </c>
      <c r="AP9" s="231">
        <f t="shared" si="19"/>
        <v>2.5187462861131285E-2</v>
      </c>
      <c r="AQ9" s="233">
        <v>13055</v>
      </c>
      <c r="AR9" s="227">
        <f t="shared" si="20"/>
        <v>2.168449761894084E-2</v>
      </c>
      <c r="AS9" s="154">
        <v>21374</v>
      </c>
      <c r="AT9" s="154">
        <v>12998</v>
      </c>
      <c r="AU9" s="160">
        <f t="shared" si="12"/>
        <v>1.64440683182028</v>
      </c>
      <c r="AV9" s="163">
        <v>4743</v>
      </c>
      <c r="AW9" s="164">
        <f t="shared" si="21"/>
        <v>0.16576960715783587</v>
      </c>
      <c r="AX9" s="166">
        <v>317600</v>
      </c>
      <c r="AY9" s="166">
        <v>24561</v>
      </c>
      <c r="AZ9" s="221">
        <f t="shared" si="22"/>
        <v>7.7333123425692693E-2</v>
      </c>
      <c r="BB9" s="38">
        <v>987</v>
      </c>
      <c r="BC9" s="38">
        <v>251</v>
      </c>
      <c r="BD9" s="38">
        <v>339</v>
      </c>
      <c r="BE9" s="38">
        <v>53</v>
      </c>
      <c r="BF9" s="38">
        <v>608</v>
      </c>
      <c r="BG9" s="38">
        <v>217</v>
      </c>
      <c r="BH9" s="38">
        <v>5</v>
      </c>
      <c r="BI9" s="38">
        <v>470</v>
      </c>
      <c r="BJ9" s="38">
        <v>18</v>
      </c>
      <c r="BK9" s="38">
        <v>45</v>
      </c>
      <c r="BL9" s="38">
        <v>746</v>
      </c>
      <c r="BM9" s="38">
        <v>822</v>
      </c>
      <c r="BN9" s="38">
        <v>683</v>
      </c>
      <c r="BO9" s="38">
        <v>8513</v>
      </c>
      <c r="BP9" s="38">
        <v>56</v>
      </c>
      <c r="BQ9" s="38">
        <v>32</v>
      </c>
      <c r="BR9" s="38">
        <v>18</v>
      </c>
      <c r="BS9" s="38">
        <v>45</v>
      </c>
      <c r="BT9" s="38">
        <f t="shared" si="13"/>
        <v>736</v>
      </c>
      <c r="BU9" s="39">
        <v>8</v>
      </c>
      <c r="BV9" s="39">
        <v>72</v>
      </c>
      <c r="BW9" s="39">
        <v>151</v>
      </c>
      <c r="BX9" s="39">
        <v>20</v>
      </c>
      <c r="CD9" s="27"/>
      <c r="CE9" s="27"/>
      <c r="CF9" s="27"/>
      <c r="CP9">
        <v>806</v>
      </c>
      <c r="CR9" s="15">
        <v>0.31</v>
      </c>
      <c r="CS9" s="24">
        <v>6.9000000000000006E-2</v>
      </c>
      <c r="CT9" s="24">
        <f t="shared" si="23"/>
        <v>0.379</v>
      </c>
      <c r="CX9" s="28">
        <v>121513</v>
      </c>
    </row>
    <row r="10" spans="1:102" ht="12.75" customHeight="1" x14ac:dyDescent="0.35">
      <c r="A10" s="92" t="s">
        <v>28</v>
      </c>
      <c r="B10" s="70">
        <f>'[1]Демо+РИК_Разделы 1,3'!DJ9</f>
        <v>1.0063725672294024</v>
      </c>
      <c r="C10" s="71">
        <f t="shared" si="0"/>
        <v>0.47</v>
      </c>
      <c r="D10" s="108">
        <f t="shared" si="1"/>
        <v>42.91645820405072</v>
      </c>
      <c r="E10" s="167">
        <f t="shared" si="2"/>
        <v>581018.30000000005</v>
      </c>
      <c r="F10" s="108">
        <f t="shared" si="3"/>
        <v>11.3</v>
      </c>
      <c r="G10" s="108">
        <f t="shared" si="4"/>
        <v>22.3</v>
      </c>
      <c r="H10" s="164">
        <f t="shared" si="5"/>
        <v>7.904397740277197E-2</v>
      </c>
      <c r="I10" s="168">
        <f t="shared" si="6"/>
        <v>1.4971600993965212E-2</v>
      </c>
      <c r="J10" s="169">
        <f t="shared" si="7"/>
        <v>1.6221918202764978</v>
      </c>
      <c r="K10" s="170">
        <f t="shared" si="8"/>
        <v>0.20658812535460402</v>
      </c>
      <c r="L10" s="164">
        <f t="shared" si="9"/>
        <v>0.10326234158719297</v>
      </c>
      <c r="M10" s="107">
        <f t="shared" si="10"/>
        <v>0.20093680453070281</v>
      </c>
      <c r="N10" s="108">
        <f t="shared" si="11"/>
        <v>9.938209175504408</v>
      </c>
      <c r="O10" s="35"/>
      <c r="Q10" s="22"/>
      <c r="R10" s="53" t="s">
        <v>28</v>
      </c>
      <c r="S10" s="40">
        <v>54</v>
      </c>
      <c r="T10" s="119">
        <f>[2]КДН_Свод!M9</f>
        <v>2794266</v>
      </c>
      <c r="U10" s="120">
        <f>'[1]Демо+РИК_Разделы 1,3'!P9</f>
        <v>592226</v>
      </c>
      <c r="V10" s="120">
        <f>'[1]Демо+РИК_Разделы 1,3'!X9</f>
        <v>232093</v>
      </c>
      <c r="W10" s="120">
        <f>'[1]Демо+РИК_Разделы 1,3'!AE9</f>
        <v>164160</v>
      </c>
      <c r="X10" s="120">
        <f>'[1]Демо+РИК_Разделы 1,3'!AK9</f>
        <v>29963</v>
      </c>
      <c r="Y10" s="182">
        <f>'[1]Демо+РИК_Разделы 1,3'!BR9</f>
        <v>704</v>
      </c>
      <c r="Z10" s="121">
        <v>0.47</v>
      </c>
      <c r="AA10" s="122">
        <f>[2]КДН_Свод!H9</f>
        <v>2777</v>
      </c>
      <c r="AB10" s="123">
        <f t="shared" si="14"/>
        <v>9.938209175504408</v>
      </c>
      <c r="AC10" s="123">
        <f>[3]Лист2!B8</f>
        <v>119</v>
      </c>
      <c r="AD10" s="124">
        <f t="shared" si="15"/>
        <v>0.20093680453070281</v>
      </c>
      <c r="AE10" s="129">
        <v>11992</v>
      </c>
      <c r="AF10" s="124">
        <f t="shared" si="16"/>
        <v>42.91645820405072</v>
      </c>
      <c r="AG10" s="123">
        <f>[2]КДН_Свод!AC9</f>
        <v>581018.30000000005</v>
      </c>
      <c r="AH10" s="118">
        <v>11.3</v>
      </c>
      <c r="AI10" s="136">
        <v>22.3</v>
      </c>
      <c r="AJ10" s="142">
        <v>174058</v>
      </c>
      <c r="AK10" s="134">
        <f t="shared" si="17"/>
        <v>7.904397740277197E-2</v>
      </c>
      <c r="AL10" s="147">
        <v>485</v>
      </c>
      <c r="AM10" s="147">
        <v>6263</v>
      </c>
      <c r="AN10" s="151">
        <f t="shared" si="18"/>
        <v>6748</v>
      </c>
      <c r="AO10" s="224">
        <f>[4]Данные!$E$55</f>
        <v>450720</v>
      </c>
      <c r="AP10" s="231">
        <f t="shared" si="19"/>
        <v>1.4971600993965212E-2</v>
      </c>
      <c r="AQ10" s="233">
        <v>11528</v>
      </c>
      <c r="AR10" s="227">
        <f t="shared" si="20"/>
        <v>1.9465541870839848E-2</v>
      </c>
      <c r="AS10" s="154">
        <v>22529</v>
      </c>
      <c r="AT10" s="154">
        <v>13888</v>
      </c>
      <c r="AU10" s="160">
        <f t="shared" si="12"/>
        <v>1.6221918202764978</v>
      </c>
      <c r="AV10" s="163">
        <v>6190</v>
      </c>
      <c r="AW10" s="164">
        <f t="shared" si="21"/>
        <v>0.20658812535460402</v>
      </c>
      <c r="AX10" s="166">
        <v>280596</v>
      </c>
      <c r="AY10" s="166">
        <v>28975</v>
      </c>
      <c r="AZ10" s="221">
        <f t="shared" si="22"/>
        <v>0.10326234158719297</v>
      </c>
      <c r="BB10" s="38">
        <v>872</v>
      </c>
      <c r="BC10" s="38">
        <v>375</v>
      </c>
      <c r="BD10" s="38">
        <v>283</v>
      </c>
      <c r="BE10" s="38">
        <v>43</v>
      </c>
      <c r="BF10" s="38">
        <v>437</v>
      </c>
      <c r="BG10" s="38">
        <v>142</v>
      </c>
      <c r="BH10" s="38">
        <v>3</v>
      </c>
      <c r="BI10" s="38">
        <v>561</v>
      </c>
      <c r="BJ10" s="38">
        <v>2</v>
      </c>
      <c r="BK10" s="38">
        <v>21</v>
      </c>
      <c r="BL10" s="38">
        <v>660</v>
      </c>
      <c r="BM10" s="38">
        <v>882</v>
      </c>
      <c r="BN10" s="38">
        <v>469</v>
      </c>
      <c r="BO10" s="38">
        <v>7891</v>
      </c>
      <c r="BP10" s="38">
        <v>37</v>
      </c>
      <c r="BQ10" s="38">
        <v>17</v>
      </c>
      <c r="BR10" s="38">
        <v>13</v>
      </c>
      <c r="BS10" s="38">
        <v>21</v>
      </c>
      <c r="BT10" s="38">
        <f t="shared" si="13"/>
        <v>497</v>
      </c>
      <c r="BU10" s="39">
        <v>7</v>
      </c>
      <c r="BV10" s="39">
        <v>113</v>
      </c>
      <c r="BW10" s="39">
        <v>90</v>
      </c>
      <c r="BX10" s="39">
        <v>4</v>
      </c>
      <c r="CD10" s="27"/>
      <c r="CE10" s="27"/>
      <c r="CF10" s="27"/>
      <c r="CP10">
        <v>602</v>
      </c>
      <c r="CR10" s="24">
        <v>0.30399999999999999</v>
      </c>
      <c r="CS10" s="24">
        <v>4.5999999999999999E-2</v>
      </c>
      <c r="CT10" s="24">
        <f t="shared" si="23"/>
        <v>0.35</v>
      </c>
      <c r="CX10" s="28">
        <v>99373</v>
      </c>
    </row>
    <row r="11" spans="1:102" ht="12" customHeight="1" x14ac:dyDescent="0.35">
      <c r="A11" s="92" t="s">
        <v>29</v>
      </c>
      <c r="B11" s="70">
        <f>'[1]Демо+РИК_Разделы 1,3'!DJ10</f>
        <v>0.91691352800112846</v>
      </c>
      <c r="C11" s="71">
        <f t="shared" si="0"/>
        <v>0.41</v>
      </c>
      <c r="D11" s="108">
        <f t="shared" si="1"/>
        <v>98.098120581513527</v>
      </c>
      <c r="E11" s="167">
        <f t="shared" si="2"/>
        <v>418946.1</v>
      </c>
      <c r="F11" s="108">
        <f t="shared" si="3"/>
        <v>11.5</v>
      </c>
      <c r="G11" s="108">
        <f t="shared" si="4"/>
        <v>18.7</v>
      </c>
      <c r="H11" s="164">
        <f t="shared" si="5"/>
        <v>8.7742127812301118E-2</v>
      </c>
      <c r="I11" s="168">
        <f t="shared" si="6"/>
        <v>2.3952598444636465E-2</v>
      </c>
      <c r="J11" s="169">
        <f t="shared" si="7"/>
        <v>1.4445707788516202</v>
      </c>
      <c r="K11" s="170">
        <f t="shared" si="8"/>
        <v>0.13455717215115712</v>
      </c>
      <c r="L11" s="164">
        <f t="shared" si="9"/>
        <v>7.8116816066324465E-2</v>
      </c>
      <c r="M11" s="107">
        <f t="shared" si="10"/>
        <v>1.3268796727324024</v>
      </c>
      <c r="N11" s="108">
        <f t="shared" si="11"/>
        <v>9.0726121823282195</v>
      </c>
      <c r="O11" s="35"/>
      <c r="Q11" s="22"/>
      <c r="R11" s="53" t="s">
        <v>29</v>
      </c>
      <c r="S11" s="40">
        <v>58</v>
      </c>
      <c r="T11" s="119">
        <f>[2]КДН_Свод!M10</f>
        <v>1246609</v>
      </c>
      <c r="U11" s="120">
        <f>'[1]Демо+РИК_Разделы 1,3'!P10</f>
        <v>226848</v>
      </c>
      <c r="V11" s="120">
        <f>'[1]Демо+РИК_Разделы 1,3'!X10</f>
        <v>79460</v>
      </c>
      <c r="W11" s="120">
        <f>'[1]Демо+РИК_Разделы 1,3'!AE10</f>
        <v>56247</v>
      </c>
      <c r="X11" s="120">
        <f>'[1]Демо+РИК_Разделы 1,3'!AK10</f>
        <v>10241</v>
      </c>
      <c r="Y11" s="182">
        <f>'[1]Демо+РИК_Разделы 1,3'!BR10</f>
        <v>185</v>
      </c>
      <c r="Z11" s="121">
        <v>0.41</v>
      </c>
      <c r="AA11" s="122">
        <f>[2]КДН_Свод!H10</f>
        <v>1131</v>
      </c>
      <c r="AB11" s="123">
        <f t="shared" si="14"/>
        <v>9.0726121823282195</v>
      </c>
      <c r="AC11" s="123">
        <f>[3]Лист2!B9</f>
        <v>301</v>
      </c>
      <c r="AD11" s="124">
        <f t="shared" si="15"/>
        <v>1.3268796727324024</v>
      </c>
      <c r="AE11" s="129">
        <v>12229</v>
      </c>
      <c r="AF11" s="124">
        <f t="shared" si="16"/>
        <v>98.098120581513527</v>
      </c>
      <c r="AG11" s="123">
        <f>[2]КДН_Свод!AC10</f>
        <v>418946.1</v>
      </c>
      <c r="AH11" s="118">
        <v>11.5</v>
      </c>
      <c r="AI11" s="136">
        <v>18.7</v>
      </c>
      <c r="AJ11" s="142">
        <v>89476</v>
      </c>
      <c r="AK11" s="134">
        <f t="shared" si="17"/>
        <v>8.7742127812301118E-2</v>
      </c>
      <c r="AL11" s="147">
        <v>2819</v>
      </c>
      <c r="AM11" s="147">
        <v>2032</v>
      </c>
      <c r="AN11" s="151">
        <f t="shared" si="18"/>
        <v>4851</v>
      </c>
      <c r="AO11" s="224">
        <f>[4]Данные!$E$60</f>
        <v>202525</v>
      </c>
      <c r="AP11" s="231">
        <f t="shared" si="19"/>
        <v>2.3952598444636465E-2</v>
      </c>
      <c r="AQ11" s="233">
        <v>5027</v>
      </c>
      <c r="AR11" s="227">
        <f t="shared" si="20"/>
        <v>2.2160213006065736E-2</v>
      </c>
      <c r="AS11" s="154">
        <v>7623</v>
      </c>
      <c r="AT11" s="154">
        <v>5277</v>
      </c>
      <c r="AU11" s="160">
        <f t="shared" si="12"/>
        <v>1.4445707788516202</v>
      </c>
      <c r="AV11" s="163">
        <v>1378</v>
      </c>
      <c r="AW11" s="164">
        <f t="shared" si="21"/>
        <v>0.13455717215115712</v>
      </c>
      <c r="AX11" s="166">
        <v>133646</v>
      </c>
      <c r="AY11" s="166">
        <v>10440</v>
      </c>
      <c r="AZ11" s="221">
        <f t="shared" si="22"/>
        <v>7.8116816066324465E-2</v>
      </c>
      <c r="BB11" s="38">
        <v>287</v>
      </c>
      <c r="BC11" s="38">
        <v>72</v>
      </c>
      <c r="BD11" s="38">
        <v>83</v>
      </c>
      <c r="BE11" s="38">
        <v>16</v>
      </c>
      <c r="BF11" s="38">
        <v>103</v>
      </c>
      <c r="BG11" s="38">
        <v>51</v>
      </c>
      <c r="BH11" s="38">
        <v>2</v>
      </c>
      <c r="BI11" s="38">
        <v>137</v>
      </c>
      <c r="BJ11" s="38">
        <v>15</v>
      </c>
      <c r="BK11" s="38">
        <v>4</v>
      </c>
      <c r="BL11" s="38">
        <v>123</v>
      </c>
      <c r="BM11" s="38">
        <v>213</v>
      </c>
      <c r="BN11" s="38">
        <v>133</v>
      </c>
      <c r="BO11" s="38">
        <v>2335</v>
      </c>
      <c r="BP11" s="38">
        <v>20</v>
      </c>
      <c r="BQ11" s="38">
        <v>15</v>
      </c>
      <c r="BR11" s="38"/>
      <c r="BS11" s="38">
        <v>4</v>
      </c>
      <c r="BT11" s="38">
        <f t="shared" si="13"/>
        <v>215</v>
      </c>
      <c r="BU11" s="39">
        <v>3</v>
      </c>
      <c r="BV11" s="39">
        <v>29</v>
      </c>
      <c r="BW11" s="39">
        <v>6</v>
      </c>
      <c r="BX11" s="39">
        <v>1</v>
      </c>
      <c r="CD11" s="27"/>
      <c r="CE11" s="27"/>
      <c r="CF11" s="27"/>
      <c r="CP11">
        <v>261</v>
      </c>
      <c r="CR11" s="24">
        <v>0.29399999999999998</v>
      </c>
      <c r="CS11" s="24">
        <v>5.0999999999999997E-2</v>
      </c>
      <c r="CT11" s="24">
        <f t="shared" si="23"/>
        <v>0.34499999999999997</v>
      </c>
      <c r="CX11" s="28">
        <v>46818</v>
      </c>
    </row>
    <row r="12" spans="1:102" ht="12" customHeight="1" x14ac:dyDescent="0.35">
      <c r="A12" s="92" t="s">
        <v>30</v>
      </c>
      <c r="B12" s="70">
        <f>'[1]Демо+РИК_Разделы 1,3'!DJ11</f>
        <v>0.95123079562052648</v>
      </c>
      <c r="C12" s="71">
        <f t="shared" si="0"/>
        <v>0.05</v>
      </c>
      <c r="D12" s="108">
        <f t="shared" si="1"/>
        <v>74.411406373587127</v>
      </c>
      <c r="E12" s="167">
        <f t="shared" si="2"/>
        <v>677759.9</v>
      </c>
      <c r="F12" s="108">
        <f t="shared" si="3"/>
        <v>11.5</v>
      </c>
      <c r="G12" s="108">
        <f t="shared" si="4"/>
        <v>11.3</v>
      </c>
      <c r="H12" s="164">
        <f t="shared" si="5"/>
        <v>9.3709885796691705E-2</v>
      </c>
      <c r="I12" s="168">
        <f t="shared" si="6"/>
        <v>1.9134799540656364E-2</v>
      </c>
      <c r="J12" s="169">
        <f t="shared" si="7"/>
        <v>1.554209723869219</v>
      </c>
      <c r="K12" s="170">
        <f t="shared" si="8"/>
        <v>5.1964703220454031E-2</v>
      </c>
      <c r="L12" s="164">
        <f t="shared" si="9"/>
        <v>0.10995110524955787</v>
      </c>
      <c r="M12" s="107">
        <f t="shared" si="10"/>
        <v>7.623707651603491E-2</v>
      </c>
      <c r="N12" s="108">
        <f t="shared" si="11"/>
        <v>25.853628198913071</v>
      </c>
      <c r="O12" s="35"/>
      <c r="Q12" s="22"/>
      <c r="R12" s="53" t="s">
        <v>30</v>
      </c>
      <c r="S12" s="40">
        <v>59</v>
      </c>
      <c r="T12" s="119">
        <f>[2]КДН_Свод!M11</f>
        <v>2508352</v>
      </c>
      <c r="U12" s="120">
        <f>'[1]Демо+РИК_Разделы 1,3'!P11</f>
        <v>577147</v>
      </c>
      <c r="V12" s="120">
        <f>'[1]Демо+РИК_Разделы 1,3'!X11</f>
        <v>212109</v>
      </c>
      <c r="W12" s="120">
        <f>'[1]Демо+РИК_Разделы 1,3'!AE11</f>
        <v>149322</v>
      </c>
      <c r="X12" s="120">
        <f>'[1]Демо+РИК_Разделы 1,3'!AK11</f>
        <v>26518</v>
      </c>
      <c r="Y12" s="182">
        <f>'[1]Демо+РИК_Разделы 1,3'!BR11</f>
        <v>1078</v>
      </c>
      <c r="Z12" s="121">
        <v>0.05</v>
      </c>
      <c r="AA12" s="122">
        <f>[2]КДН_Свод!H11</f>
        <v>6485</v>
      </c>
      <c r="AB12" s="123">
        <f t="shared" si="14"/>
        <v>25.853628198913071</v>
      </c>
      <c r="AC12" s="123">
        <f>[3]Лист2!B10</f>
        <v>44</v>
      </c>
      <c r="AD12" s="124">
        <f t="shared" si="15"/>
        <v>7.623707651603491E-2</v>
      </c>
      <c r="AE12" s="126">
        <v>18665</v>
      </c>
      <c r="AF12" s="124">
        <f t="shared" si="16"/>
        <v>74.411406373587127</v>
      </c>
      <c r="AG12" s="123">
        <f>[2]КДН_Свод!AC11</f>
        <v>677759.9</v>
      </c>
      <c r="AH12" s="118">
        <v>11.5</v>
      </c>
      <c r="AI12" s="136">
        <v>11.3</v>
      </c>
      <c r="AJ12" s="142">
        <v>180973</v>
      </c>
      <c r="AK12" s="134">
        <f t="shared" si="17"/>
        <v>9.3709885796691705E-2</v>
      </c>
      <c r="AL12" s="147">
        <v>7554</v>
      </c>
      <c r="AM12" s="147">
        <v>2327</v>
      </c>
      <c r="AN12" s="151">
        <f t="shared" si="18"/>
        <v>9881</v>
      </c>
      <c r="AO12" s="224">
        <f>[4]Данные!$E$15</f>
        <v>516389</v>
      </c>
      <c r="AP12" s="231">
        <f t="shared" si="19"/>
        <v>1.9134799540656364E-2</v>
      </c>
      <c r="AQ12" s="233">
        <v>9940</v>
      </c>
      <c r="AR12" s="227">
        <f t="shared" si="20"/>
        <v>1.7222648649304249E-2</v>
      </c>
      <c r="AS12" s="154">
        <v>18349</v>
      </c>
      <c r="AT12" s="154">
        <v>11806</v>
      </c>
      <c r="AU12" s="160">
        <f t="shared" si="12"/>
        <v>1.554209723869219</v>
      </c>
      <c r="AV12" s="163">
        <v>1378</v>
      </c>
      <c r="AW12" s="164">
        <f t="shared" si="21"/>
        <v>5.1964703220454031E-2</v>
      </c>
      <c r="AX12" s="166">
        <v>297987</v>
      </c>
      <c r="AY12" s="166">
        <v>32764</v>
      </c>
      <c r="AZ12" s="221">
        <f t="shared" si="22"/>
        <v>0.10995110524955787</v>
      </c>
      <c r="BB12" s="38">
        <v>1220</v>
      </c>
      <c r="BC12" s="38">
        <v>334</v>
      </c>
      <c r="BD12" s="38">
        <v>430</v>
      </c>
      <c r="BE12" s="38">
        <v>5</v>
      </c>
      <c r="BF12" s="38">
        <v>422</v>
      </c>
      <c r="BG12" s="38">
        <v>252</v>
      </c>
      <c r="BH12" s="38">
        <v>0</v>
      </c>
      <c r="BI12" s="38">
        <v>691</v>
      </c>
      <c r="BJ12" s="38">
        <v>27</v>
      </c>
      <c r="BK12" s="38">
        <v>37</v>
      </c>
      <c r="BL12" s="38">
        <v>482</v>
      </c>
      <c r="BM12" s="38">
        <v>579</v>
      </c>
      <c r="BN12" s="38">
        <v>486</v>
      </c>
      <c r="BO12" s="38">
        <v>9234</v>
      </c>
      <c r="BP12" s="38">
        <v>31</v>
      </c>
      <c r="BQ12" s="38">
        <v>26</v>
      </c>
      <c r="BR12" s="38">
        <v>5</v>
      </c>
      <c r="BS12" s="38">
        <v>37</v>
      </c>
      <c r="BT12" s="38">
        <f t="shared" si="13"/>
        <v>886</v>
      </c>
      <c r="BU12" s="39">
        <v>28</v>
      </c>
      <c r="BV12" s="39">
        <v>158</v>
      </c>
      <c r="BW12" s="39">
        <v>10</v>
      </c>
      <c r="BX12" s="39">
        <v>18</v>
      </c>
      <c r="CD12" s="27"/>
      <c r="CE12" s="27"/>
      <c r="CF12" s="27"/>
      <c r="CP12">
        <v>1067</v>
      </c>
      <c r="CR12" s="15">
        <v>0.32</v>
      </c>
      <c r="CS12" s="24">
        <v>5.7000000000000002E-2</v>
      </c>
      <c r="CT12" s="24">
        <f t="shared" si="23"/>
        <v>0.377</v>
      </c>
      <c r="CX12" s="28">
        <v>114019</v>
      </c>
    </row>
    <row r="13" spans="1:102" ht="12" customHeight="1" x14ac:dyDescent="0.35">
      <c r="A13" s="92" t="s">
        <v>22</v>
      </c>
      <c r="B13" s="70">
        <f>'[1]Демо+РИК_Разделы 1,3'!DJ12</f>
        <v>2.4253981896806422</v>
      </c>
      <c r="C13" s="71">
        <f t="shared" si="0"/>
        <v>0.28999999999999998</v>
      </c>
      <c r="D13" s="108">
        <f t="shared" si="1"/>
        <v>91.836824396343886</v>
      </c>
      <c r="E13" s="167">
        <f t="shared" si="2"/>
        <v>699777.8</v>
      </c>
      <c r="F13" s="108">
        <f t="shared" si="3"/>
        <v>11.5</v>
      </c>
      <c r="G13" s="108">
        <f t="shared" si="4"/>
        <v>8</v>
      </c>
      <c r="H13" s="164">
        <f t="shared" si="5"/>
        <v>7.1636576629096144E-2</v>
      </c>
      <c r="I13" s="168">
        <f t="shared" si="6"/>
        <v>1.9739038172671135E-2</v>
      </c>
      <c r="J13" s="169">
        <f t="shared" si="7"/>
        <v>1.7345080763582965</v>
      </c>
      <c r="K13" s="170">
        <f t="shared" si="8"/>
        <v>0.23147638445447538</v>
      </c>
      <c r="L13" s="164">
        <f t="shared" si="9"/>
        <v>8.2357065999298776E-2</v>
      </c>
      <c r="M13" s="107">
        <f t="shared" si="10"/>
        <v>0.17727162848164166</v>
      </c>
      <c r="N13" s="108">
        <f t="shared" si="11"/>
        <v>13.51042483940231</v>
      </c>
      <c r="O13" s="35"/>
      <c r="Q13" s="22"/>
      <c r="R13" s="53" t="s">
        <v>22</v>
      </c>
      <c r="S13" s="40">
        <v>25</v>
      </c>
      <c r="T13" s="119">
        <f>[2]КДН_Свод!M12</f>
        <v>1820076</v>
      </c>
      <c r="U13" s="120">
        <f>'[1]Демо+РИК_Разделы 1,3'!P12</f>
        <v>372310</v>
      </c>
      <c r="V13" s="120">
        <f>'[1]Демо+РИК_Разделы 1,3'!X12</f>
        <v>141205</v>
      </c>
      <c r="W13" s="120">
        <f>'[1]Демо+РИК_Разделы 1,3'!AE12</f>
        <v>100013</v>
      </c>
      <c r="X13" s="120">
        <f>'[1]Демо+РИК_Разделы 1,3'!AK12</f>
        <v>18166</v>
      </c>
      <c r="Y13" s="182">
        <f>'[1]Демо+РИК_Разделы 1,3'!BR12</f>
        <v>704</v>
      </c>
      <c r="Z13" s="121">
        <v>0.28999999999999998</v>
      </c>
      <c r="AA13" s="122">
        <f>[2]КДН_Свод!H12</f>
        <v>2459</v>
      </c>
      <c r="AB13" s="123">
        <f t="shared" si="14"/>
        <v>13.51042483940231</v>
      </c>
      <c r="AC13" s="123">
        <f>[3]Лист2!B11</f>
        <v>66</v>
      </c>
      <c r="AD13" s="124">
        <f t="shared" si="15"/>
        <v>0.17727162848164166</v>
      </c>
      <c r="AE13" s="126">
        <v>16715</v>
      </c>
      <c r="AF13" s="124">
        <f t="shared" si="16"/>
        <v>91.836824396343886</v>
      </c>
      <c r="AG13" s="123">
        <f>[2]КДН_Свод!AC12</f>
        <v>699777.8</v>
      </c>
      <c r="AH13" s="118">
        <v>11.5</v>
      </c>
      <c r="AI13" s="136">
        <v>8</v>
      </c>
      <c r="AJ13" s="142">
        <v>103713</v>
      </c>
      <c r="AK13" s="134">
        <f t="shared" si="17"/>
        <v>7.1636576629096144E-2</v>
      </c>
      <c r="AL13" s="147">
        <v>1215</v>
      </c>
      <c r="AM13" s="147">
        <v>5408</v>
      </c>
      <c r="AN13" s="151">
        <f t="shared" si="18"/>
        <v>6623</v>
      </c>
      <c r="AO13" s="224">
        <f>[4]Данные!$E$20</f>
        <v>335528</v>
      </c>
      <c r="AP13" s="231">
        <f t="shared" si="19"/>
        <v>1.9739038172671135E-2</v>
      </c>
      <c r="AQ13" s="233">
        <v>6643</v>
      </c>
      <c r="AR13" s="227">
        <f t="shared" si="20"/>
        <v>1.7842658000053718E-2</v>
      </c>
      <c r="AS13" s="154">
        <v>17718</v>
      </c>
      <c r="AT13" s="154">
        <v>10215</v>
      </c>
      <c r="AU13" s="160">
        <f t="shared" si="12"/>
        <v>1.7345080763582965</v>
      </c>
      <c r="AV13" s="163">
        <v>4205</v>
      </c>
      <c r="AW13" s="164">
        <f t="shared" si="21"/>
        <v>0.23147638445447538</v>
      </c>
      <c r="AX13" s="166">
        <v>165426</v>
      </c>
      <c r="AY13" s="166">
        <v>13624</v>
      </c>
      <c r="AZ13" s="221">
        <f t="shared" si="22"/>
        <v>8.2357065999298776E-2</v>
      </c>
      <c r="BB13" s="38">
        <v>687</v>
      </c>
      <c r="BC13" s="38">
        <v>206</v>
      </c>
      <c r="BD13" s="38">
        <v>200</v>
      </c>
      <c r="BE13" s="38">
        <v>17</v>
      </c>
      <c r="BF13" s="38">
        <v>217</v>
      </c>
      <c r="BG13" s="38">
        <v>64</v>
      </c>
      <c r="BH13" s="38">
        <v>1</v>
      </c>
      <c r="BI13" s="38">
        <v>398</v>
      </c>
      <c r="BJ13" s="38">
        <v>9</v>
      </c>
      <c r="BK13" s="38">
        <v>33</v>
      </c>
      <c r="BL13" s="38">
        <v>1250</v>
      </c>
      <c r="BM13" s="38">
        <v>221</v>
      </c>
      <c r="BN13" s="38">
        <v>1026</v>
      </c>
      <c r="BO13" s="38">
        <v>5236</v>
      </c>
      <c r="BP13" s="38">
        <v>37</v>
      </c>
      <c r="BQ13" s="38">
        <v>33</v>
      </c>
      <c r="BR13" s="38">
        <v>4</v>
      </c>
      <c r="BS13" s="38">
        <v>33</v>
      </c>
      <c r="BT13" s="38">
        <f t="shared" si="13"/>
        <v>481</v>
      </c>
      <c r="BU13" s="39">
        <v>9</v>
      </c>
      <c r="BV13" s="39">
        <v>100</v>
      </c>
      <c r="BW13" s="39">
        <v>0</v>
      </c>
      <c r="BX13" s="39">
        <v>6</v>
      </c>
      <c r="CD13" s="27"/>
      <c r="CE13" s="27"/>
      <c r="CF13" s="27"/>
      <c r="CP13">
        <v>475</v>
      </c>
      <c r="CR13" s="24">
        <v>0.33800000000000002</v>
      </c>
      <c r="CS13" s="24">
        <v>6.6000000000000003E-2</v>
      </c>
      <c r="CT13" s="24">
        <f t="shared" si="23"/>
        <v>0.40400000000000003</v>
      </c>
      <c r="CX13" s="28">
        <v>67548</v>
      </c>
    </row>
    <row r="14" spans="1:102" ht="12" customHeight="1" x14ac:dyDescent="0.35">
      <c r="A14" s="92" t="s">
        <v>34</v>
      </c>
      <c r="B14" s="70">
        <f>'[1]Демо+РИК_Разделы 1,3'!DJ13</f>
        <v>1.0031844676177197</v>
      </c>
      <c r="C14" s="71">
        <f t="shared" si="0"/>
        <v>0.56999999999999995</v>
      </c>
      <c r="D14" s="108">
        <f t="shared" si="1"/>
        <v>102.19318626379579</v>
      </c>
      <c r="E14" s="167">
        <f t="shared" si="2"/>
        <v>487276.4</v>
      </c>
      <c r="F14" s="108">
        <f t="shared" si="3"/>
        <v>11.8</v>
      </c>
      <c r="G14" s="108">
        <f t="shared" si="4"/>
        <v>15.5</v>
      </c>
      <c r="H14" s="164">
        <f t="shared" si="5"/>
        <v>0.12981352364407509</v>
      </c>
      <c r="I14" s="168">
        <f t="shared" si="6"/>
        <v>2.4213101093997796E-2</v>
      </c>
      <c r="J14" s="169">
        <f t="shared" si="7"/>
        <v>1.612317235268055</v>
      </c>
      <c r="K14" s="170">
        <f t="shared" si="8"/>
        <v>0.17379475459788879</v>
      </c>
      <c r="L14" s="164">
        <f t="shared" si="9"/>
        <v>9.4776869705446118E-2</v>
      </c>
      <c r="M14" s="107">
        <f t="shared" si="10"/>
        <v>1.7645757558609123</v>
      </c>
      <c r="N14" s="108">
        <f t="shared" si="11"/>
        <v>3.5815369017685446</v>
      </c>
      <c r="O14" s="35"/>
      <c r="Q14" s="22"/>
      <c r="R14" s="53" t="s">
        <v>34</v>
      </c>
      <c r="S14" s="38">
        <v>62</v>
      </c>
      <c r="T14" s="119">
        <f>[2]КДН_Свод!M13</f>
        <v>1088918</v>
      </c>
      <c r="U14" s="120">
        <f>'[1]Демо+РИК_Разделы 1,3'!P13</f>
        <v>194381</v>
      </c>
      <c r="V14" s="120">
        <f>'[1]Демо+РИК_Разделы 1,3'!X13</f>
        <v>71885</v>
      </c>
      <c r="W14" s="120">
        <f>'[1]Демо+РИК_Разделы 1,3'!AE13</f>
        <v>51585</v>
      </c>
      <c r="X14" s="120">
        <f>'[1]Демо+РИК_Разделы 1,3'!AK13</f>
        <v>9189</v>
      </c>
      <c r="Y14" s="182">
        <f>'[1]Демо+РИК_Разделы 1,3'!BR13</f>
        <v>190</v>
      </c>
      <c r="Z14" s="121">
        <v>0.56999999999999995</v>
      </c>
      <c r="AA14" s="122">
        <f>[2]КДН_Свод!H13</f>
        <v>390</v>
      </c>
      <c r="AB14" s="123">
        <f t="shared" si="14"/>
        <v>3.5815369017685446</v>
      </c>
      <c r="AC14" s="123">
        <f>[3]Лист2!B12</f>
        <v>343</v>
      </c>
      <c r="AD14" s="124">
        <f t="shared" si="15"/>
        <v>1.7645757558609123</v>
      </c>
      <c r="AE14" s="126">
        <v>11128</v>
      </c>
      <c r="AF14" s="124">
        <f t="shared" si="16"/>
        <v>102.19318626379579</v>
      </c>
      <c r="AG14" s="123">
        <f>[2]КДН_Свод!AC13</f>
        <v>487276.4</v>
      </c>
      <c r="AH14" s="118">
        <v>11.8</v>
      </c>
      <c r="AI14" s="136">
        <v>15.5</v>
      </c>
      <c r="AJ14" s="142">
        <v>116123</v>
      </c>
      <c r="AK14" s="134">
        <f t="shared" si="17"/>
        <v>0.12981352364407509</v>
      </c>
      <c r="AL14" s="147">
        <v>492</v>
      </c>
      <c r="AM14" s="147">
        <v>4012</v>
      </c>
      <c r="AN14" s="151">
        <f t="shared" si="18"/>
        <v>4504</v>
      </c>
      <c r="AO14" s="224">
        <f>[4]Данные!$E$65</f>
        <v>186015</v>
      </c>
      <c r="AP14" s="231">
        <f t="shared" si="19"/>
        <v>2.4213101093997796E-2</v>
      </c>
      <c r="AQ14" s="233">
        <v>4232</v>
      </c>
      <c r="AR14" s="227">
        <f t="shared" si="20"/>
        <v>2.1771675215170205E-2</v>
      </c>
      <c r="AS14" s="154">
        <v>7278</v>
      </c>
      <c r="AT14" s="154">
        <v>4514</v>
      </c>
      <c r="AU14" s="160">
        <f t="shared" si="12"/>
        <v>1.612317235268055</v>
      </c>
      <c r="AV14" s="163">
        <v>1597</v>
      </c>
      <c r="AW14" s="164">
        <f t="shared" si="21"/>
        <v>0.17379475459788879</v>
      </c>
      <c r="AX14" s="166">
        <v>100457</v>
      </c>
      <c r="AY14" s="166">
        <v>9521</v>
      </c>
      <c r="AZ14" s="221">
        <f t="shared" si="22"/>
        <v>9.4776869705446118E-2</v>
      </c>
      <c r="BB14" s="38">
        <v>303</v>
      </c>
      <c r="BC14" s="38">
        <v>105</v>
      </c>
      <c r="BD14" s="38">
        <v>107</v>
      </c>
      <c r="BE14" s="38">
        <v>9</v>
      </c>
      <c r="BF14" s="38">
        <v>120</v>
      </c>
      <c r="BG14" s="38">
        <v>49</v>
      </c>
      <c r="BH14" s="38">
        <v>0</v>
      </c>
      <c r="BI14" s="38">
        <v>171</v>
      </c>
      <c r="BJ14" s="38">
        <v>13</v>
      </c>
      <c r="BK14" s="38">
        <v>6</v>
      </c>
      <c r="BL14" s="38">
        <v>279</v>
      </c>
      <c r="BM14" s="38">
        <v>133</v>
      </c>
      <c r="BN14" s="38">
        <v>240</v>
      </c>
      <c r="BO14" s="38">
        <v>2011</v>
      </c>
      <c r="BP14" s="38">
        <v>16</v>
      </c>
      <c r="BQ14" s="38">
        <v>13</v>
      </c>
      <c r="BR14" s="38">
        <v>3</v>
      </c>
      <c r="BS14" s="38">
        <v>6</v>
      </c>
      <c r="BT14" s="38">
        <f t="shared" si="13"/>
        <v>198</v>
      </c>
      <c r="BU14" s="39">
        <v>9</v>
      </c>
      <c r="BV14" s="39">
        <v>77</v>
      </c>
      <c r="BW14" s="39">
        <v>0</v>
      </c>
      <c r="BX14" s="39">
        <v>4</v>
      </c>
      <c r="CD14" s="27"/>
      <c r="CE14" s="27"/>
      <c r="CF14" s="27"/>
      <c r="CP14">
        <v>180</v>
      </c>
      <c r="CR14" s="24">
        <v>0.36199999999999999</v>
      </c>
      <c r="CS14" s="24">
        <v>8.5999999999999993E-2</v>
      </c>
      <c r="CT14" s="24">
        <f t="shared" si="23"/>
        <v>0.44799999999999995</v>
      </c>
      <c r="CX14" s="28">
        <v>46111</v>
      </c>
    </row>
    <row r="15" spans="1:102" ht="14.25" customHeight="1" x14ac:dyDescent="0.35">
      <c r="A15" s="92" t="s">
        <v>23</v>
      </c>
      <c r="B15" s="70">
        <f>'[1]Демо+РИК_Разделы 1,3'!DJ14</f>
        <v>0.70273948418921861</v>
      </c>
      <c r="C15" s="71">
        <f t="shared" si="0"/>
        <v>0.3</v>
      </c>
      <c r="D15" s="108">
        <f t="shared" si="1"/>
        <v>68.238007418362727</v>
      </c>
      <c r="E15" s="167">
        <f t="shared" si="2"/>
        <v>367687.1</v>
      </c>
      <c r="F15" s="108">
        <f t="shared" si="3"/>
        <v>11.7</v>
      </c>
      <c r="G15" s="108">
        <f t="shared" si="4"/>
        <v>18.3</v>
      </c>
      <c r="H15" s="164">
        <f t="shared" si="5"/>
        <v>8.5413513374149014E-2</v>
      </c>
      <c r="I15" s="168">
        <f t="shared" si="6"/>
        <v>2.89402656013906E-2</v>
      </c>
      <c r="J15" s="169">
        <f t="shared" si="7"/>
        <v>1.3044476100031657</v>
      </c>
      <c r="K15" s="170">
        <f t="shared" si="8"/>
        <v>0.221661115289567</v>
      </c>
      <c r="L15" s="164">
        <f t="shared" si="9"/>
        <v>0.13481622219583383</v>
      </c>
      <c r="M15" s="107">
        <f t="shared" si="10"/>
        <v>1.0661072174773023</v>
      </c>
      <c r="N15" s="108">
        <f t="shared" si="11"/>
        <v>3.5763647255607007</v>
      </c>
      <c r="O15" s="35"/>
      <c r="Q15" s="22"/>
      <c r="R15" s="53" t="s">
        <v>23</v>
      </c>
      <c r="S15" s="40">
        <v>26</v>
      </c>
      <c r="T15" s="119">
        <f>[2]КДН_Свод!M14</f>
        <v>2891204</v>
      </c>
      <c r="U15" s="120">
        <f>'[1]Демо+РИК_Разделы 1,3'!P14</f>
        <v>583431</v>
      </c>
      <c r="V15" s="120">
        <f>'[1]Демо+РИК_Разделы 1,3'!X14</f>
        <v>217564</v>
      </c>
      <c r="W15" s="120">
        <f>'[1]Демо+РИК_Разделы 1,3'!AE14</f>
        <v>154291</v>
      </c>
      <c r="X15" s="120">
        <f>'[1]Демо+РИК_Разделы 1,3'!AK14</f>
        <v>27921</v>
      </c>
      <c r="Y15" s="182">
        <f>'[1]Демо+РИК_Разделы 1,3'!BR14</f>
        <v>399</v>
      </c>
      <c r="Z15" s="121">
        <v>0.3</v>
      </c>
      <c r="AA15" s="122">
        <f>[2]КДН_Свод!H14</f>
        <v>1034</v>
      </c>
      <c r="AB15" s="123">
        <f t="shared" si="14"/>
        <v>3.5763647255607007</v>
      </c>
      <c r="AC15" s="123">
        <f>[3]Лист2!B13</f>
        <v>622</v>
      </c>
      <c r="AD15" s="124">
        <f t="shared" si="15"/>
        <v>1.0661072174773023</v>
      </c>
      <c r="AE15" s="129">
        <v>19729</v>
      </c>
      <c r="AF15" s="124">
        <f t="shared" si="16"/>
        <v>68.238007418362727</v>
      </c>
      <c r="AG15" s="123">
        <f>[2]КДН_Свод!AC14</f>
        <v>367687.1</v>
      </c>
      <c r="AH15" s="128">
        <v>11.7</v>
      </c>
      <c r="AI15" s="136">
        <v>18.3</v>
      </c>
      <c r="AJ15" s="144">
        <v>197115</v>
      </c>
      <c r="AK15" s="134">
        <f t="shared" si="17"/>
        <v>8.5413513374149014E-2</v>
      </c>
      <c r="AL15" s="147">
        <v>1452</v>
      </c>
      <c r="AM15" s="147">
        <v>13066</v>
      </c>
      <c r="AN15" s="151">
        <f t="shared" si="18"/>
        <v>14518</v>
      </c>
      <c r="AO15" s="224">
        <f>[4]Данные!$E$25</f>
        <v>501654</v>
      </c>
      <c r="AP15" s="231">
        <f t="shared" si="19"/>
        <v>2.89402656013906E-2</v>
      </c>
      <c r="AQ15" s="233">
        <v>13609</v>
      </c>
      <c r="AR15" s="227">
        <f t="shared" si="20"/>
        <v>2.3325808878856283E-2</v>
      </c>
      <c r="AS15" s="154">
        <v>16483</v>
      </c>
      <c r="AT15" s="154">
        <v>12636</v>
      </c>
      <c r="AU15" s="160">
        <f t="shared" si="12"/>
        <v>1.3044476100031657</v>
      </c>
      <c r="AV15" s="163">
        <v>6189</v>
      </c>
      <c r="AW15" s="164">
        <f t="shared" si="21"/>
        <v>0.221661115289567</v>
      </c>
      <c r="AX15" s="166">
        <v>320006</v>
      </c>
      <c r="AY15" s="166">
        <v>43142</v>
      </c>
      <c r="AZ15" s="221">
        <f t="shared" si="22"/>
        <v>0.13481622219583383</v>
      </c>
      <c r="BB15" s="38">
        <v>549</v>
      </c>
      <c r="BC15" s="38">
        <v>160</v>
      </c>
      <c r="BD15" s="38">
        <v>189</v>
      </c>
      <c r="BE15" s="38">
        <v>4</v>
      </c>
      <c r="BF15" s="38">
        <v>153</v>
      </c>
      <c r="BG15" s="38">
        <v>46</v>
      </c>
      <c r="BH15" s="38">
        <v>0</v>
      </c>
      <c r="BI15" s="38">
        <v>338</v>
      </c>
      <c r="BJ15" s="38">
        <v>13</v>
      </c>
      <c r="BK15" s="38">
        <v>17</v>
      </c>
      <c r="BL15" s="38">
        <v>670</v>
      </c>
      <c r="BM15" s="38">
        <v>35</v>
      </c>
      <c r="BN15" s="38">
        <v>559</v>
      </c>
      <c r="BO15" s="38">
        <v>3698</v>
      </c>
      <c r="BP15" s="38">
        <v>28</v>
      </c>
      <c r="BQ15" s="38">
        <v>27</v>
      </c>
      <c r="BR15" s="38">
        <v>1</v>
      </c>
      <c r="BS15" s="38">
        <v>17</v>
      </c>
      <c r="BT15" s="38">
        <f t="shared" si="13"/>
        <v>389</v>
      </c>
      <c r="BU15" s="39">
        <v>5</v>
      </c>
      <c r="BV15" s="39">
        <v>89</v>
      </c>
      <c r="BW15" s="39">
        <v>58</v>
      </c>
      <c r="BX15" s="39">
        <v>21</v>
      </c>
      <c r="CD15" s="27"/>
      <c r="CE15" s="27"/>
      <c r="CF15" s="27"/>
      <c r="CP15">
        <v>297</v>
      </c>
      <c r="CR15" s="24">
        <v>0.28100000000000003</v>
      </c>
      <c r="CS15" s="24">
        <v>4.2000000000000003E-2</v>
      </c>
      <c r="CT15" s="24">
        <f t="shared" si="23"/>
        <v>0.32300000000000001</v>
      </c>
      <c r="CX15" s="28">
        <v>105168</v>
      </c>
    </row>
    <row r="16" spans="1:102" ht="12.75" customHeight="1" x14ac:dyDescent="0.35">
      <c r="A16" s="92" t="s">
        <v>31</v>
      </c>
      <c r="B16" s="70">
        <f>'[1]Демо+РИК_Разделы 1,3'!DJ15</f>
        <v>1.1456845880516722</v>
      </c>
      <c r="C16" s="71">
        <f t="shared" si="0"/>
        <v>0.47</v>
      </c>
      <c r="D16" s="108">
        <f t="shared" si="1"/>
        <v>98.807199060933357</v>
      </c>
      <c r="E16" s="171">
        <f t="shared" si="2"/>
        <v>867817</v>
      </c>
      <c r="F16" s="108">
        <f t="shared" si="3"/>
        <v>9.5</v>
      </c>
      <c r="G16" s="108">
        <f t="shared" si="4"/>
        <v>6.7</v>
      </c>
      <c r="H16" s="164">
        <f t="shared" si="5"/>
        <v>0.10761208382941026</v>
      </c>
      <c r="I16" s="168">
        <f t="shared" si="6"/>
        <v>2.686725177390939E-2</v>
      </c>
      <c r="J16" s="169">
        <f t="shared" si="7"/>
        <v>1.6859016393442623</v>
      </c>
      <c r="K16" s="170">
        <f t="shared" si="8"/>
        <v>0.2043540584124709</v>
      </c>
      <c r="L16" s="164">
        <f t="shared" si="9"/>
        <v>8.1708258661358765E-2</v>
      </c>
      <c r="M16" s="107">
        <f t="shared" si="10"/>
        <v>2.897419719058214</v>
      </c>
      <c r="N16" s="108">
        <f t="shared" si="11"/>
        <v>33.284485487734827</v>
      </c>
      <c r="O16" s="35"/>
      <c r="Q16" s="22"/>
      <c r="R16" s="53" t="s">
        <v>31</v>
      </c>
      <c r="S16" s="40">
        <v>71</v>
      </c>
      <c r="T16" s="119">
        <f>[2]КДН_Свод!M15</f>
        <v>1481471</v>
      </c>
      <c r="U16" s="120">
        <f>'[1]Демо+РИК_Разделы 1,3'!P15</f>
        <v>240904</v>
      </c>
      <c r="V16" s="120">
        <f>'[1]Демо+РИК_Разделы 1,3'!X15</f>
        <v>87576</v>
      </c>
      <c r="W16" s="120">
        <f>'[1]Демо+РИК_Разделы 1,3'!AE15</f>
        <v>61988</v>
      </c>
      <c r="X16" s="120">
        <f>'[1]Демо+РИК_Разделы 1,3'!AK15</f>
        <v>11162</v>
      </c>
      <c r="Y16" s="182">
        <f>'[1]Демо+РИК_Разделы 1,3'!BR15</f>
        <v>330</v>
      </c>
      <c r="Z16" s="121">
        <v>0.47</v>
      </c>
      <c r="AA16" s="122">
        <f>[2]КДН_Свод!H15</f>
        <v>4931</v>
      </c>
      <c r="AB16" s="123">
        <f t="shared" si="14"/>
        <v>33.284485487734827</v>
      </c>
      <c r="AC16" s="123">
        <f>[3]Лист2!B14</f>
        <v>698</v>
      </c>
      <c r="AD16" s="124">
        <f t="shared" si="15"/>
        <v>2.897419719058214</v>
      </c>
      <c r="AE16" s="126">
        <v>14638</v>
      </c>
      <c r="AF16" s="124">
        <f t="shared" si="16"/>
        <v>98.807199060933357</v>
      </c>
      <c r="AG16" s="123">
        <f>[2]КДН_Свод!AC15</f>
        <v>867817</v>
      </c>
      <c r="AH16" s="118">
        <v>9.5</v>
      </c>
      <c r="AI16" s="136">
        <v>6.7</v>
      </c>
      <c r="AJ16" s="142">
        <v>133500</v>
      </c>
      <c r="AK16" s="134">
        <f t="shared" si="17"/>
        <v>0.10761208382941026</v>
      </c>
      <c r="AL16" s="147">
        <v>1050</v>
      </c>
      <c r="AM16" s="147">
        <v>5599</v>
      </c>
      <c r="AN16" s="151">
        <f t="shared" si="18"/>
        <v>6649</v>
      </c>
      <c r="AO16" s="224">
        <f>[4]Данные!$E$70</f>
        <v>247476</v>
      </c>
      <c r="AP16" s="231">
        <f t="shared" si="19"/>
        <v>2.686725177390939E-2</v>
      </c>
      <c r="AQ16" s="233">
        <v>5327</v>
      </c>
      <c r="AR16" s="227">
        <f t="shared" si="20"/>
        <v>2.2112542755620496E-2</v>
      </c>
      <c r="AS16" s="154">
        <v>10284</v>
      </c>
      <c r="AT16" s="154">
        <v>6100</v>
      </c>
      <c r="AU16" s="160">
        <f t="shared" si="12"/>
        <v>1.6859016393442623</v>
      </c>
      <c r="AV16" s="163">
        <v>2281</v>
      </c>
      <c r="AW16" s="164">
        <f t="shared" si="21"/>
        <v>0.2043540584124709</v>
      </c>
      <c r="AX16" s="166">
        <v>141173</v>
      </c>
      <c r="AY16" s="166">
        <v>11535</v>
      </c>
      <c r="AZ16" s="221">
        <f t="shared" si="22"/>
        <v>8.1708258661358765E-2</v>
      </c>
      <c r="BB16" s="38">
        <v>374</v>
      </c>
      <c r="BC16" s="38">
        <v>113</v>
      </c>
      <c r="BD16" s="38">
        <v>148</v>
      </c>
      <c r="BE16" s="38">
        <v>30</v>
      </c>
      <c r="BF16" s="38">
        <v>205</v>
      </c>
      <c r="BG16" s="38">
        <v>77</v>
      </c>
      <c r="BH16" s="38">
        <v>1</v>
      </c>
      <c r="BI16" s="38">
        <v>144</v>
      </c>
      <c r="BJ16" s="38">
        <v>7</v>
      </c>
      <c r="BK16" s="38">
        <v>5</v>
      </c>
      <c r="BL16" s="38">
        <v>401</v>
      </c>
      <c r="BM16" s="38">
        <v>198</v>
      </c>
      <c r="BN16" s="38">
        <v>319</v>
      </c>
      <c r="BO16" s="38">
        <v>2649</v>
      </c>
      <c r="BP16" s="38">
        <v>6</v>
      </c>
      <c r="BQ16" s="38">
        <v>3</v>
      </c>
      <c r="BR16" s="38">
        <v>2</v>
      </c>
      <c r="BS16" s="38">
        <v>5</v>
      </c>
      <c r="BT16" s="38">
        <f t="shared" si="13"/>
        <v>261</v>
      </c>
      <c r="BU16" s="39">
        <v>10</v>
      </c>
      <c r="BV16" s="39">
        <v>110</v>
      </c>
      <c r="BW16" s="39">
        <v>39</v>
      </c>
      <c r="BX16" s="39">
        <v>15</v>
      </c>
      <c r="CD16" s="27"/>
      <c r="CE16" s="27"/>
      <c r="CF16" s="27"/>
      <c r="CP16">
        <v>252</v>
      </c>
      <c r="CR16" s="24">
        <v>0.40400000000000003</v>
      </c>
      <c r="CS16" s="24">
        <v>9.6000000000000002E-2</v>
      </c>
      <c r="CT16" s="24">
        <f t="shared" si="23"/>
        <v>0.5</v>
      </c>
      <c r="CX16" s="28">
        <v>71876</v>
      </c>
    </row>
    <row r="17" spans="1:102" ht="16" thickBot="1" x14ac:dyDescent="0.4">
      <c r="A17" s="97" t="s">
        <v>32</v>
      </c>
      <c r="B17" s="70">
        <f>'[1]Демо+РИК_Разделы 1,3'!DJ16</f>
        <v>0.49830177070954795</v>
      </c>
      <c r="C17" s="71">
        <f t="shared" si="0"/>
        <v>0.87</v>
      </c>
      <c r="D17" s="108">
        <f t="shared" si="1"/>
        <v>25.92415833470519</v>
      </c>
      <c r="E17" s="167">
        <f t="shared" si="2"/>
        <v>2992775.4</v>
      </c>
      <c r="F17" s="108">
        <f t="shared" si="3"/>
        <v>10.8</v>
      </c>
      <c r="G17" s="108">
        <f t="shared" si="4"/>
        <v>3.2</v>
      </c>
      <c r="H17" s="164">
        <f t="shared" si="5"/>
        <v>5.9463268562134519E-2</v>
      </c>
      <c r="I17" s="168">
        <f t="shared" si="6"/>
        <v>2.5262279771134263E-2</v>
      </c>
      <c r="J17" s="169">
        <f t="shared" si="7"/>
        <v>1.4895315559572224</v>
      </c>
      <c r="K17" s="170">
        <f t="shared" si="8"/>
        <v>9.0969356114877151E-2</v>
      </c>
      <c r="L17" s="164">
        <f t="shared" si="9"/>
        <v>0.13659210962444565</v>
      </c>
      <c r="M17" s="107">
        <f t="shared" si="10"/>
        <v>0.15486334100275595</v>
      </c>
      <c r="N17" s="108">
        <f t="shared" si="11"/>
        <v>12.930920323200304</v>
      </c>
      <c r="O17" s="35"/>
      <c r="Q17" s="22"/>
      <c r="R17" s="53" t="s">
        <v>32</v>
      </c>
      <c r="S17" s="40">
        <v>72</v>
      </c>
      <c r="T17" s="119">
        <f>[2]КДН_Свод!M16</f>
        <v>3851234</v>
      </c>
      <c r="U17" s="120">
        <f>'[1]Демо+РИК_Разделы 1,3'!P16</f>
        <v>949224</v>
      </c>
      <c r="V17" s="120">
        <f>'[1]Демо+РИК_Разделы 1,3'!X16</f>
        <v>362358</v>
      </c>
      <c r="W17" s="120">
        <f>'[1]Демо+РИК_Разделы 1,3'!AE16</f>
        <v>254703</v>
      </c>
      <c r="X17" s="120">
        <f>'[1]Демо+РИК_Разделы 1,3'!AK16</f>
        <v>46763</v>
      </c>
      <c r="Y17" s="182">
        <f>'[1]Демо+РИК_Разделы 1,3'!BR16</f>
        <v>458</v>
      </c>
      <c r="Z17" s="121">
        <v>0.87</v>
      </c>
      <c r="AA17" s="122">
        <f>[2]КДН_Свод!H16</f>
        <v>4980</v>
      </c>
      <c r="AB17" s="123">
        <f t="shared" si="14"/>
        <v>12.930920323200304</v>
      </c>
      <c r="AC17" s="123">
        <f>[3]Лист2!B15</f>
        <v>147</v>
      </c>
      <c r="AD17" s="124">
        <f t="shared" si="15"/>
        <v>0.15486334100275595</v>
      </c>
      <c r="AE17" s="126">
        <v>9984</v>
      </c>
      <c r="AF17" s="124">
        <f t="shared" si="16"/>
        <v>25.92415833470519</v>
      </c>
      <c r="AG17" s="123">
        <f>[2]КДН_Свод!AC16</f>
        <v>2992775.4</v>
      </c>
      <c r="AH17" s="118">
        <v>10.8</v>
      </c>
      <c r="AI17" s="137">
        <v>3.2</v>
      </c>
      <c r="AJ17" s="142">
        <v>172563</v>
      </c>
      <c r="AK17" s="134">
        <f t="shared" si="17"/>
        <v>5.9463268562134519E-2</v>
      </c>
      <c r="AL17" s="147">
        <v>130</v>
      </c>
      <c r="AM17" s="147">
        <v>8228</v>
      </c>
      <c r="AN17" s="151">
        <f t="shared" si="18"/>
        <v>8358</v>
      </c>
      <c r="AO17" s="224">
        <f>[4]Данные!$E$75</f>
        <v>330849</v>
      </c>
      <c r="AP17" s="231">
        <f t="shared" si="19"/>
        <v>2.5262279771134263E-2</v>
      </c>
      <c r="AQ17" s="233">
        <v>18947</v>
      </c>
      <c r="AR17" s="227">
        <f t="shared" si="20"/>
        <v>1.9960515115504875E-2</v>
      </c>
      <c r="AS17" s="154">
        <v>29667</v>
      </c>
      <c r="AT17" s="154">
        <v>19917</v>
      </c>
      <c r="AU17" s="160">
        <f t="shared" si="12"/>
        <v>1.4895315559572224</v>
      </c>
      <c r="AV17" s="163">
        <v>4254</v>
      </c>
      <c r="AW17" s="164">
        <f t="shared" si="21"/>
        <v>9.0969356114877151E-2</v>
      </c>
      <c r="AX17" s="166">
        <v>476682</v>
      </c>
      <c r="AY17" s="166">
        <v>65111</v>
      </c>
      <c r="AZ17" s="221">
        <f t="shared" si="22"/>
        <v>0.13659210962444565</v>
      </c>
      <c r="BB17" s="38">
        <v>603</v>
      </c>
      <c r="BC17" s="38">
        <v>209</v>
      </c>
      <c r="BD17" s="38">
        <v>180</v>
      </c>
      <c r="BE17" s="38">
        <v>1</v>
      </c>
      <c r="BF17" s="38">
        <v>359</v>
      </c>
      <c r="BG17" s="38">
        <v>99</v>
      </c>
      <c r="BH17" s="38">
        <v>1</v>
      </c>
      <c r="BI17" s="38">
        <v>355</v>
      </c>
      <c r="BJ17" s="38">
        <v>12</v>
      </c>
      <c r="BK17" s="38">
        <v>27</v>
      </c>
      <c r="BL17" s="38">
        <v>331</v>
      </c>
      <c r="BM17" s="38">
        <v>161</v>
      </c>
      <c r="BN17" s="38">
        <v>275</v>
      </c>
      <c r="BO17" s="38">
        <v>4544</v>
      </c>
      <c r="BP17" s="38">
        <v>17</v>
      </c>
      <c r="BQ17" s="38">
        <v>16</v>
      </c>
      <c r="BR17" s="38">
        <v>1</v>
      </c>
      <c r="BS17" s="38">
        <v>27</v>
      </c>
      <c r="BT17" s="38">
        <f t="shared" si="13"/>
        <v>394</v>
      </c>
      <c r="BU17" s="39">
        <v>17</v>
      </c>
      <c r="BV17" s="39">
        <v>71</v>
      </c>
      <c r="BW17" s="39">
        <v>126</v>
      </c>
      <c r="BX17" s="39">
        <v>3</v>
      </c>
      <c r="CD17" s="27"/>
      <c r="CE17" s="27"/>
      <c r="CF17" s="27"/>
      <c r="CP17">
        <v>294</v>
      </c>
      <c r="CR17" s="24">
        <v>0.33400000000000002</v>
      </c>
      <c r="CS17" s="24">
        <v>6.7000000000000004E-2</v>
      </c>
      <c r="CT17" s="24">
        <f t="shared" si="23"/>
        <v>0.40100000000000002</v>
      </c>
      <c r="CX17" s="28">
        <v>172502</v>
      </c>
    </row>
    <row r="18" spans="1:102" ht="15.5" x14ac:dyDescent="0.35">
      <c r="A18" s="73" t="s">
        <v>3</v>
      </c>
      <c r="B18" s="72">
        <f>'[1]Демо+РИК_Разделы 1,3'!$DG$19</f>
        <v>1.0906755796175769</v>
      </c>
      <c r="C18" s="71">
        <f>AVERAGE(C4:C17)</f>
        <v>0.43571428571428567</v>
      </c>
      <c r="D18" s="108">
        <f t="shared" si="1"/>
        <v>73.810057185035433</v>
      </c>
      <c r="E18" s="115">
        <f>AVERAGE(E4:E17)</f>
        <v>801717.63571428577</v>
      </c>
      <c r="F18" s="108">
        <f t="shared" si="3"/>
        <v>9.8214285714285712</v>
      </c>
      <c r="G18" s="108">
        <f t="shared" si="4"/>
        <v>11.950000000000001</v>
      </c>
      <c r="H18" s="173">
        <f t="shared" si="5"/>
        <v>8.2449897409457532E-2</v>
      </c>
      <c r="I18" s="174">
        <f t="shared" si="6"/>
        <v>2.4034983853187312E-2</v>
      </c>
      <c r="J18" s="109">
        <f t="shared" si="7"/>
        <v>1.6119895164235536</v>
      </c>
      <c r="K18" s="175">
        <f t="shared" si="8"/>
        <v>0.16969700637570653</v>
      </c>
      <c r="L18" s="173">
        <f t="shared" si="9"/>
        <v>9.8613978277083292E-2</v>
      </c>
      <c r="M18" s="172">
        <f>AVERAGE(M4:M17)</f>
        <v>2.138612824323737</v>
      </c>
      <c r="N18" s="172">
        <f t="shared" si="11"/>
        <v>11.411701599562877</v>
      </c>
      <c r="O18" s="75"/>
      <c r="R18" s="53" t="s">
        <v>164</v>
      </c>
      <c r="T18" s="130">
        <f>SUM(T4:T17)</f>
        <v>40007180</v>
      </c>
      <c r="U18" s="130">
        <f>SUM(U4:U17)</f>
        <v>8012028</v>
      </c>
      <c r="V18" s="130">
        <f>SUM(V4:V17)</f>
        <v>3051820</v>
      </c>
      <c r="W18" s="130">
        <f>SUM(W4:W17)</f>
        <v>2160752</v>
      </c>
      <c r="X18" s="130">
        <f>SUM(X4:X17)</f>
        <v>385107</v>
      </c>
      <c r="Y18" s="130"/>
      <c r="Z18" s="117">
        <f>AVERAGE(Z4:Z17)</f>
        <v>0.43571428571428567</v>
      </c>
      <c r="AA18" s="130">
        <f>SUM(AA4:AA17)</f>
        <v>45655</v>
      </c>
      <c r="AB18" s="123">
        <f t="shared" si="14"/>
        <v>11.411701599562877</v>
      </c>
      <c r="AC18" s="116">
        <f t="shared" ref="AC18:AI18" si="24">AVERAGE(AC4:AC17)</f>
        <v>1212.1428571428571</v>
      </c>
      <c r="AD18" s="116">
        <f t="shared" si="24"/>
        <v>2.138612824323737</v>
      </c>
      <c r="AE18" s="116">
        <f t="shared" si="24"/>
        <v>15775.571428571429</v>
      </c>
      <c r="AF18" s="116">
        <f t="shared" si="24"/>
        <v>73.810057185035433</v>
      </c>
      <c r="AG18" s="116">
        <f t="shared" si="24"/>
        <v>801717.63571428577</v>
      </c>
      <c r="AH18" s="118">
        <f t="shared" si="24"/>
        <v>9.8214285714285712</v>
      </c>
      <c r="AI18" s="118">
        <f t="shared" si="24"/>
        <v>11.950000000000001</v>
      </c>
      <c r="AJ18" s="142">
        <f>SUM(AJ4:AJ17)</f>
        <v>2637997</v>
      </c>
      <c r="AK18" s="134">
        <f t="shared" si="17"/>
        <v>8.2449897409457532E-2</v>
      </c>
      <c r="AL18" s="148">
        <f>SUM(AL4:AL17)</f>
        <v>33223</v>
      </c>
      <c r="AM18" s="148">
        <f>SUM(AM4:AM17)</f>
        <v>121249</v>
      </c>
      <c r="AN18" s="151">
        <f t="shared" si="18"/>
        <v>154472</v>
      </c>
      <c r="AO18" s="142">
        <f>SUM(AO4:AO17)</f>
        <v>6426965</v>
      </c>
      <c r="AP18" s="231">
        <f t="shared" si="19"/>
        <v>2.4034983853187312E-2</v>
      </c>
      <c r="AQ18" s="234">
        <f>SUM(AQ4:AQ17)</f>
        <v>165562</v>
      </c>
      <c r="AR18" s="227">
        <f t="shared" si="20"/>
        <v>2.06641814032602E-2</v>
      </c>
      <c r="AS18" s="116">
        <f>SUM(AS4:AS17)</f>
        <v>300146</v>
      </c>
      <c r="AT18" s="116">
        <f>SUM(AT4:AT17)</f>
        <v>186196</v>
      </c>
      <c r="AU18" s="160">
        <f t="shared" si="12"/>
        <v>1.6119895164235536</v>
      </c>
      <c r="AV18" s="116">
        <f>SUM(AV4:AV17)</f>
        <v>66710</v>
      </c>
      <c r="AW18" s="161">
        <f>AVERAGE(AW4:AW17)</f>
        <v>0.16969700637570653</v>
      </c>
      <c r="AX18" s="116">
        <f>SUM(AX4:AX17)</f>
        <v>4147049</v>
      </c>
      <c r="AY18" s="116">
        <f>SUM(AY4:AY17)</f>
        <v>408957</v>
      </c>
      <c r="AZ18" s="221">
        <f t="shared" si="22"/>
        <v>9.8613978277083292E-2</v>
      </c>
      <c r="CD18" s="27"/>
      <c r="CE18" s="27"/>
      <c r="CF18" s="27"/>
      <c r="CP18">
        <f>SUM(CP4:CP17)</f>
        <v>7330</v>
      </c>
    </row>
    <row r="19" spans="1:102" ht="16" thickBot="1" x14ac:dyDescent="0.4">
      <c r="A19" s="73" t="s">
        <v>2</v>
      </c>
      <c r="B19" s="72">
        <f>'[1]Демо+РИК_Разделы 1,3'!$DG$18</f>
        <v>1.5981904340707063</v>
      </c>
      <c r="C19" s="69" t="s">
        <v>36</v>
      </c>
      <c r="D19" s="108">
        <f t="shared" si="1"/>
        <v>73.481319821644661</v>
      </c>
      <c r="E19" s="176">
        <f>AG19</f>
        <v>830792.7</v>
      </c>
      <c r="F19" s="108">
        <f t="shared" si="3"/>
        <v>9.8214285714285712</v>
      </c>
      <c r="G19" s="108">
        <f t="shared" si="4"/>
        <v>12.2</v>
      </c>
      <c r="H19" s="164">
        <f t="shared" si="5"/>
        <v>8.7933762789375092E-2</v>
      </c>
      <c r="I19" s="177">
        <f t="shared" si="6"/>
        <v>2.6154826856769085E-2</v>
      </c>
      <c r="J19" s="108">
        <f t="shared" si="7"/>
        <v>1.5427712333720289</v>
      </c>
      <c r="K19" s="114">
        <f t="shared" si="8"/>
        <v>0.22</v>
      </c>
      <c r="L19" s="164" t="e">
        <f t="shared" si="9"/>
        <v>#REF!</v>
      </c>
      <c r="M19" s="107">
        <f>AD19</f>
        <v>14.254911826033805</v>
      </c>
      <c r="N19" s="109">
        <f t="shared" si="11"/>
        <v>14.360716921862689</v>
      </c>
      <c r="O19" s="35"/>
      <c r="R19" s="29" t="s">
        <v>91</v>
      </c>
      <c r="S19" s="106" t="s">
        <v>132</v>
      </c>
      <c r="T19" s="131">
        <f>[2]КДН_Свод!M17</f>
        <v>146447424</v>
      </c>
      <c r="U19" s="131">
        <f>'[1]Демо+РИК_Разделы 1,3'!$P$18</f>
        <v>30328283</v>
      </c>
      <c r="V19" s="131">
        <f>'[1]Демо+РИК_Разделы 1,3'!X18</f>
        <v>11423761</v>
      </c>
      <c r="W19" s="131">
        <f>'[1]Демо+РИК_Разделы 1,3'!AE18</f>
        <v>8079561</v>
      </c>
      <c r="X19" s="131">
        <f>'[1]Демо+РИК_Разделы 1,3'!AK18</f>
        <v>1476347</v>
      </c>
      <c r="Y19" s="131"/>
      <c r="Z19" s="121">
        <f>AVERAGE(Z4:Z17)</f>
        <v>0.43571428571428567</v>
      </c>
      <c r="AA19" s="122">
        <f>[2]КДН_Свод!H17</f>
        <v>210309</v>
      </c>
      <c r="AB19" s="123">
        <f>(AA19/T19)*10000</f>
        <v>14.360716921862689</v>
      </c>
      <c r="AC19" s="132">
        <f>[3]Лист2!B16</f>
        <v>432327</v>
      </c>
      <c r="AD19" s="124">
        <f>(AC19/U19)*1000</f>
        <v>14.254911826033805</v>
      </c>
      <c r="AE19" s="133">
        <v>1076115</v>
      </c>
      <c r="AF19" s="124">
        <f>(AE19/T19)*10000</f>
        <v>73.481319821644661</v>
      </c>
      <c r="AG19" s="123">
        <f>[2]КДН_Свод!AC17</f>
        <v>830792.7</v>
      </c>
      <c r="AH19" s="118">
        <f>AVERAGE(AH4:AH17)</f>
        <v>9.8214285714285712</v>
      </c>
      <c r="AI19" s="135">
        <v>12.2</v>
      </c>
      <c r="AJ19" s="142">
        <v>10210793</v>
      </c>
      <c r="AK19" s="134">
        <f t="shared" si="17"/>
        <v>8.7933762789375092E-2</v>
      </c>
      <c r="AL19" s="149">
        <v>146030</v>
      </c>
      <c r="AM19" s="149">
        <v>504623</v>
      </c>
      <c r="AN19" s="151">
        <f t="shared" si="18"/>
        <v>650653</v>
      </c>
      <c r="AO19" s="225">
        <f>[4]Данные!$E$5</f>
        <v>24876976</v>
      </c>
      <c r="AP19" s="235">
        <f t="shared" si="19"/>
        <v>2.6154826856769085E-2</v>
      </c>
      <c r="AQ19" s="236">
        <v>721827</v>
      </c>
      <c r="AR19" s="227">
        <f t="shared" si="20"/>
        <v>2.3800457150838377E-2</v>
      </c>
      <c r="AS19" s="159">
        <v>1053884</v>
      </c>
      <c r="AT19" s="159">
        <v>683111</v>
      </c>
      <c r="AU19" s="160">
        <f t="shared" si="12"/>
        <v>1.5427712333720289</v>
      </c>
      <c r="AV19" s="165">
        <f>X19*0.22</f>
        <v>324796.34000000003</v>
      </c>
      <c r="AW19" s="153">
        <v>0.22</v>
      </c>
      <c r="AX19" s="110" t="e">
        <f>#REF!</f>
        <v>#REF!</v>
      </c>
      <c r="AY19" s="159" t="e">
        <f>#REF!</f>
        <v>#REF!</v>
      </c>
      <c r="AZ19" s="222" t="e">
        <f t="shared" si="22"/>
        <v>#REF!</v>
      </c>
      <c r="CD19" s="27"/>
      <c r="CE19" s="27"/>
      <c r="CF19" s="58"/>
    </row>
    <row r="20" spans="1:102" ht="145" x14ac:dyDescent="0.35">
      <c r="A20" s="103" t="s">
        <v>127</v>
      </c>
      <c r="B20" s="68">
        <v>2021</v>
      </c>
      <c r="C20" s="68">
        <v>2023</v>
      </c>
      <c r="T20" t="s">
        <v>94</v>
      </c>
      <c r="U20" t="s">
        <v>94</v>
      </c>
      <c r="V20" t="s">
        <v>94</v>
      </c>
      <c r="W20" t="s">
        <v>94</v>
      </c>
      <c r="Z20" s="1" t="s">
        <v>138</v>
      </c>
      <c r="AA20" t="s">
        <v>134</v>
      </c>
      <c r="AC20" s="1" t="s">
        <v>145</v>
      </c>
      <c r="AE20" s="111" t="s">
        <v>148</v>
      </c>
      <c r="AG20" s="1" t="s">
        <v>150</v>
      </c>
      <c r="AH20" s="1" t="s">
        <v>153</v>
      </c>
      <c r="AI20" s="1" t="s">
        <v>153</v>
      </c>
      <c r="AJ20" s="1" t="s">
        <v>160</v>
      </c>
      <c r="AL20" s="1" t="s">
        <v>169</v>
      </c>
      <c r="AQ20" s="1" t="s">
        <v>160</v>
      </c>
      <c r="AS20" t="s">
        <v>159</v>
      </c>
      <c r="AV20" t="s">
        <v>94</v>
      </c>
      <c r="CD20" s="27"/>
      <c r="CE20" s="27"/>
      <c r="CF20" s="27"/>
    </row>
    <row r="21" spans="1:102" ht="141" customHeight="1" x14ac:dyDescent="0.35">
      <c r="A21" t="s">
        <v>38</v>
      </c>
      <c r="B21" s="1" t="s">
        <v>71</v>
      </c>
      <c r="C21" s="1" t="s">
        <v>72</v>
      </c>
      <c r="D21" s="1" t="s">
        <v>44</v>
      </c>
      <c r="E21" s="3" t="s">
        <v>92</v>
      </c>
      <c r="F21" s="32" t="s">
        <v>93</v>
      </c>
      <c r="G21" s="32"/>
      <c r="H21" s="1" t="s">
        <v>48</v>
      </c>
      <c r="I21" s="1" t="s">
        <v>47</v>
      </c>
      <c r="J21" s="1"/>
      <c r="K21" s="1" t="s">
        <v>50</v>
      </c>
      <c r="L21" s="1" t="s">
        <v>116</v>
      </c>
      <c r="M21" s="1" t="s">
        <v>42</v>
      </c>
      <c r="N21" s="1" t="s">
        <v>78</v>
      </c>
      <c r="O21" s="1"/>
      <c r="T21" s="1" t="s">
        <v>129</v>
      </c>
      <c r="U21" s="1" t="s">
        <v>131</v>
      </c>
      <c r="V21" s="1" t="s">
        <v>131</v>
      </c>
      <c r="W21" s="1" t="s">
        <v>131</v>
      </c>
      <c r="X21" s="1"/>
      <c r="Y21" s="1"/>
      <c r="Z21" s="1" t="s">
        <v>139</v>
      </c>
      <c r="AC21" s="1" t="s">
        <v>142</v>
      </c>
      <c r="AG21" s="1" t="s">
        <v>151</v>
      </c>
      <c r="AH21" s="1" t="s">
        <v>152</v>
      </c>
      <c r="AI21" s="1" t="s">
        <v>162</v>
      </c>
      <c r="AJ21" s="1" t="s">
        <v>161</v>
      </c>
      <c r="AK21" s="1"/>
      <c r="AL21" s="1" t="s">
        <v>167</v>
      </c>
      <c r="AM21" s="1"/>
      <c r="AN21" s="1"/>
      <c r="AO21" s="1"/>
      <c r="AP21" s="1"/>
      <c r="AQ21" s="1" t="s">
        <v>161</v>
      </c>
      <c r="AR21" s="1"/>
      <c r="AS21" s="1" t="s">
        <v>177</v>
      </c>
      <c r="AT21" s="1"/>
      <c r="AU21" s="1"/>
      <c r="AV21" s="1" t="s">
        <v>178</v>
      </c>
      <c r="BZ21" s="196"/>
      <c r="CB21" s="183"/>
      <c r="CC21" s="27"/>
    </row>
    <row r="22" spans="1:102" x14ac:dyDescent="0.35">
      <c r="A22" s="1" t="s">
        <v>4</v>
      </c>
      <c r="B22" t="s">
        <v>73</v>
      </c>
      <c r="C22" t="s">
        <v>74</v>
      </c>
      <c r="D22" t="s">
        <v>45</v>
      </c>
      <c r="E22" t="s">
        <v>94</v>
      </c>
      <c r="F22" t="s">
        <v>95</v>
      </c>
      <c r="H22" t="s">
        <v>49</v>
      </c>
      <c r="I22" t="s">
        <v>83</v>
      </c>
      <c r="K22" t="s">
        <v>49</v>
      </c>
      <c r="L22" t="s">
        <v>117</v>
      </c>
      <c r="M22" t="s">
        <v>43</v>
      </c>
      <c r="N22" t="s">
        <v>41</v>
      </c>
      <c r="AE22" s="105"/>
      <c r="BZ22" s="196"/>
      <c r="CB22" s="183"/>
      <c r="CC22" s="27"/>
    </row>
    <row r="23" spans="1:102" ht="406" x14ac:dyDescent="0.35">
      <c r="A23" t="s">
        <v>39</v>
      </c>
      <c r="B23" s="1" t="s">
        <v>40</v>
      </c>
      <c r="C23" s="1"/>
      <c r="D23" s="1" t="s">
        <v>46</v>
      </c>
      <c r="E23" s="1" t="s">
        <v>96</v>
      </c>
      <c r="F23" s="1"/>
      <c r="G23" s="1"/>
      <c r="H23" s="1" t="s">
        <v>82</v>
      </c>
      <c r="I23" t="s">
        <v>84</v>
      </c>
      <c r="M23" s="21" t="s">
        <v>81</v>
      </c>
      <c r="N23" s="1" t="s">
        <v>75</v>
      </c>
      <c r="AE23" s="105"/>
      <c r="CB23" s="183"/>
      <c r="CC23" s="27"/>
    </row>
    <row r="24" spans="1:102" ht="409.5" x14ac:dyDescent="0.35">
      <c r="A24" t="s">
        <v>79</v>
      </c>
      <c r="I24" s="1" t="s">
        <v>85</v>
      </c>
      <c r="J24" s="1"/>
      <c r="AE24" s="105"/>
      <c r="CB24" s="183"/>
      <c r="CC24" s="27"/>
    </row>
    <row r="25" spans="1:102" x14ac:dyDescent="0.35">
      <c r="AE25" s="105"/>
      <c r="BZ25" s="196"/>
      <c r="CA25" s="196"/>
      <c r="CB25" s="183"/>
      <c r="CC25" s="27"/>
    </row>
    <row r="26" spans="1:102" x14ac:dyDescent="0.35">
      <c r="AE26" s="105"/>
      <c r="BZ26" s="196"/>
      <c r="CA26" s="196"/>
      <c r="CB26" s="183"/>
      <c r="CC26" s="27"/>
    </row>
    <row r="27" spans="1:102" x14ac:dyDescent="0.35">
      <c r="AE27" s="104"/>
      <c r="CA27" s="196"/>
      <c r="CB27" s="183"/>
      <c r="CC27" s="27"/>
    </row>
    <row r="28" spans="1:102" x14ac:dyDescent="0.35">
      <c r="AE28" s="105"/>
      <c r="CA28" s="196"/>
      <c r="CB28" s="183"/>
      <c r="CC28" s="27"/>
    </row>
    <row r="29" spans="1:102" x14ac:dyDescent="0.35">
      <c r="AE29" s="105"/>
      <c r="CA29" s="196"/>
      <c r="CB29" s="183"/>
      <c r="CC29" s="27"/>
    </row>
    <row r="30" spans="1:102" x14ac:dyDescent="0.35">
      <c r="A30" s="27"/>
      <c r="B30" s="30"/>
      <c r="C30" s="30"/>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CA30" s="196"/>
      <c r="CB30" s="183"/>
      <c r="CC30" s="27"/>
    </row>
    <row r="31" spans="1:102" x14ac:dyDescent="0.35">
      <c r="A31" s="63"/>
      <c r="B31" s="18"/>
      <c r="C31" s="18"/>
      <c r="D31" s="35"/>
      <c r="E31" s="35"/>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CA31" s="196"/>
      <c r="CB31" s="183"/>
      <c r="CC31" s="27"/>
    </row>
    <row r="32" spans="1:102" x14ac:dyDescent="0.35">
      <c r="A32" s="63"/>
      <c r="B32" s="18"/>
      <c r="C32" s="18"/>
      <c r="D32" s="35"/>
      <c r="E32" s="35"/>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CA32" s="196"/>
      <c r="CB32" s="183"/>
      <c r="CC32" s="27"/>
    </row>
    <row r="33" spans="1:73" x14ac:dyDescent="0.35">
      <c r="A33" s="63"/>
      <c r="B33" s="18"/>
      <c r="C33" s="18"/>
      <c r="D33" s="35"/>
      <c r="E33" s="35"/>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row>
    <row r="34" spans="1:73" x14ac:dyDescent="0.35">
      <c r="A34" s="63"/>
      <c r="B34" s="18"/>
      <c r="C34" s="18"/>
      <c r="D34" s="35"/>
      <c r="E34" s="35"/>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row>
    <row r="35" spans="1:73" x14ac:dyDescent="0.35">
      <c r="A35" s="63"/>
      <c r="B35" s="18"/>
      <c r="C35" s="18"/>
      <c r="D35" s="35"/>
      <c r="E35" s="35"/>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row>
    <row r="36" spans="1:73" x14ac:dyDescent="0.35">
      <c r="A36" s="63"/>
      <c r="B36" s="18"/>
      <c r="C36" s="18"/>
      <c r="D36" s="35"/>
      <c r="E36" s="35"/>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row>
    <row r="37" spans="1:73" x14ac:dyDescent="0.35">
      <c r="A37" s="63"/>
      <c r="B37" s="18"/>
      <c r="C37" s="18"/>
      <c r="D37" s="35"/>
      <c r="E37" s="35"/>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row>
    <row r="38" spans="1:73" x14ac:dyDescent="0.35">
      <c r="A38" s="63"/>
      <c r="B38" s="18"/>
      <c r="C38" s="18"/>
      <c r="D38" s="35"/>
      <c r="E38" s="35"/>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row>
    <row r="39" spans="1:73" x14ac:dyDescent="0.35">
      <c r="A39" s="63"/>
      <c r="B39" s="18"/>
      <c r="C39" s="18"/>
      <c r="D39" s="35"/>
      <c r="E39" s="35"/>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row>
    <row r="40" spans="1:73" x14ac:dyDescent="0.35">
      <c r="A40" s="63"/>
      <c r="B40" s="18"/>
      <c r="C40" s="18"/>
      <c r="D40" s="35"/>
      <c r="E40" s="35"/>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row>
    <row r="41" spans="1:73" x14ac:dyDescent="0.35">
      <c r="A41" s="63"/>
      <c r="B41" s="18"/>
      <c r="C41" s="18"/>
      <c r="D41" s="35"/>
      <c r="E41" s="35"/>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row>
    <row r="42" spans="1:73" x14ac:dyDescent="0.35">
      <c r="A42" s="63"/>
      <c r="B42" s="18"/>
      <c r="C42" s="18"/>
      <c r="D42" s="35"/>
      <c r="E42" s="35"/>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row>
    <row r="43" spans="1:73" x14ac:dyDescent="0.35">
      <c r="A43" s="63"/>
      <c r="B43" s="18"/>
      <c r="C43" s="18"/>
      <c r="D43" s="35"/>
      <c r="E43" s="35"/>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row>
    <row r="44" spans="1:73" x14ac:dyDescent="0.35">
      <c r="A44" s="63"/>
      <c r="B44" s="18"/>
      <c r="C44" s="18"/>
      <c r="D44" s="35"/>
      <c r="E44" s="35"/>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row>
    <row r="45" spans="1:73" x14ac:dyDescent="0.35">
      <c r="A45" s="27"/>
      <c r="B45" s="64"/>
      <c r="C45" s="64"/>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row>
    <row r="46" spans="1:73" x14ac:dyDescent="0.35">
      <c r="A46" s="27"/>
      <c r="B46" s="64"/>
      <c r="C46" s="64"/>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row>
    <row r="47" spans="1:73" x14ac:dyDescent="0.35">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row>
    <row r="48" spans="1:73" x14ac:dyDescent="0.35">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row>
    <row r="49" spans="1:73" x14ac:dyDescent="0.35">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row>
    <row r="50" spans="1:73" x14ac:dyDescent="0.35">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row>
    <row r="51" spans="1:73" x14ac:dyDescent="0.35">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row>
    <row r="52" spans="1:73" x14ac:dyDescent="0.35">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row>
    <row r="53" spans="1:73" x14ac:dyDescent="0.35">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row>
    <row r="54" spans="1:73" x14ac:dyDescent="0.35">
      <c r="A54" s="27"/>
      <c r="B54" s="27"/>
      <c r="C54" s="27"/>
      <c r="D54" s="27"/>
      <c r="E54" s="27"/>
      <c r="F54" s="27"/>
      <c r="G54" s="27"/>
      <c r="H54" s="27"/>
      <c r="I54" s="27"/>
      <c r="J54" s="27"/>
      <c r="K54" s="27"/>
      <c r="L54" s="27"/>
      <c r="M54" s="27"/>
      <c r="N54" s="35"/>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row>
    <row r="55" spans="1:73" x14ac:dyDescent="0.35">
      <c r="A55" s="27"/>
      <c r="B55" s="27"/>
      <c r="C55" s="27"/>
      <c r="D55" s="27"/>
      <c r="E55" s="27"/>
      <c r="F55" s="27"/>
      <c r="G55" s="27"/>
      <c r="H55" s="27"/>
      <c r="I55" s="27"/>
      <c r="J55" s="27"/>
      <c r="K55" s="27"/>
      <c r="L55" s="27"/>
      <c r="M55" s="27"/>
      <c r="N55" s="35"/>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row>
    <row r="56" spans="1:73" x14ac:dyDescent="0.35">
      <c r="A56" s="27"/>
      <c r="B56" s="27"/>
      <c r="C56" s="27"/>
      <c r="D56" s="27"/>
      <c r="E56" s="27"/>
      <c r="F56" s="27"/>
      <c r="G56" s="27"/>
      <c r="H56" s="27"/>
      <c r="I56" s="27"/>
      <c r="J56" s="27"/>
      <c r="K56" s="27"/>
      <c r="L56" s="27"/>
      <c r="M56" s="27"/>
      <c r="N56" s="35"/>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row>
    <row r="57" spans="1:73" x14ac:dyDescent="0.35">
      <c r="A57" s="27"/>
      <c r="B57" s="27"/>
      <c r="C57" s="27"/>
      <c r="D57" s="27"/>
      <c r="E57" s="27"/>
      <c r="F57" s="27"/>
      <c r="G57" s="27"/>
      <c r="H57" s="27"/>
      <c r="I57" s="27"/>
      <c r="J57" s="27"/>
      <c r="K57" s="27"/>
      <c r="L57" s="27"/>
      <c r="M57" s="27"/>
      <c r="N57" s="35"/>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row>
    <row r="58" spans="1:73" x14ac:dyDescent="0.35">
      <c r="A58" s="27"/>
      <c r="B58" s="27"/>
      <c r="C58" s="27"/>
      <c r="D58" s="27"/>
      <c r="E58" s="27"/>
      <c r="F58" s="27"/>
      <c r="G58" s="27"/>
      <c r="H58" s="27"/>
      <c r="I58" s="27"/>
      <c r="J58" s="27"/>
      <c r="K58" s="27"/>
      <c r="L58" s="27"/>
      <c r="M58" s="27"/>
      <c r="N58" s="35"/>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row>
    <row r="59" spans="1:73" x14ac:dyDescent="0.35">
      <c r="A59" s="27"/>
      <c r="B59" s="27"/>
      <c r="C59" s="27"/>
      <c r="D59" s="27"/>
      <c r="E59" s="27"/>
      <c r="F59" s="27"/>
      <c r="G59" s="27"/>
      <c r="H59" s="27"/>
      <c r="I59" s="27"/>
      <c r="J59" s="27"/>
      <c r="K59" s="27"/>
      <c r="L59" s="27"/>
      <c r="M59" s="27"/>
      <c r="N59" s="35"/>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row>
    <row r="60" spans="1:73" x14ac:dyDescent="0.35">
      <c r="A60" s="27"/>
      <c r="B60" s="27"/>
      <c r="G60" s="27"/>
      <c r="H60" s="27"/>
      <c r="I60" s="27"/>
      <c r="J60" s="27"/>
      <c r="K60" s="27"/>
      <c r="L60" s="27"/>
      <c r="M60" s="27"/>
      <c r="N60" s="35"/>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row>
    <row r="61" spans="1:73" x14ac:dyDescent="0.35">
      <c r="A61" s="27"/>
      <c r="B61" s="27"/>
      <c r="G61" s="63"/>
      <c r="H61" s="27"/>
      <c r="I61" s="27"/>
      <c r="J61" s="27"/>
      <c r="K61" s="27"/>
      <c r="L61" s="27"/>
      <c r="M61" s="27"/>
      <c r="N61" s="35"/>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row>
    <row r="62" spans="1:73" x14ac:dyDescent="0.35">
      <c r="A62" s="27"/>
      <c r="B62" s="27"/>
      <c r="G62" s="63"/>
      <c r="H62" s="27"/>
      <c r="I62" s="27"/>
      <c r="J62" s="27"/>
      <c r="K62" s="27"/>
      <c r="L62" s="27"/>
      <c r="M62" s="27"/>
      <c r="N62" s="35"/>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row>
    <row r="63" spans="1:73" x14ac:dyDescent="0.35">
      <c r="A63" s="27"/>
      <c r="B63" s="27"/>
      <c r="G63" s="63"/>
      <c r="H63" s="27"/>
      <c r="I63" s="27"/>
      <c r="J63" s="27"/>
      <c r="K63" s="27"/>
      <c r="L63" s="27"/>
      <c r="M63" s="27"/>
      <c r="N63" s="35"/>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row>
    <row r="64" spans="1:73" x14ac:dyDescent="0.35">
      <c r="A64" s="27"/>
      <c r="B64" s="27"/>
      <c r="G64" s="63"/>
      <c r="H64" s="27"/>
      <c r="I64" s="27"/>
      <c r="J64" s="27"/>
      <c r="K64" s="27"/>
      <c r="L64" s="27"/>
      <c r="M64" s="27"/>
      <c r="N64" s="35"/>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row>
    <row r="65" spans="1:73" x14ac:dyDescent="0.35">
      <c r="A65" s="27"/>
      <c r="B65" s="27"/>
      <c r="G65" s="63"/>
      <c r="H65" s="27"/>
      <c r="I65" s="27"/>
      <c r="J65" s="27"/>
      <c r="K65" s="27"/>
      <c r="L65" s="27"/>
      <c r="M65" s="27"/>
      <c r="N65" s="35"/>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row>
    <row r="66" spans="1:73" x14ac:dyDescent="0.35">
      <c r="A66" s="27"/>
      <c r="B66" s="27"/>
      <c r="G66" s="63"/>
      <c r="H66" s="27"/>
      <c r="I66" s="27"/>
      <c r="J66" s="27"/>
      <c r="K66" s="27"/>
      <c r="L66" s="27"/>
      <c r="M66" s="27"/>
      <c r="N66" s="35"/>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row>
    <row r="67" spans="1:73" x14ac:dyDescent="0.35">
      <c r="A67" s="27"/>
      <c r="B67" s="27"/>
      <c r="G67" s="63"/>
      <c r="H67" s="27"/>
      <c r="I67" s="27"/>
      <c r="J67" s="27"/>
      <c r="K67" s="27"/>
      <c r="L67" s="27"/>
      <c r="M67" s="27"/>
      <c r="N67" s="35"/>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row>
    <row r="68" spans="1:73" x14ac:dyDescent="0.35">
      <c r="A68" s="27"/>
      <c r="B68" s="195"/>
      <c r="G68" s="63"/>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row>
    <row r="69" spans="1:73" x14ac:dyDescent="0.35">
      <c r="A69" s="27"/>
      <c r="B69" s="196"/>
      <c r="G69" s="63"/>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row>
    <row r="70" spans="1:73" x14ac:dyDescent="0.35">
      <c r="A70" s="27"/>
      <c r="B70" s="196"/>
      <c r="G70" s="63"/>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row>
    <row r="71" spans="1:73" x14ac:dyDescent="0.35">
      <c r="A71" s="27"/>
      <c r="B71" s="196"/>
      <c r="G71" s="63"/>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row>
    <row r="72" spans="1:73" x14ac:dyDescent="0.35">
      <c r="A72" s="27"/>
      <c r="B72" s="196"/>
      <c r="G72" s="63"/>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row>
    <row r="73" spans="1:73" x14ac:dyDescent="0.35">
      <c r="A73" s="27"/>
      <c r="B73" s="196"/>
      <c r="G73" s="63"/>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row>
    <row r="74" spans="1:73" x14ac:dyDescent="0.35">
      <c r="A74" s="27"/>
      <c r="B74" s="196"/>
      <c r="G74" s="63"/>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row>
    <row r="75" spans="1:73" x14ac:dyDescent="0.35">
      <c r="A75" s="27"/>
      <c r="B75" s="196"/>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row>
    <row r="76" spans="1:73" x14ac:dyDescent="0.35">
      <c r="A76" s="27"/>
      <c r="B76" s="196"/>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row>
    <row r="77" spans="1:73" x14ac:dyDescent="0.35">
      <c r="A77" s="27"/>
      <c r="B77" s="196"/>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row>
    <row r="78" spans="1:73" x14ac:dyDescent="0.35">
      <c r="A78" s="27"/>
      <c r="B78" s="196"/>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row>
    <row r="79" spans="1:73" x14ac:dyDescent="0.35">
      <c r="A79" s="27"/>
      <c r="B79" s="196"/>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row>
    <row r="80" spans="1:73" x14ac:dyDescent="0.35">
      <c r="A80" s="27"/>
      <c r="B80" s="196"/>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row>
    <row r="81" spans="1:73" x14ac:dyDescent="0.35">
      <c r="A81" s="27"/>
      <c r="B81" s="196"/>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row>
    <row r="82" spans="1:73" x14ac:dyDescent="0.35">
      <c r="A82" s="27"/>
      <c r="B82" s="196"/>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row>
    <row r="83" spans="1:73" x14ac:dyDescent="0.35">
      <c r="A83" s="27"/>
      <c r="B83" s="196"/>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7"/>
      <c r="BK83" s="27"/>
      <c r="BL83" s="27"/>
      <c r="BM83" s="27"/>
      <c r="BN83" s="27"/>
      <c r="BO83" s="27"/>
      <c r="BP83" s="27"/>
      <c r="BQ83" s="27"/>
      <c r="BR83" s="27"/>
      <c r="BS83" s="27"/>
      <c r="BT83" s="27"/>
      <c r="BU83" s="27"/>
    </row>
    <row r="84" spans="1:73" x14ac:dyDescent="0.35">
      <c r="A84" s="27"/>
      <c r="B84" s="196"/>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row>
    <row r="85" spans="1:73" x14ac:dyDescent="0.35">
      <c r="A85" s="27"/>
      <c r="B85" s="196"/>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row>
    <row r="86" spans="1:73" x14ac:dyDescent="0.35">
      <c r="A86" s="27"/>
      <c r="B86" s="196"/>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row>
    <row r="87" spans="1:73" x14ac:dyDescent="0.35">
      <c r="A87" s="27"/>
      <c r="B87" s="196"/>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row>
    <row r="88" spans="1:73" x14ac:dyDescent="0.35">
      <c r="A88" s="27"/>
      <c r="B88" s="196"/>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row>
    <row r="89" spans="1:73" x14ac:dyDescent="0.35">
      <c r="A89" s="27"/>
      <c r="B89" s="196"/>
      <c r="C89" s="196"/>
      <c r="D89" s="196"/>
      <c r="E89" s="183"/>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row>
    <row r="90" spans="1:73" x14ac:dyDescent="0.35">
      <c r="A90" s="27"/>
      <c r="B90" s="196"/>
      <c r="C90" s="196"/>
      <c r="D90" s="196"/>
      <c r="E90" s="183"/>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row>
    <row r="91" spans="1:73" x14ac:dyDescent="0.35">
      <c r="A91" s="27"/>
      <c r="B91" s="183"/>
      <c r="C91" s="183"/>
      <c r="D91" s="183"/>
      <c r="E91" s="183"/>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row>
    <row r="92" spans="1:73" x14ac:dyDescent="0.35">
      <c r="A92" s="27"/>
      <c r="B92" s="183"/>
      <c r="C92" s="183"/>
      <c r="D92" s="183"/>
      <c r="E92" s="183"/>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row>
    <row r="93" spans="1:73" x14ac:dyDescent="0.35">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row>
    <row r="94" spans="1:73" x14ac:dyDescent="0.35">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row>
    <row r="95" spans="1:73" x14ac:dyDescent="0.3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row>
    <row r="96" spans="1:73" x14ac:dyDescent="0.35">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row>
    <row r="97" spans="1:73" x14ac:dyDescent="0.35">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row>
    <row r="98" spans="1:73" x14ac:dyDescent="0.35">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row>
    <row r="99" spans="1:73" x14ac:dyDescent="0.35">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row>
    <row r="100" spans="1:73" x14ac:dyDescent="0.35">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row>
    <row r="101" spans="1:73" x14ac:dyDescent="0.35">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row>
    <row r="102" spans="1:73" x14ac:dyDescent="0.35">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row>
    <row r="103" spans="1:73" x14ac:dyDescent="0.35">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row>
    <row r="104" spans="1:73" x14ac:dyDescent="0.35">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c r="BG104" s="27"/>
      <c r="BH104" s="27"/>
      <c r="BI104" s="27"/>
      <c r="BJ104" s="27"/>
      <c r="BK104" s="27"/>
      <c r="BL104" s="27"/>
      <c r="BM104" s="27"/>
      <c r="BN104" s="27"/>
      <c r="BO104" s="27"/>
      <c r="BP104" s="27"/>
      <c r="BQ104" s="27"/>
      <c r="BR104" s="27"/>
      <c r="BS104" s="27"/>
      <c r="BT104" s="27"/>
      <c r="BU104" s="27"/>
    </row>
    <row r="105" spans="1:73" x14ac:dyDescent="0.3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row>
    <row r="106" spans="1:73" x14ac:dyDescent="0.35">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row>
    <row r="107" spans="1:73" x14ac:dyDescent="0.35">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row>
    <row r="108" spans="1:73" x14ac:dyDescent="0.35">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c r="BP108" s="27"/>
      <c r="BQ108" s="27"/>
      <c r="BR108" s="27"/>
      <c r="BS108" s="27"/>
      <c r="BT108" s="27"/>
      <c r="BU108" s="27"/>
    </row>
    <row r="109" spans="1:73" x14ac:dyDescent="0.35">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c r="BE109" s="27"/>
      <c r="BF109" s="27"/>
      <c r="BG109" s="27"/>
      <c r="BH109" s="27"/>
      <c r="BI109" s="27"/>
      <c r="BJ109" s="27"/>
      <c r="BK109" s="27"/>
      <c r="BL109" s="27"/>
      <c r="BM109" s="27"/>
      <c r="BN109" s="27"/>
      <c r="BO109" s="27"/>
      <c r="BP109" s="27"/>
      <c r="BQ109" s="27"/>
      <c r="BR109" s="27"/>
      <c r="BS109" s="27"/>
      <c r="BT109" s="27"/>
      <c r="BU109" s="27"/>
    </row>
    <row r="110" spans="1:73" x14ac:dyDescent="0.35">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c r="BP110" s="27"/>
      <c r="BQ110" s="27"/>
      <c r="BR110" s="27"/>
      <c r="BS110" s="27"/>
      <c r="BT110" s="27"/>
      <c r="BU110" s="27"/>
    </row>
    <row r="111" spans="1:73" x14ac:dyDescent="0.35">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c r="BE111" s="27"/>
      <c r="BF111" s="27"/>
      <c r="BG111" s="27"/>
      <c r="BH111" s="27"/>
      <c r="BI111" s="27"/>
      <c r="BJ111" s="27"/>
      <c r="BK111" s="27"/>
      <c r="BL111" s="27"/>
      <c r="BM111" s="27"/>
      <c r="BN111" s="27"/>
      <c r="BO111" s="27"/>
      <c r="BP111" s="27"/>
      <c r="BQ111" s="27"/>
      <c r="BR111" s="27"/>
      <c r="BS111" s="27"/>
      <c r="BT111" s="27"/>
      <c r="BU111" s="27"/>
    </row>
    <row r="112" spans="1:73" x14ac:dyDescent="0.35">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c r="BE112" s="27"/>
      <c r="BF112" s="27"/>
      <c r="BG112" s="27"/>
      <c r="BH112" s="27"/>
      <c r="BI112" s="27"/>
      <c r="BJ112" s="27"/>
      <c r="BK112" s="27"/>
      <c r="BL112" s="27"/>
      <c r="BM112" s="27"/>
      <c r="BN112" s="27"/>
      <c r="BO112" s="27"/>
      <c r="BP112" s="27"/>
      <c r="BQ112" s="27"/>
      <c r="BR112" s="27"/>
      <c r="BS112" s="27"/>
      <c r="BT112" s="27"/>
      <c r="BU112" s="27"/>
    </row>
    <row r="113" spans="1:73" x14ac:dyDescent="0.35">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c r="BE113" s="27"/>
      <c r="BF113" s="27"/>
      <c r="BG113" s="27"/>
      <c r="BH113" s="27"/>
      <c r="BI113" s="27"/>
      <c r="BJ113" s="27"/>
      <c r="BK113" s="27"/>
      <c r="BL113" s="27"/>
      <c r="BM113" s="27"/>
      <c r="BN113" s="27"/>
      <c r="BO113" s="27"/>
      <c r="BP113" s="27"/>
      <c r="BQ113" s="27"/>
      <c r="BR113" s="27"/>
      <c r="BS113" s="27"/>
      <c r="BT113" s="27"/>
      <c r="BU113" s="27"/>
    </row>
    <row r="114" spans="1:73" x14ac:dyDescent="0.35">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c r="BC114" s="27"/>
      <c r="BD114" s="27"/>
      <c r="BE114" s="27"/>
      <c r="BF114" s="27"/>
      <c r="BG114" s="27"/>
      <c r="BH114" s="27"/>
      <c r="BI114" s="27"/>
      <c r="BJ114" s="27"/>
      <c r="BK114" s="27"/>
      <c r="BL114" s="27"/>
      <c r="BM114" s="27"/>
      <c r="BN114" s="27"/>
      <c r="BO114" s="27"/>
      <c r="BP114" s="27"/>
      <c r="BQ114" s="27"/>
      <c r="BR114" s="27"/>
      <c r="BS114" s="27"/>
      <c r="BT114" s="27"/>
      <c r="BU114" s="27"/>
    </row>
    <row r="115" spans="1:73" x14ac:dyDescent="0.3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c r="BE115" s="27"/>
      <c r="BF115" s="27"/>
      <c r="BG115" s="27"/>
      <c r="BH115" s="27"/>
      <c r="BI115" s="27"/>
      <c r="BJ115" s="27"/>
      <c r="BK115" s="27"/>
      <c r="BL115" s="27"/>
      <c r="BM115" s="27"/>
      <c r="BN115" s="27"/>
      <c r="BO115" s="27"/>
      <c r="BP115" s="27"/>
      <c r="BQ115" s="27"/>
      <c r="BR115" s="27"/>
      <c r="BS115" s="27"/>
      <c r="BT115" s="27"/>
      <c r="BU115" s="27"/>
    </row>
    <row r="116" spans="1:73" x14ac:dyDescent="0.35">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c r="BD116" s="27"/>
      <c r="BE116" s="27"/>
      <c r="BF116" s="27"/>
      <c r="BG116" s="27"/>
      <c r="BH116" s="27"/>
      <c r="BI116" s="27"/>
      <c r="BJ116" s="27"/>
      <c r="BK116" s="27"/>
      <c r="BL116" s="27"/>
      <c r="BM116" s="27"/>
      <c r="BN116" s="27"/>
      <c r="BO116" s="27"/>
      <c r="BP116" s="27"/>
      <c r="BQ116" s="27"/>
      <c r="BR116" s="27"/>
      <c r="BS116" s="27"/>
      <c r="BT116" s="27"/>
      <c r="BU116" s="27"/>
    </row>
    <row r="117" spans="1:73" x14ac:dyDescent="0.35">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c r="BE117" s="27"/>
      <c r="BF117" s="27"/>
      <c r="BG117" s="27"/>
      <c r="BH117" s="27"/>
      <c r="BI117" s="27"/>
      <c r="BJ117" s="27"/>
      <c r="BK117" s="27"/>
      <c r="BL117" s="27"/>
      <c r="BM117" s="27"/>
      <c r="BN117" s="27"/>
      <c r="BO117" s="27"/>
      <c r="BP117" s="27"/>
      <c r="BQ117" s="27"/>
      <c r="BR117" s="27"/>
      <c r="BS117" s="27"/>
      <c r="BT117" s="27"/>
      <c r="BU117" s="27"/>
    </row>
    <row r="118" spans="1:73" x14ac:dyDescent="0.35">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c r="BE118" s="27"/>
      <c r="BF118" s="27"/>
      <c r="BG118" s="27"/>
      <c r="BH118" s="27"/>
      <c r="BI118" s="27"/>
      <c r="BJ118" s="27"/>
      <c r="BK118" s="27"/>
      <c r="BL118" s="27"/>
      <c r="BM118" s="27"/>
      <c r="BN118" s="27"/>
      <c r="BO118" s="27"/>
      <c r="BP118" s="27"/>
      <c r="BQ118" s="27"/>
      <c r="BR118" s="27"/>
      <c r="BS118" s="27"/>
      <c r="BT118" s="27"/>
      <c r="BU118" s="27"/>
    </row>
    <row r="119" spans="1:73" x14ac:dyDescent="0.35">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c r="BE119" s="27"/>
      <c r="BF119" s="27"/>
      <c r="BG119" s="27"/>
      <c r="BH119" s="27"/>
      <c r="BI119" s="27"/>
      <c r="BJ119" s="27"/>
      <c r="BK119" s="27"/>
      <c r="BL119" s="27"/>
      <c r="BM119" s="27"/>
      <c r="BN119" s="27"/>
      <c r="BO119" s="27"/>
      <c r="BP119" s="27"/>
      <c r="BQ119" s="27"/>
      <c r="BR119" s="27"/>
      <c r="BS119" s="27"/>
      <c r="BT119" s="27"/>
      <c r="BU119" s="27"/>
    </row>
    <row r="120" spans="1:73" x14ac:dyDescent="0.35">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c r="BE120" s="27"/>
      <c r="BF120" s="27"/>
      <c r="BG120" s="27"/>
      <c r="BH120" s="27"/>
      <c r="BI120" s="27"/>
      <c r="BJ120" s="27"/>
      <c r="BK120" s="27"/>
      <c r="BL120" s="27"/>
      <c r="BM120" s="27"/>
      <c r="BN120" s="27"/>
      <c r="BO120" s="27"/>
      <c r="BP120" s="27"/>
      <c r="BQ120" s="27"/>
      <c r="BR120" s="27"/>
      <c r="BS120" s="27"/>
      <c r="BT120" s="27"/>
      <c r="BU120" s="27"/>
    </row>
    <row r="121" spans="1:73" x14ac:dyDescent="0.35">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c r="BC121" s="27"/>
      <c r="BD121" s="27"/>
      <c r="BE121" s="27"/>
      <c r="BF121" s="27"/>
      <c r="BG121" s="27"/>
      <c r="BH121" s="27"/>
      <c r="BI121" s="27"/>
      <c r="BJ121" s="27"/>
      <c r="BK121" s="27"/>
      <c r="BL121" s="27"/>
      <c r="BM121" s="27"/>
      <c r="BN121" s="27"/>
      <c r="BO121" s="27"/>
      <c r="BP121" s="27"/>
      <c r="BQ121" s="27"/>
      <c r="BR121" s="27"/>
      <c r="BS121" s="27"/>
      <c r="BT121" s="27"/>
      <c r="BU121" s="27"/>
    </row>
    <row r="122" spans="1:73" x14ac:dyDescent="0.35">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c r="BE122" s="27"/>
      <c r="BF122" s="27"/>
      <c r="BG122" s="27"/>
      <c r="BH122" s="27"/>
      <c r="BI122" s="27"/>
      <c r="BJ122" s="27"/>
      <c r="BK122" s="27"/>
      <c r="BL122" s="27"/>
      <c r="BM122" s="27"/>
      <c r="BN122" s="27"/>
      <c r="BO122" s="27"/>
      <c r="BP122" s="27"/>
      <c r="BQ122" s="27"/>
      <c r="BR122" s="27"/>
      <c r="BS122" s="27"/>
      <c r="BT122" s="27"/>
      <c r="BU122" s="27"/>
    </row>
    <row r="123" spans="1:73" x14ac:dyDescent="0.35">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c r="BG123" s="27"/>
      <c r="BH123" s="27"/>
      <c r="BI123" s="27"/>
      <c r="BJ123" s="27"/>
      <c r="BK123" s="27"/>
      <c r="BL123" s="27"/>
      <c r="BM123" s="27"/>
      <c r="BN123" s="27"/>
      <c r="BO123" s="27"/>
      <c r="BP123" s="27"/>
      <c r="BQ123" s="27"/>
      <c r="BR123" s="27"/>
      <c r="BS123" s="27"/>
      <c r="BT123" s="27"/>
      <c r="BU123" s="27"/>
    </row>
    <row r="124" spans="1:73" x14ac:dyDescent="0.35">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c r="BE124" s="27"/>
      <c r="BF124" s="27"/>
      <c r="BG124" s="27"/>
      <c r="BH124" s="27"/>
      <c r="BI124" s="27"/>
      <c r="BJ124" s="27"/>
      <c r="BK124" s="27"/>
      <c r="BL124" s="27"/>
      <c r="BM124" s="27"/>
      <c r="BN124" s="27"/>
      <c r="BO124" s="27"/>
      <c r="BP124" s="27"/>
      <c r="BQ124" s="27"/>
      <c r="BR124" s="27"/>
      <c r="BS124" s="27"/>
      <c r="BT124" s="27"/>
      <c r="BU124" s="27"/>
    </row>
    <row r="125" spans="1:73" x14ac:dyDescent="0.3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c r="BE125" s="27"/>
      <c r="BF125" s="27"/>
      <c r="BG125" s="27"/>
      <c r="BH125" s="27"/>
      <c r="BI125" s="27"/>
      <c r="BJ125" s="27"/>
      <c r="BK125" s="27"/>
      <c r="BL125" s="27"/>
      <c r="BM125" s="27"/>
      <c r="BN125" s="27"/>
      <c r="BO125" s="27"/>
      <c r="BP125" s="27"/>
      <c r="BQ125" s="27"/>
      <c r="BR125" s="27"/>
      <c r="BS125" s="27"/>
      <c r="BT125" s="27"/>
      <c r="BU125" s="27"/>
    </row>
    <row r="126" spans="1:73" x14ac:dyDescent="0.35">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c r="BE126" s="27"/>
      <c r="BF126" s="27"/>
      <c r="BG126" s="27"/>
      <c r="BH126" s="27"/>
      <c r="BI126" s="27"/>
      <c r="BJ126" s="27"/>
      <c r="BK126" s="27"/>
      <c r="BL126" s="27"/>
      <c r="BM126" s="27"/>
      <c r="BN126" s="27"/>
      <c r="BO126" s="27"/>
      <c r="BP126" s="27"/>
      <c r="BQ126" s="27"/>
      <c r="BR126" s="27"/>
      <c r="BS126" s="27"/>
      <c r="BT126" s="27"/>
      <c r="BU126" s="27"/>
    </row>
    <row r="127" spans="1:73" x14ac:dyDescent="0.35">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c r="BE127" s="27"/>
      <c r="BF127" s="27"/>
      <c r="BG127" s="27"/>
      <c r="BH127" s="27"/>
      <c r="BI127" s="27"/>
      <c r="BJ127" s="27"/>
      <c r="BK127" s="27"/>
      <c r="BL127" s="27"/>
      <c r="BM127" s="27"/>
      <c r="BN127" s="27"/>
      <c r="BO127" s="27"/>
      <c r="BP127" s="27"/>
      <c r="BQ127" s="27"/>
      <c r="BR127" s="27"/>
      <c r="BS127" s="27"/>
      <c r="BT127" s="27"/>
      <c r="BU127" s="27"/>
    </row>
    <row r="128" spans="1:73" x14ac:dyDescent="0.35">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c r="BE128" s="27"/>
      <c r="BF128" s="27"/>
      <c r="BG128" s="27"/>
      <c r="BH128" s="27"/>
      <c r="BI128" s="27"/>
      <c r="BJ128" s="27"/>
      <c r="BK128" s="27"/>
      <c r="BL128" s="27"/>
      <c r="BM128" s="27"/>
      <c r="BN128" s="27"/>
      <c r="BO128" s="27"/>
      <c r="BP128" s="27"/>
      <c r="BQ128" s="27"/>
      <c r="BR128" s="27"/>
      <c r="BS128" s="27"/>
      <c r="BT128" s="27"/>
      <c r="BU128" s="27"/>
    </row>
    <row r="129" spans="1:73" x14ac:dyDescent="0.35">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c r="BG129" s="27"/>
      <c r="BH129" s="27"/>
      <c r="BI129" s="27"/>
      <c r="BJ129" s="27"/>
      <c r="BK129" s="27"/>
      <c r="BL129" s="27"/>
      <c r="BM129" s="27"/>
      <c r="BN129" s="27"/>
      <c r="BO129" s="27"/>
      <c r="BP129" s="27"/>
      <c r="BQ129" s="27"/>
      <c r="BR129" s="27"/>
      <c r="BS129" s="27"/>
      <c r="BT129" s="27"/>
      <c r="BU129" s="27"/>
    </row>
    <row r="130" spans="1:73" x14ac:dyDescent="0.35">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c r="BE130" s="27"/>
      <c r="BF130" s="27"/>
      <c r="BG130" s="27"/>
      <c r="BH130" s="27"/>
      <c r="BI130" s="27"/>
      <c r="BJ130" s="27"/>
      <c r="BK130" s="27"/>
      <c r="BL130" s="27"/>
      <c r="BM130" s="27"/>
      <c r="BN130" s="27"/>
      <c r="BO130" s="27"/>
      <c r="BP130" s="27"/>
      <c r="BQ130" s="27"/>
      <c r="BR130" s="27"/>
      <c r="BS130" s="27"/>
      <c r="BT130" s="27"/>
      <c r="BU130" s="27"/>
    </row>
    <row r="131" spans="1:73" x14ac:dyDescent="0.3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c r="BE131" s="27"/>
      <c r="BF131" s="27"/>
      <c r="BG131" s="27"/>
      <c r="BH131" s="27"/>
      <c r="BI131" s="27"/>
      <c r="BJ131" s="27"/>
      <c r="BK131" s="27"/>
      <c r="BL131" s="27"/>
      <c r="BM131" s="27"/>
      <c r="BN131" s="27"/>
      <c r="BO131" s="27"/>
      <c r="BP131" s="27"/>
      <c r="BQ131" s="27"/>
      <c r="BR131" s="27"/>
      <c r="BS131" s="27"/>
      <c r="BT131" s="27"/>
      <c r="BU131" s="27"/>
    </row>
    <row r="132" spans="1:73" x14ac:dyDescent="0.35">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c r="BE132" s="27"/>
      <c r="BF132" s="27"/>
      <c r="BG132" s="27"/>
      <c r="BH132" s="27"/>
      <c r="BI132" s="27"/>
      <c r="BJ132" s="27"/>
      <c r="BK132" s="27"/>
      <c r="BL132" s="27"/>
      <c r="BM132" s="27"/>
      <c r="BN132" s="27"/>
      <c r="BO132" s="27"/>
      <c r="BP132" s="27"/>
      <c r="BQ132" s="27"/>
      <c r="BR132" s="27"/>
      <c r="BS132" s="27"/>
      <c r="BT132" s="27"/>
      <c r="BU132" s="27"/>
    </row>
    <row r="133" spans="1:73" x14ac:dyDescent="0.35">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c r="BG133" s="27"/>
      <c r="BH133" s="27"/>
      <c r="BI133" s="27"/>
      <c r="BJ133" s="27"/>
      <c r="BK133" s="27"/>
      <c r="BL133" s="27"/>
      <c r="BM133" s="27"/>
      <c r="BN133" s="27"/>
      <c r="BO133" s="27"/>
      <c r="BP133" s="27"/>
      <c r="BQ133" s="27"/>
      <c r="BR133" s="27"/>
      <c r="BS133" s="27"/>
      <c r="BT133" s="27"/>
      <c r="BU133" s="27"/>
    </row>
    <row r="134" spans="1:73" x14ac:dyDescent="0.35">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c r="BG134" s="27"/>
      <c r="BH134" s="27"/>
      <c r="BI134" s="27"/>
      <c r="BJ134" s="27"/>
      <c r="BK134" s="27"/>
      <c r="BL134" s="27"/>
      <c r="BM134" s="27"/>
      <c r="BN134" s="27"/>
      <c r="BO134" s="27"/>
      <c r="BP134" s="27"/>
      <c r="BQ134" s="27"/>
      <c r="BR134" s="27"/>
      <c r="BS134" s="27"/>
      <c r="BT134" s="27"/>
      <c r="BU134" s="27"/>
    </row>
    <row r="135" spans="1:73" x14ac:dyDescent="0.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c r="BE135" s="27"/>
      <c r="BF135" s="27"/>
      <c r="BG135" s="27"/>
      <c r="BH135" s="27"/>
      <c r="BI135" s="27"/>
      <c r="BJ135" s="27"/>
      <c r="BK135" s="27"/>
      <c r="BL135" s="27"/>
      <c r="BM135" s="27"/>
      <c r="BN135" s="27"/>
      <c r="BO135" s="27"/>
      <c r="BP135" s="27"/>
      <c r="BQ135" s="27"/>
      <c r="BR135" s="27"/>
      <c r="BS135" s="27"/>
      <c r="BT135" s="27"/>
      <c r="BU135" s="27"/>
    </row>
    <row r="136" spans="1:73" x14ac:dyDescent="0.35">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c r="BE136" s="27"/>
      <c r="BF136" s="27"/>
      <c r="BG136" s="27"/>
      <c r="BH136" s="27"/>
      <c r="BI136" s="27"/>
      <c r="BJ136" s="27"/>
      <c r="BK136" s="27"/>
      <c r="BL136" s="27"/>
      <c r="BM136" s="27"/>
      <c r="BN136" s="27"/>
      <c r="BO136" s="27"/>
      <c r="BP136" s="27"/>
      <c r="BQ136" s="27"/>
      <c r="BR136" s="27"/>
      <c r="BS136" s="27"/>
      <c r="BT136" s="27"/>
      <c r="BU136" s="27"/>
    </row>
    <row r="137" spans="1:73" x14ac:dyDescent="0.35">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c r="BG137" s="27"/>
      <c r="BH137" s="27"/>
      <c r="BI137" s="27"/>
      <c r="BJ137" s="27"/>
      <c r="BK137" s="27"/>
      <c r="BL137" s="27"/>
      <c r="BM137" s="27"/>
      <c r="BN137" s="27"/>
      <c r="BO137" s="27"/>
      <c r="BP137" s="27"/>
      <c r="BQ137" s="27"/>
      <c r="BR137" s="27"/>
      <c r="BS137" s="27"/>
      <c r="BT137" s="27"/>
      <c r="BU137" s="27"/>
    </row>
    <row r="138" spans="1:73" x14ac:dyDescent="0.35">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c r="BG138" s="27"/>
      <c r="BH138" s="27"/>
      <c r="BI138" s="27"/>
      <c r="BJ138" s="27"/>
      <c r="BK138" s="27"/>
      <c r="BL138" s="27"/>
      <c r="BM138" s="27"/>
      <c r="BN138" s="27"/>
      <c r="BO138" s="27"/>
      <c r="BP138" s="27"/>
      <c r="BQ138" s="27"/>
      <c r="BR138" s="27"/>
      <c r="BS138" s="27"/>
      <c r="BT138" s="27"/>
      <c r="BU138" s="27"/>
    </row>
    <row r="139" spans="1:73" x14ac:dyDescent="0.35">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c r="BG139" s="27"/>
      <c r="BH139" s="27"/>
      <c r="BI139" s="27"/>
      <c r="BJ139" s="27"/>
      <c r="BK139" s="27"/>
      <c r="BL139" s="27"/>
      <c r="BM139" s="27"/>
      <c r="BN139" s="27"/>
      <c r="BO139" s="27"/>
      <c r="BP139" s="27"/>
      <c r="BQ139" s="27"/>
      <c r="BR139" s="27"/>
      <c r="BS139" s="27"/>
      <c r="BT139" s="27"/>
      <c r="BU139" s="27"/>
    </row>
    <row r="140" spans="1:73" x14ac:dyDescent="0.35">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c r="BG140" s="27"/>
      <c r="BH140" s="27"/>
      <c r="BI140" s="27"/>
      <c r="BJ140" s="27"/>
      <c r="BK140" s="27"/>
      <c r="BL140" s="27"/>
      <c r="BM140" s="27"/>
      <c r="BN140" s="27"/>
      <c r="BO140" s="27"/>
      <c r="BP140" s="27"/>
      <c r="BQ140" s="27"/>
      <c r="BR140" s="27"/>
      <c r="BS140" s="27"/>
      <c r="BT140" s="27"/>
      <c r="BU140" s="27"/>
    </row>
    <row r="141" spans="1:73" x14ac:dyDescent="0.35">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c r="BE141" s="27"/>
      <c r="BF141" s="27"/>
      <c r="BG141" s="27"/>
      <c r="BH141" s="27"/>
      <c r="BI141" s="27"/>
      <c r="BJ141" s="27"/>
      <c r="BK141" s="27"/>
      <c r="BL141" s="27"/>
      <c r="BM141" s="27"/>
      <c r="BN141" s="27"/>
      <c r="BO141" s="27"/>
      <c r="BP141" s="27"/>
      <c r="BQ141" s="27"/>
      <c r="BR141" s="27"/>
      <c r="BS141" s="27"/>
      <c r="BT141" s="27"/>
      <c r="BU141" s="27"/>
    </row>
    <row r="142" spans="1:73" x14ac:dyDescent="0.3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c r="BE142" s="27"/>
      <c r="BF142" s="27"/>
      <c r="BG142" s="27"/>
      <c r="BH142" s="27"/>
      <c r="BI142" s="27"/>
      <c r="BJ142" s="27"/>
      <c r="BK142" s="27"/>
      <c r="BL142" s="27"/>
      <c r="BM142" s="27"/>
      <c r="BN142" s="27"/>
      <c r="BO142" s="27"/>
      <c r="BP142" s="27"/>
      <c r="BQ142" s="27"/>
      <c r="BR142" s="27"/>
      <c r="BS142" s="27"/>
      <c r="BT142" s="27"/>
      <c r="BU142" s="27"/>
    </row>
    <row r="143" spans="1:73" x14ac:dyDescent="0.35">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c r="BG143" s="27"/>
      <c r="BH143" s="27"/>
      <c r="BI143" s="27"/>
      <c r="BJ143" s="27"/>
      <c r="BK143" s="27"/>
      <c r="BL143" s="27"/>
      <c r="BM143" s="27"/>
      <c r="BN143" s="27"/>
      <c r="BO143" s="27"/>
      <c r="BP143" s="27"/>
      <c r="BQ143" s="27"/>
      <c r="BR143" s="27"/>
      <c r="BS143" s="27"/>
      <c r="BT143" s="27"/>
      <c r="BU143" s="27"/>
    </row>
    <row r="144" spans="1:73" x14ac:dyDescent="0.35">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c r="BE144" s="27"/>
      <c r="BF144" s="27"/>
      <c r="BG144" s="27"/>
      <c r="BH144" s="27"/>
      <c r="BI144" s="27"/>
      <c r="BJ144" s="27"/>
      <c r="BK144" s="27"/>
      <c r="BL144" s="27"/>
      <c r="BM144" s="27"/>
      <c r="BN144" s="27"/>
      <c r="BO144" s="27"/>
      <c r="BP144" s="27"/>
      <c r="BQ144" s="27"/>
      <c r="BR144" s="27"/>
      <c r="BS144" s="27"/>
      <c r="BT144" s="27"/>
      <c r="BU144" s="27"/>
    </row>
    <row r="145" spans="1:73" x14ac:dyDescent="0.3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c r="BG145" s="27"/>
      <c r="BH145" s="27"/>
      <c r="BI145" s="27"/>
      <c r="BJ145" s="27"/>
      <c r="BK145" s="27"/>
      <c r="BL145" s="27"/>
      <c r="BM145" s="27"/>
      <c r="BN145" s="27"/>
      <c r="BO145" s="27"/>
      <c r="BP145" s="27"/>
      <c r="BQ145" s="27"/>
      <c r="BR145" s="27"/>
      <c r="BS145" s="27"/>
      <c r="BT145" s="27"/>
      <c r="BU145" s="27"/>
    </row>
    <row r="146" spans="1:73" x14ac:dyDescent="0.3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c r="BG146" s="27"/>
      <c r="BH146" s="27"/>
      <c r="BI146" s="27"/>
      <c r="BJ146" s="27"/>
      <c r="BK146" s="27"/>
      <c r="BL146" s="27"/>
      <c r="BM146" s="27"/>
      <c r="BN146" s="27"/>
      <c r="BO146" s="27"/>
      <c r="BP146" s="27"/>
      <c r="BQ146" s="27"/>
      <c r="BR146" s="27"/>
      <c r="BS146" s="27"/>
      <c r="BT146" s="27"/>
      <c r="BU146" s="27"/>
    </row>
    <row r="147" spans="1:73" x14ac:dyDescent="0.35">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c r="BG147" s="27"/>
      <c r="BH147" s="27"/>
      <c r="BI147" s="27"/>
      <c r="BJ147" s="27"/>
      <c r="BK147" s="27"/>
      <c r="BL147" s="27"/>
      <c r="BM147" s="27"/>
      <c r="BN147" s="27"/>
      <c r="BO147" s="27"/>
      <c r="BP147" s="27"/>
      <c r="BQ147" s="27"/>
      <c r="BR147" s="27"/>
      <c r="BS147" s="27"/>
      <c r="BT147" s="27"/>
      <c r="BU147" s="27"/>
    </row>
    <row r="148" spans="1:73" x14ac:dyDescent="0.35">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c r="BG148" s="27"/>
      <c r="BH148" s="27"/>
      <c r="BI148" s="27"/>
      <c r="BJ148" s="27"/>
      <c r="BK148" s="27"/>
      <c r="BL148" s="27"/>
      <c r="BM148" s="27"/>
      <c r="BN148" s="27"/>
      <c r="BO148" s="27"/>
      <c r="BP148" s="27"/>
      <c r="BQ148" s="27"/>
      <c r="BR148" s="27"/>
      <c r="BS148" s="27"/>
      <c r="BT148" s="27"/>
      <c r="BU148" s="27"/>
    </row>
    <row r="149" spans="1:73" x14ac:dyDescent="0.35">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c r="BE149" s="27"/>
      <c r="BF149" s="27"/>
      <c r="BG149" s="27"/>
      <c r="BH149" s="27"/>
      <c r="BI149" s="27"/>
      <c r="BJ149" s="27"/>
      <c r="BK149" s="27"/>
      <c r="BL149" s="27"/>
      <c r="BM149" s="27"/>
      <c r="BN149" s="27"/>
      <c r="BO149" s="27"/>
      <c r="BP149" s="27"/>
      <c r="BQ149" s="27"/>
      <c r="BR149" s="27"/>
      <c r="BS149" s="27"/>
      <c r="BT149" s="27"/>
      <c r="BU149" s="27"/>
    </row>
    <row r="150" spans="1:73" x14ac:dyDescent="0.35">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c r="BE150" s="27"/>
      <c r="BF150" s="27"/>
      <c r="BG150" s="27"/>
      <c r="BH150" s="27"/>
      <c r="BI150" s="27"/>
      <c r="BJ150" s="27"/>
      <c r="BK150" s="27"/>
      <c r="BL150" s="27"/>
      <c r="BM150" s="27"/>
      <c r="BN150" s="27"/>
      <c r="BO150" s="27"/>
      <c r="BP150" s="27"/>
      <c r="BQ150" s="27"/>
      <c r="BR150" s="27"/>
      <c r="BS150" s="27"/>
      <c r="BT150" s="27"/>
      <c r="BU150" s="27"/>
    </row>
    <row r="151" spans="1:73" x14ac:dyDescent="0.3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c r="BG151" s="27"/>
      <c r="BH151" s="27"/>
      <c r="BI151" s="27"/>
      <c r="BJ151" s="27"/>
      <c r="BK151" s="27"/>
      <c r="BL151" s="27"/>
      <c r="BM151" s="27"/>
      <c r="BN151" s="27"/>
      <c r="BO151" s="27"/>
      <c r="BP151" s="27"/>
      <c r="BQ151" s="27"/>
      <c r="BR151" s="27"/>
      <c r="BS151" s="27"/>
      <c r="BT151" s="27"/>
      <c r="BU151" s="27"/>
    </row>
    <row r="152" spans="1:73" x14ac:dyDescent="0.3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c r="BE152" s="27"/>
      <c r="BF152" s="27"/>
      <c r="BG152" s="27"/>
      <c r="BH152" s="27"/>
      <c r="BI152" s="27"/>
      <c r="BJ152" s="27"/>
      <c r="BK152" s="27"/>
      <c r="BL152" s="27"/>
      <c r="BM152" s="27"/>
      <c r="BN152" s="27"/>
      <c r="BO152" s="27"/>
      <c r="BP152" s="27"/>
      <c r="BQ152" s="27"/>
      <c r="BR152" s="27"/>
      <c r="BS152" s="27"/>
      <c r="BT152" s="27"/>
      <c r="BU152" s="27"/>
    </row>
    <row r="153" spans="1:73" x14ac:dyDescent="0.3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c r="BG153" s="27"/>
      <c r="BH153" s="27"/>
      <c r="BI153" s="27"/>
      <c r="BJ153" s="27"/>
      <c r="BK153" s="27"/>
      <c r="BL153" s="27"/>
      <c r="BM153" s="27"/>
      <c r="BN153" s="27"/>
      <c r="BO153" s="27"/>
      <c r="BP153" s="27"/>
      <c r="BQ153" s="27"/>
      <c r="BR153" s="27"/>
      <c r="BS153" s="27"/>
      <c r="BT153" s="27"/>
      <c r="BU153" s="27"/>
    </row>
    <row r="154" spans="1:73" x14ac:dyDescent="0.3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c r="BG154" s="27"/>
      <c r="BH154" s="27"/>
      <c r="BI154" s="27"/>
      <c r="BJ154" s="27"/>
      <c r="BK154" s="27"/>
      <c r="BL154" s="27"/>
      <c r="BM154" s="27"/>
      <c r="BN154" s="27"/>
      <c r="BO154" s="27"/>
      <c r="BP154" s="27"/>
      <c r="BQ154" s="27"/>
      <c r="BR154" s="27"/>
      <c r="BS154" s="27"/>
      <c r="BT154" s="27"/>
      <c r="BU154" s="27"/>
    </row>
    <row r="155" spans="1:73" x14ac:dyDescent="0.3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c r="BG155" s="27"/>
      <c r="BH155" s="27"/>
      <c r="BI155" s="27"/>
      <c r="BJ155" s="27"/>
      <c r="BK155" s="27"/>
      <c r="BL155" s="27"/>
      <c r="BM155" s="27"/>
      <c r="BN155" s="27"/>
      <c r="BO155" s="27"/>
      <c r="BP155" s="27"/>
      <c r="BQ155" s="27"/>
      <c r="BR155" s="27"/>
      <c r="BS155" s="27"/>
      <c r="BT155" s="27"/>
      <c r="BU155" s="27"/>
    </row>
    <row r="156" spans="1:73" x14ac:dyDescent="0.3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c r="BG156" s="27"/>
      <c r="BH156" s="27"/>
      <c r="BI156" s="27"/>
      <c r="BJ156" s="27"/>
      <c r="BK156" s="27"/>
      <c r="BL156" s="27"/>
      <c r="BM156" s="27"/>
      <c r="BN156" s="27"/>
      <c r="BO156" s="27"/>
      <c r="BP156" s="27"/>
      <c r="BQ156" s="27"/>
      <c r="BR156" s="27"/>
      <c r="BS156" s="27"/>
      <c r="BT156" s="27"/>
      <c r="BU156" s="27"/>
    </row>
    <row r="157" spans="1:73" x14ac:dyDescent="0.3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c r="BE157" s="27"/>
      <c r="BF157" s="27"/>
      <c r="BG157" s="27"/>
      <c r="BH157" s="27"/>
      <c r="BI157" s="27"/>
      <c r="BJ157" s="27"/>
      <c r="BK157" s="27"/>
      <c r="BL157" s="27"/>
      <c r="BM157" s="27"/>
      <c r="BN157" s="27"/>
      <c r="BO157" s="27"/>
      <c r="BP157" s="27"/>
      <c r="BQ157" s="27"/>
      <c r="BR157" s="27"/>
      <c r="BS157" s="27"/>
      <c r="BT157" s="27"/>
      <c r="BU157" s="27"/>
    </row>
    <row r="158" spans="1:73" x14ac:dyDescent="0.3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c r="BE158" s="27"/>
      <c r="BF158" s="27"/>
      <c r="BG158" s="27"/>
      <c r="BH158" s="27"/>
      <c r="BI158" s="27"/>
      <c r="BJ158" s="27"/>
      <c r="BK158" s="27"/>
      <c r="BL158" s="27"/>
      <c r="BM158" s="27"/>
      <c r="BN158" s="27"/>
      <c r="BO158" s="27"/>
      <c r="BP158" s="27"/>
      <c r="BQ158" s="27"/>
      <c r="BR158" s="27"/>
      <c r="BS158" s="27"/>
      <c r="BT158" s="27"/>
      <c r="BU158" s="27"/>
    </row>
  </sheetData>
  <autoFilter ref="R1:BR16" xr:uid="{00000000-0009-0000-0000-000007000000}">
    <sortState ref="R2:BR15">
      <sortCondition ref="R1:R15"/>
    </sortState>
  </autoFilter>
  <mergeCells count="3">
    <mergeCell ref="J2:K2"/>
    <mergeCell ref="E2:G2"/>
    <mergeCell ref="AL2:AO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6"/>
  <sheetViews>
    <sheetView showGridLines="0" zoomScale="55" zoomScaleNormal="55" workbookViewId="0">
      <selection activeCell="E31" sqref="E31"/>
    </sheetView>
  </sheetViews>
  <sheetFormatPr defaultRowHeight="14.5" x14ac:dyDescent="0.35"/>
  <cols>
    <col min="2" max="2" width="34.54296875" customWidth="1"/>
    <col min="3" max="3" width="27.81640625" customWidth="1"/>
    <col min="4" max="4" width="40.453125" customWidth="1"/>
    <col min="5" max="5" width="43.54296875" customWidth="1"/>
  </cols>
  <sheetData>
    <row r="1" spans="1:5" x14ac:dyDescent="0.35">
      <c r="A1" s="110"/>
      <c r="B1" s="210" t="s">
        <v>209</v>
      </c>
      <c r="C1" s="210" t="s">
        <v>207</v>
      </c>
      <c r="D1" s="210" t="s">
        <v>4</v>
      </c>
      <c r="E1" s="27"/>
    </row>
    <row r="2" spans="1:5" ht="43.5" x14ac:dyDescent="0.35">
      <c r="A2" s="146">
        <v>1</v>
      </c>
      <c r="B2" s="211" t="s">
        <v>37</v>
      </c>
      <c r="C2" s="212" t="s">
        <v>220</v>
      </c>
      <c r="D2" s="213" t="s">
        <v>204</v>
      </c>
      <c r="E2" s="63"/>
    </row>
    <row r="3" spans="1:5" ht="43.5" x14ac:dyDescent="0.35">
      <c r="A3" s="146">
        <v>2</v>
      </c>
      <c r="B3" s="211" t="s">
        <v>70</v>
      </c>
      <c r="C3" s="212" t="s">
        <v>221</v>
      </c>
      <c r="D3" s="212" t="s">
        <v>205</v>
      </c>
      <c r="E3" s="63"/>
    </row>
    <row r="4" spans="1:5" x14ac:dyDescent="0.35">
      <c r="B4" s="27"/>
      <c r="C4" s="27"/>
      <c r="D4" s="27"/>
      <c r="E4" s="63"/>
    </row>
    <row r="5" spans="1:5" ht="15.5" x14ac:dyDescent="0.35">
      <c r="A5" s="202"/>
      <c r="B5" s="203" t="s">
        <v>208</v>
      </c>
      <c r="C5" s="203" t="s">
        <v>210</v>
      </c>
      <c r="D5" s="203" t="s">
        <v>4</v>
      </c>
      <c r="E5" s="63"/>
    </row>
    <row r="6" spans="1:5" ht="59.15" customHeight="1" x14ac:dyDescent="0.35">
      <c r="A6" s="204">
        <v>1</v>
      </c>
      <c r="B6" s="205" t="s">
        <v>198</v>
      </c>
      <c r="C6" s="205" t="s">
        <v>44</v>
      </c>
      <c r="D6" s="206" t="s">
        <v>206</v>
      </c>
      <c r="E6" s="197"/>
    </row>
    <row r="7" spans="1:5" ht="34" customHeight="1" x14ac:dyDescent="0.35">
      <c r="A7" s="449">
        <v>2</v>
      </c>
      <c r="B7" s="447" t="s">
        <v>199</v>
      </c>
      <c r="C7" s="206" t="s">
        <v>211</v>
      </c>
      <c r="D7" s="206" t="s">
        <v>156</v>
      </c>
      <c r="E7" s="63"/>
    </row>
    <row r="8" spans="1:5" ht="46.5" x14ac:dyDescent="0.35">
      <c r="A8" s="449"/>
      <c r="B8" s="447"/>
      <c r="C8" s="206" t="s">
        <v>212</v>
      </c>
      <c r="D8" s="206" t="s">
        <v>153</v>
      </c>
      <c r="E8" s="63"/>
    </row>
    <row r="9" spans="1:5" ht="59.5" customHeight="1" x14ac:dyDescent="0.35">
      <c r="A9" s="449"/>
      <c r="B9" s="447"/>
      <c r="C9" s="206" t="s">
        <v>213</v>
      </c>
      <c r="D9" s="207" t="s">
        <v>153</v>
      </c>
      <c r="E9" s="63"/>
    </row>
    <row r="10" spans="1:5" ht="46.5" x14ac:dyDescent="0.35">
      <c r="A10" s="204">
        <v>3</v>
      </c>
      <c r="B10" s="205" t="s">
        <v>200</v>
      </c>
      <c r="C10" s="206" t="s">
        <v>161</v>
      </c>
      <c r="D10" s="207" t="s">
        <v>160</v>
      </c>
      <c r="E10" s="63"/>
    </row>
    <row r="11" spans="1:5" ht="77.5" x14ac:dyDescent="0.35">
      <c r="A11" s="204">
        <v>4</v>
      </c>
      <c r="B11" s="205" t="s">
        <v>214</v>
      </c>
      <c r="C11" s="205" t="s">
        <v>215</v>
      </c>
      <c r="D11" s="207" t="s">
        <v>216</v>
      </c>
      <c r="E11" s="63"/>
    </row>
    <row r="12" spans="1:5" ht="15.5" x14ac:dyDescent="0.35">
      <c r="A12" s="450">
        <v>5</v>
      </c>
      <c r="B12" s="448" t="s">
        <v>201</v>
      </c>
      <c r="C12" s="208" t="s">
        <v>217</v>
      </c>
      <c r="D12" s="209" t="s">
        <v>219</v>
      </c>
      <c r="E12" s="63"/>
    </row>
    <row r="13" spans="1:5" ht="15.5" x14ac:dyDescent="0.35">
      <c r="A13" s="450"/>
      <c r="B13" s="448"/>
      <c r="C13" s="208" t="s">
        <v>218</v>
      </c>
      <c r="D13" s="209" t="s">
        <v>94</v>
      </c>
      <c r="E13" s="63"/>
    </row>
    <row r="14" spans="1:5" ht="15.5" x14ac:dyDescent="0.35">
      <c r="A14" s="204">
        <v>6</v>
      </c>
      <c r="B14" s="205" t="s">
        <v>202</v>
      </c>
      <c r="C14" s="208" t="s">
        <v>99</v>
      </c>
      <c r="D14" s="209" t="s">
        <v>222</v>
      </c>
      <c r="E14" s="63"/>
    </row>
    <row r="15" spans="1:5" ht="108.5" x14ac:dyDescent="0.35">
      <c r="A15" s="204">
        <v>7</v>
      </c>
      <c r="B15" s="205" t="s">
        <v>203</v>
      </c>
      <c r="C15" s="205" t="s">
        <v>224</v>
      </c>
      <c r="D15" s="209" t="s">
        <v>223</v>
      </c>
      <c r="E15" s="27"/>
    </row>
    <row r="16" spans="1:5" ht="29" x14ac:dyDescent="0.35">
      <c r="A16" s="146">
        <v>8</v>
      </c>
      <c r="B16" s="214" t="s">
        <v>225</v>
      </c>
      <c r="C16" s="200"/>
      <c r="D16" s="201"/>
      <c r="E16" s="27"/>
    </row>
    <row r="17" spans="1:4" x14ac:dyDescent="0.35">
      <c r="A17" s="113"/>
      <c r="B17" s="199"/>
      <c r="C17" s="198"/>
      <c r="D17" s="198"/>
    </row>
    <row r="18" spans="1:4" x14ac:dyDescent="0.35">
      <c r="A18" s="113"/>
      <c r="B18" s="37"/>
      <c r="C18" s="198"/>
      <c r="D18" s="198"/>
    </row>
    <row r="19" spans="1:4" x14ac:dyDescent="0.35">
      <c r="A19" s="113"/>
      <c r="B19" s="37"/>
    </row>
    <row r="20" spans="1:4" x14ac:dyDescent="0.35">
      <c r="B20" s="37"/>
    </row>
    <row r="22" spans="1:4" x14ac:dyDescent="0.35">
      <c r="A22" s="110"/>
      <c r="B22" s="218" t="s">
        <v>227</v>
      </c>
    </row>
    <row r="23" spans="1:4" ht="29" x14ac:dyDescent="0.35">
      <c r="A23" s="110">
        <v>1</v>
      </c>
      <c r="B23" s="145" t="s">
        <v>35</v>
      </c>
    </row>
    <row r="24" spans="1:4" x14ac:dyDescent="0.35">
      <c r="A24" s="110">
        <v>2</v>
      </c>
      <c r="B24" s="145" t="s">
        <v>52</v>
      </c>
    </row>
    <row r="25" spans="1:4" x14ac:dyDescent="0.35">
      <c r="A25" s="110">
        <v>3</v>
      </c>
      <c r="B25" s="145" t="s">
        <v>53</v>
      </c>
    </row>
    <row r="26" spans="1:4" x14ac:dyDescent="0.35">
      <c r="A26" s="110">
        <v>4</v>
      </c>
      <c r="B26" s="145" t="s">
        <v>5</v>
      </c>
    </row>
    <row r="27" spans="1:4" x14ac:dyDescent="0.35">
      <c r="A27" s="110">
        <v>5</v>
      </c>
      <c r="B27" s="145" t="s">
        <v>54</v>
      </c>
    </row>
    <row r="28" spans="1:4" x14ac:dyDescent="0.35">
      <c r="A28" s="110">
        <v>6</v>
      </c>
      <c r="B28" s="215" t="s">
        <v>55</v>
      </c>
    </row>
    <row r="29" spans="1:4" x14ac:dyDescent="0.35">
      <c r="A29" s="110">
        <v>7</v>
      </c>
      <c r="B29" s="216" t="s">
        <v>57</v>
      </c>
    </row>
    <row r="30" spans="1:4" x14ac:dyDescent="0.35">
      <c r="A30" s="110"/>
      <c r="B30" s="216" t="s">
        <v>226</v>
      </c>
    </row>
    <row r="31" spans="1:4" ht="29" x14ac:dyDescent="0.35">
      <c r="A31" s="110">
        <v>1</v>
      </c>
      <c r="B31" s="145" t="s">
        <v>59</v>
      </c>
    </row>
    <row r="32" spans="1:4" x14ac:dyDescent="0.35">
      <c r="A32" s="110">
        <v>2</v>
      </c>
      <c r="B32" s="215" t="s">
        <v>62</v>
      </c>
    </row>
    <row r="33" spans="1:2" ht="29" x14ac:dyDescent="0.35">
      <c r="A33" s="110">
        <v>3</v>
      </c>
      <c r="B33" s="145" t="s">
        <v>65</v>
      </c>
    </row>
    <row r="34" spans="1:2" ht="43.5" x14ac:dyDescent="0.35">
      <c r="A34" s="110">
        <v>4</v>
      </c>
      <c r="B34" s="145" t="s">
        <v>80</v>
      </c>
    </row>
    <row r="35" spans="1:2" ht="43.5" x14ac:dyDescent="0.35">
      <c r="A35" s="110">
        <v>5</v>
      </c>
      <c r="B35" s="217" t="s">
        <v>63</v>
      </c>
    </row>
    <row r="36" spans="1:2" ht="29" x14ac:dyDescent="0.35">
      <c r="A36" s="110">
        <v>6</v>
      </c>
      <c r="B36" s="145" t="s">
        <v>228</v>
      </c>
    </row>
  </sheetData>
  <mergeCells count="4">
    <mergeCell ref="B7:B9"/>
    <mergeCell ref="B12:B13"/>
    <mergeCell ref="A7:A9"/>
    <mergeCell ref="A12:A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Дашборд_сравнение</vt:lpstr>
      <vt:lpstr>Таблица_сравнение</vt:lpstr>
      <vt:lpstr>Таблица_сравнение__</vt:lpstr>
      <vt:lpstr>Дашборд</vt:lpstr>
      <vt:lpstr>Таблица</vt:lpstr>
      <vt:lpstr>Лист1</vt:lpstr>
      <vt:lpstr>Расчет индекса</vt:lpstr>
      <vt:lpstr>Показатели</vt:lpstr>
      <vt:lpstr>Список</vt:lpstr>
      <vt:lpstr>Показатели_блоки рез и рес</vt:lpstr>
      <vt:lpstr>Экономическое благополучие</vt:lpstr>
      <vt:lpstr>Показатели!_ftn1</vt:lpstr>
      <vt:lpstr>'Показатели_блоки рез и рес'!_ftn1</vt:lpstr>
      <vt:lpstr>Показатели!_ftnref1</vt:lpstr>
      <vt:lpstr>'Показатели_блоки рез и рес'!_ftnref1</vt:lpstr>
      <vt:lpstr>Дашборд!Print_Area</vt:lpstr>
      <vt:lpstr>Дашборд_сравнение!Print_Area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2023-06-17T18:56:27Z</dcterms:modified>
</cp:coreProperties>
</file>