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orningstaronline-my.sharepoint.com/personal/ameya_panchpor_morningstar_com/Documents/Desktop/PERSONAL/Courses/PROJECTS/FINANCIAL MODELING/"/>
    </mc:Choice>
  </mc:AlternateContent>
  <xr:revisionPtr revIDLastSave="596" documentId="8_{5BDB7DE0-C122-44B2-84B7-8ED801AEAF67}" xr6:coauthVersionLast="47" xr6:coauthVersionMax="47" xr10:uidLastSave="{B48F6F46-2E7B-45D8-A510-CBFB42929DB1}"/>
  <bookViews>
    <workbookView xWindow="-110" yWindow="-110" windowWidth="19420" windowHeight="10300" xr2:uid="{37417603-877E-4B5B-BAC3-CD6324B1C6EC}"/>
  </bookViews>
  <sheets>
    <sheet name="Case Study" sheetId="1" r:id="rId1"/>
    <sheet name="Drivers" sheetId="2" r:id="rId2"/>
    <sheet name="Capital Structure" sheetId="3" r:id="rId3"/>
    <sheet name="IS_Projections" sheetId="4" r:id="rId4"/>
    <sheet name="CF_Projections" sheetId="6" r:id="rId5"/>
    <sheet name="Debt Schedule" sheetId="5" r:id="rId6"/>
    <sheet name="EXIT MULTIPLE" sheetId="8" r:id="rId7"/>
    <sheet name="PB_CACHE_JS" sheetId="7" state="very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8" l="1"/>
  <c r="D13" i="8"/>
  <c r="F11" i="8"/>
  <c r="G11" i="8"/>
  <c r="H11" i="8"/>
  <c r="I11" i="8"/>
  <c r="E11" i="8"/>
  <c r="D11" i="8"/>
  <c r="F10" i="8"/>
  <c r="G10" i="8"/>
  <c r="H10" i="8"/>
  <c r="I10" i="8"/>
  <c r="E10" i="8"/>
  <c r="F9" i="8"/>
  <c r="G9" i="8"/>
  <c r="H9" i="8"/>
  <c r="I9" i="8"/>
  <c r="E9" i="8"/>
  <c r="F8" i="8"/>
  <c r="G8" i="8"/>
  <c r="H8" i="8"/>
  <c r="I8" i="8"/>
  <c r="E8" i="8"/>
  <c r="F7" i="8"/>
  <c r="G7" i="8"/>
  <c r="H7" i="8"/>
  <c r="I7" i="8"/>
  <c r="E7" i="8"/>
  <c r="F6" i="8"/>
  <c r="G6" i="8"/>
  <c r="H6" i="8"/>
  <c r="I6" i="8"/>
  <c r="E6" i="8"/>
  <c r="F5" i="8"/>
  <c r="G5" i="8"/>
  <c r="H5" i="8"/>
  <c r="I5" i="8"/>
  <c r="E5" i="8"/>
  <c r="I6" i="5"/>
  <c r="H19" i="6"/>
  <c r="G19" i="6"/>
  <c r="F19" i="6"/>
  <c r="E19" i="6"/>
  <c r="H14" i="6"/>
  <c r="I14" i="6"/>
  <c r="H17" i="5"/>
  <c r="H7" i="6" s="1"/>
  <c r="H16" i="5"/>
  <c r="G8" i="5"/>
  <c r="H8" i="5" s="1"/>
  <c r="H7" i="5"/>
  <c r="I16" i="5" s="1"/>
  <c r="G7" i="5"/>
  <c r="G14" i="6"/>
  <c r="G17" i="5"/>
  <c r="G16" i="5"/>
  <c r="G7" i="6" s="1"/>
  <c r="F8" i="5"/>
  <c r="F7" i="5"/>
  <c r="G15" i="5" s="1"/>
  <c r="F14" i="6"/>
  <c r="E14" i="6"/>
  <c r="F9" i="6"/>
  <c r="G9" i="6"/>
  <c r="H9" i="6"/>
  <c r="I9" i="6"/>
  <c r="F8" i="6"/>
  <c r="G8" i="6"/>
  <c r="H8" i="6"/>
  <c r="I8" i="6"/>
  <c r="F7" i="6"/>
  <c r="F6" i="6"/>
  <c r="G6" i="6"/>
  <c r="H6" i="6"/>
  <c r="I6" i="6"/>
  <c r="H15" i="5"/>
  <c r="I15" i="5"/>
  <c r="F17" i="5"/>
  <c r="F16" i="5"/>
  <c r="E8" i="5"/>
  <c r="E7" i="5"/>
  <c r="F15" i="5"/>
  <c r="E13" i="6"/>
  <c r="E8" i="6"/>
  <c r="I17" i="5" l="1"/>
  <c r="I8" i="5" s="1"/>
  <c r="I7" i="5"/>
  <c r="I7" i="6" l="1"/>
  <c r="E7" i="6" l="1"/>
  <c r="E9" i="6"/>
  <c r="F17" i="4"/>
  <c r="G17" i="4"/>
  <c r="H17" i="4"/>
  <c r="I17" i="4"/>
  <c r="E17" i="4"/>
  <c r="E35" i="4"/>
  <c r="E18" i="5"/>
  <c r="E17" i="5"/>
  <c r="E16" i="5"/>
  <c r="E15" i="5"/>
  <c r="E14" i="5"/>
  <c r="E12" i="6"/>
  <c r="D7" i="5"/>
  <c r="D8" i="5"/>
  <c r="D6" i="5"/>
  <c r="D32" i="4"/>
  <c r="D30" i="4"/>
  <c r="D12" i="4"/>
  <c r="E12" i="4" s="1"/>
  <c r="E11" i="4" s="1"/>
  <c r="D8" i="4"/>
  <c r="D21" i="4" s="1"/>
  <c r="E5" i="4"/>
  <c r="F5" i="4" s="1"/>
  <c r="H6" i="3"/>
  <c r="D5" i="3"/>
  <c r="D5" i="2"/>
  <c r="D6" i="3" s="1"/>
  <c r="D25" i="4" l="1"/>
  <c r="D29" i="4"/>
  <c r="D27" i="4"/>
  <c r="E27" i="4" s="1"/>
  <c r="F27" i="4" s="1"/>
  <c r="G27" i="4" s="1"/>
  <c r="H27" i="4" s="1"/>
  <c r="I27" i="4" s="1"/>
  <c r="D33" i="4"/>
  <c r="E8" i="4"/>
  <c r="G5" i="4"/>
  <c r="F12" i="4"/>
  <c r="G12" i="4" s="1"/>
  <c r="H12" i="4" s="1"/>
  <c r="I12" i="4" s="1"/>
  <c r="D4" i="3"/>
  <c r="D9" i="2"/>
  <c r="H4" i="3" s="1"/>
  <c r="F8" i="4" l="1"/>
  <c r="E21" i="4"/>
  <c r="H5" i="4"/>
  <c r="G11" i="4"/>
  <c r="F11" i="4"/>
  <c r="H7" i="3"/>
  <c r="D8" i="3" s="1"/>
  <c r="D7" i="3" s="1"/>
  <c r="D11" i="2"/>
  <c r="H5" i="3" s="1"/>
  <c r="G8" i="4" l="1"/>
  <c r="F21" i="4"/>
  <c r="E22" i="4"/>
  <c r="E25" i="4"/>
  <c r="E29" i="4" s="1"/>
  <c r="E32" i="4"/>
  <c r="E6" i="6" s="1"/>
  <c r="I5" i="4"/>
  <c r="H11" i="4"/>
  <c r="I11" i="4" l="1"/>
  <c r="E30" i="4"/>
  <c r="E37" i="4"/>
  <c r="F32" i="4"/>
  <c r="F22" i="4"/>
  <c r="F25" i="4"/>
  <c r="F29" i="4"/>
  <c r="F30" i="4" s="1"/>
  <c r="H8" i="4"/>
  <c r="G21" i="4"/>
  <c r="E39" i="4" l="1"/>
  <c r="E41" i="4" s="1"/>
  <c r="E5" i="6" s="1"/>
  <c r="E10" i="6" s="1"/>
  <c r="E15" i="6" s="1"/>
  <c r="E16" i="6" s="1"/>
  <c r="G32" i="4"/>
  <c r="G22" i="4"/>
  <c r="G25" i="4"/>
  <c r="G29" i="4" s="1"/>
  <c r="G30" i="4" s="1"/>
  <c r="I8" i="4"/>
  <c r="I21" i="4" s="1"/>
  <c r="H21" i="4"/>
  <c r="E18" i="6" l="1"/>
  <c r="E6" i="5" s="1"/>
  <c r="F13" i="6"/>
  <c r="H25" i="4"/>
  <c r="H29" i="4" s="1"/>
  <c r="H30" i="4" s="1"/>
  <c r="H32" i="4"/>
  <c r="H22" i="4"/>
  <c r="I25" i="4"/>
  <c r="I29" i="4" s="1"/>
  <c r="I30" i="4" s="1"/>
  <c r="I32" i="4"/>
  <c r="I22" i="4"/>
  <c r="F12" i="6" l="1"/>
  <c r="F14" i="5"/>
  <c r="F18" i="5" s="1"/>
  <c r="F35" i="4" s="1"/>
  <c r="F37" i="4" s="1"/>
  <c r="F39" i="4" l="1"/>
  <c r="F41" i="4" s="1"/>
  <c r="F5" i="6" s="1"/>
  <c r="F10" i="6" s="1"/>
  <c r="F15" i="6" s="1"/>
  <c r="F16" i="6" s="1"/>
  <c r="F18" i="6" l="1"/>
  <c r="F6" i="5" s="1"/>
  <c r="G13" i="6"/>
  <c r="G14" i="5" l="1"/>
  <c r="G18" i="5" s="1"/>
  <c r="G35" i="4" s="1"/>
  <c r="G37" i="4" s="1"/>
  <c r="G12" i="6"/>
  <c r="G39" i="4" l="1"/>
  <c r="G41" i="4" s="1"/>
  <c r="G5" i="6" s="1"/>
  <c r="G10" i="6" s="1"/>
  <c r="G15" i="6" s="1"/>
  <c r="G16" i="6" s="1"/>
  <c r="G18" i="6" l="1"/>
  <c r="G6" i="5" s="1"/>
  <c r="H13" i="6"/>
  <c r="H14" i="5"/>
  <c r="H18" i="5" s="1"/>
  <c r="H35" i="4" s="1"/>
  <c r="H37" i="4" s="1"/>
  <c r="H39" i="4" s="1"/>
  <c r="H41" i="4" s="1"/>
  <c r="H5" i="6" s="1"/>
  <c r="H10" i="6" s="1"/>
  <c r="H15" i="6" s="1"/>
  <c r="H12" i="6"/>
  <c r="H16" i="6" l="1"/>
  <c r="H18" i="6" s="1"/>
  <c r="H6" i="5" s="1"/>
  <c r="I12" i="6" l="1"/>
  <c r="I14" i="5"/>
  <c r="I18" i="5" s="1"/>
  <c r="I35" i="4" s="1"/>
  <c r="I37" i="4" s="1"/>
  <c r="I39" i="4" s="1"/>
  <c r="I41" i="4" s="1"/>
  <c r="I5" i="6" s="1"/>
  <c r="I10" i="6" s="1"/>
  <c r="I15" i="6" s="1"/>
  <c r="I13" i="6"/>
  <c r="I16" i="6" l="1"/>
  <c r="I18" i="6" s="1"/>
  <c r="I19" i="6" s="1"/>
</calcChain>
</file>

<file path=xl/sharedStrings.xml><?xml version="1.0" encoding="utf-8"?>
<sst xmlns="http://schemas.openxmlformats.org/spreadsheetml/2006/main" count="146" uniqueCount="112">
  <si>
    <t>A private equity firm plans to acquire a private, family-owned widget manufacturer (“Widget Co.”) with annual sales of $500 million and EBITDA margins of 20% for 12x LTM EBITDA. The transaction will be structured as a cash-free, debt-free deal, with a possible cash injection in the beginning.</t>
  </si>
  <si>
    <t>Total advisory and financing fees will equal 2% of the Purchase Enterprise Value. For simplicity, assume no amortization of the financing fees.</t>
  </si>
  <si>
    <t>The PE firm plans to fund the deal with the following:</t>
  </si>
  <si>
    <r>
      <rPr>
        <b/>
        <u/>
        <sz val="11"/>
        <color theme="1"/>
        <rFont val="Aptos Narrow"/>
        <family val="2"/>
        <scheme val="minor"/>
      </rPr>
      <t>Term Loans</t>
    </r>
    <r>
      <rPr>
        <sz val="11"/>
        <color theme="1"/>
        <rFont val="Aptos Narrow"/>
        <family val="2"/>
        <scheme val="minor"/>
      </rPr>
      <t>: 3x EBITDA with a floating cash coupon rate of Benchmark Rate + 300 bps, mandatory principal repayments of 5%, 10%, 10%, 15%, and 20% in Years 1 – 5, and a 50% cash flow sweep. The Benchmark Rate is expected to increase from 1.5% to 3.0% over 5 years.</t>
    </r>
  </si>
  <si>
    <r>
      <rPr>
        <b/>
        <u/>
        <sz val="11"/>
        <color theme="1"/>
        <rFont val="Aptos Narrow"/>
        <family val="2"/>
        <scheme val="minor"/>
      </rPr>
      <t>Senior Notes</t>
    </r>
    <r>
      <rPr>
        <sz val="11"/>
        <color theme="1"/>
        <rFont val="Aptos Narrow"/>
        <family val="2"/>
        <scheme val="minor"/>
      </rPr>
      <t>: 1x EBITDA with a 3% fixed cash coupon rate, 5% PIK interest, and no principal repayments (mandatory or optional).</t>
    </r>
  </si>
  <si>
    <r>
      <rPr>
        <b/>
        <u/>
        <sz val="11"/>
        <color theme="1"/>
        <rFont val="Aptos Narrow"/>
        <family val="2"/>
        <scheme val="minor"/>
      </rPr>
      <t>Subordinated Notes</t>
    </r>
    <r>
      <rPr>
        <sz val="11"/>
        <color theme="1"/>
        <rFont val="Aptos Narrow"/>
        <family val="2"/>
        <scheme val="minor"/>
      </rPr>
      <t>: 1x EBITDA with 10% PIK interest and no principal repayments (mandatory or optional).</t>
    </r>
  </si>
  <si>
    <t>Management will also receive a 5% options pool, with an exercise price equal to the PE firm’s per-share offer price to acquire this company.</t>
  </si>
  <si>
    <t>The company’s operational profile and forecasts are described below:</t>
  </si>
  <si>
    <r>
      <rPr>
        <b/>
        <u/>
        <sz val="11"/>
        <color theme="1"/>
        <rFont val="Aptos Narrow"/>
        <family val="2"/>
        <scheme val="minor"/>
      </rPr>
      <t>Annual Widget Sales</t>
    </r>
    <r>
      <rPr>
        <sz val="11"/>
        <color theme="1"/>
        <rFont val="Aptos Narrow"/>
        <family val="2"/>
        <scheme val="minor"/>
      </rPr>
      <t>: 4 million units; expected to grow at 10% in Year 1, declining to 6% growth by Year 5. Average prices will initially increase by 5% per year, falling to 3%.</t>
    </r>
  </si>
  <si>
    <r>
      <rPr>
        <b/>
        <u/>
        <sz val="11"/>
        <color theme="1"/>
        <rFont val="Aptos Narrow"/>
        <family val="2"/>
        <scheme val="minor"/>
      </rPr>
      <t>Widget Factories and CapEx</t>
    </r>
    <r>
      <rPr>
        <sz val="11"/>
        <color theme="1"/>
        <rFont val="Aptos Narrow"/>
        <family val="2"/>
        <scheme val="minor"/>
      </rPr>
      <t>: 8 current factories; $2 million in Maintenance CapEx per factory and $25 million to build each new factory.</t>
    </r>
  </si>
  <si>
    <r>
      <rPr>
        <b/>
        <u/>
        <sz val="11"/>
        <color theme="1"/>
        <rFont val="Aptos Narrow"/>
        <family val="2"/>
        <scheme val="minor"/>
      </rPr>
      <t>Expenses</t>
    </r>
    <r>
      <rPr>
        <sz val="11"/>
        <color theme="1"/>
        <rFont val="Aptos Narrow"/>
        <family val="2"/>
        <scheme val="minor"/>
      </rPr>
      <t>: 50% Gross Margin on widgets declining to 45% by Year 5; fixed expenses should rise in-line with average widget pricing.</t>
    </r>
  </si>
  <si>
    <r>
      <rPr>
        <b/>
        <u/>
        <sz val="11"/>
        <color theme="1"/>
        <rFont val="Aptos Narrow"/>
        <family val="2"/>
        <scheme val="minor"/>
      </rPr>
      <t>Depreciation</t>
    </r>
    <r>
      <rPr>
        <sz val="11"/>
        <color theme="1"/>
        <rFont val="Aptos Narrow"/>
        <family val="2"/>
        <scheme val="minor"/>
      </rPr>
      <t>: $20 million in the most recent historical year. Use your judgment to forecast this.</t>
    </r>
  </si>
  <si>
    <r>
      <rPr>
        <b/>
        <u/>
        <sz val="11"/>
        <color theme="1"/>
        <rFont val="Aptos Narrow"/>
        <family val="2"/>
        <scheme val="minor"/>
      </rPr>
      <t>Minimum Cash</t>
    </r>
    <r>
      <rPr>
        <sz val="11"/>
        <color theme="1"/>
        <rFont val="Aptos Narrow"/>
        <family val="2"/>
        <scheme val="minor"/>
      </rPr>
      <t>: 5% of the previous year’s sales (use Year 0 sales in the Sources &amp; Uses schedule)</t>
    </r>
  </si>
  <si>
    <r>
      <rPr>
        <b/>
        <u/>
        <sz val="11"/>
        <color theme="1"/>
        <rFont val="Aptos Narrow"/>
        <family val="2"/>
        <scheme val="minor"/>
      </rPr>
      <t>Working Capital</t>
    </r>
    <r>
      <rPr>
        <sz val="11"/>
        <color theme="1"/>
        <rFont val="Aptos Narrow"/>
        <family val="2"/>
        <scheme val="minor"/>
      </rPr>
      <t>: Inventory represents 20% of sales, Receivables are 10% of sales, and Payables are 15% of sales.</t>
    </r>
  </si>
  <si>
    <r>
      <rPr>
        <b/>
        <u/>
        <sz val="11"/>
        <color theme="1"/>
        <rFont val="Aptos Narrow"/>
        <family val="2"/>
        <scheme val="minor"/>
      </rPr>
      <t>Taxes</t>
    </r>
    <r>
      <rPr>
        <sz val="11"/>
        <color theme="1"/>
        <rFont val="Aptos Narrow"/>
        <family val="2"/>
        <scheme val="minor"/>
      </rPr>
      <t>: Assume a 25% effective tax rate.</t>
    </r>
  </si>
  <si>
    <t>EBITDA Margin</t>
  </si>
  <si>
    <t>Purchase Multiple</t>
  </si>
  <si>
    <t>Purchase TEV</t>
  </si>
  <si>
    <t>Fees</t>
  </si>
  <si>
    <t>Advisory Fees (% of TEV)</t>
  </si>
  <si>
    <t>Management's Option Pool</t>
  </si>
  <si>
    <t>EBITDA Exit Mutiple</t>
  </si>
  <si>
    <t>Term Loans</t>
  </si>
  <si>
    <t>Senior Notes</t>
  </si>
  <si>
    <t>Subordinate Notes</t>
  </si>
  <si>
    <t>x EBITDA</t>
  </si>
  <si>
    <t>Interest</t>
  </si>
  <si>
    <t>Cash Fixed</t>
  </si>
  <si>
    <t>PIK Fixed</t>
  </si>
  <si>
    <t>Spread</t>
  </si>
  <si>
    <t>Sweep</t>
  </si>
  <si>
    <t>Minimum Cash % Sales</t>
  </si>
  <si>
    <t>Inventory % Sales</t>
  </si>
  <si>
    <t>Receivables % Sales</t>
  </si>
  <si>
    <t>Payables % Sales</t>
  </si>
  <si>
    <t>Tax Rate</t>
  </si>
  <si>
    <t>Sources</t>
  </si>
  <si>
    <t>Term Loan</t>
  </si>
  <si>
    <t>Equity</t>
  </si>
  <si>
    <t>LTM Revenue ($)</t>
  </si>
  <si>
    <t>LTM EBITDA ($)</t>
  </si>
  <si>
    <t>Purchase TEV ($)</t>
  </si>
  <si>
    <t>Advisory Fees ($)</t>
  </si>
  <si>
    <t>Uses</t>
  </si>
  <si>
    <t>Initial Cash Injection</t>
  </si>
  <si>
    <t>Total</t>
  </si>
  <si>
    <t>Drivers</t>
  </si>
  <si>
    <t>Widget Unit Sales (Millions)</t>
  </si>
  <si>
    <t>Year 0</t>
  </si>
  <si>
    <t>Year 1</t>
  </si>
  <si>
    <t>Year 2</t>
  </si>
  <si>
    <t>Year 3</t>
  </si>
  <si>
    <t>Year 4</t>
  </si>
  <si>
    <t>Year 5</t>
  </si>
  <si>
    <t>Growth Rate</t>
  </si>
  <si>
    <t>Average Price Per Widget</t>
  </si>
  <si>
    <t>DRIVERS</t>
  </si>
  <si>
    <t>SOURCES AND USES OF FUNDS</t>
  </si>
  <si>
    <t>No. of Factories</t>
  </si>
  <si>
    <t>Widgets per Factory (Millions)</t>
  </si>
  <si>
    <t>Growth Capex per Factory ($ million)</t>
  </si>
  <si>
    <t>Maintenance Capex per Factory ($ million)</t>
  </si>
  <si>
    <t>Total Capex</t>
  </si>
  <si>
    <t>Cash Flow Projections</t>
  </si>
  <si>
    <t>Sales</t>
  </si>
  <si>
    <t>Sales Growth</t>
  </si>
  <si>
    <t>COGS</t>
  </si>
  <si>
    <t>Gross Profit Margin</t>
  </si>
  <si>
    <t>Fixed Expense</t>
  </si>
  <si>
    <t>EBITDA</t>
  </si>
  <si>
    <t>Depreciation</t>
  </si>
  <si>
    <t>% of Sales</t>
  </si>
  <si>
    <t>DEBT SCHEDULE</t>
  </si>
  <si>
    <t>Debt Balances</t>
  </si>
  <si>
    <t>Debt Schedule</t>
  </si>
  <si>
    <t>Senior Loans</t>
  </si>
  <si>
    <t>Subordinate Loans</t>
  </si>
  <si>
    <t>Term Loan Repayments</t>
  </si>
  <si>
    <t>Income Statement Projections</t>
  </si>
  <si>
    <t>Interest Benchmarks</t>
  </si>
  <si>
    <t>Term Loan Cash</t>
  </si>
  <si>
    <t>Senior Notes Cash</t>
  </si>
  <si>
    <t>Senior Notes PIK</t>
  </si>
  <si>
    <t>Subordinate Notes PIK</t>
  </si>
  <si>
    <t>Interest Expenses</t>
  </si>
  <si>
    <t>Taxes</t>
  </si>
  <si>
    <t>Pre-Tax Income</t>
  </si>
  <si>
    <t>Net Income</t>
  </si>
  <si>
    <t>INCOME STATEMENT PROJECTIONS</t>
  </si>
  <si>
    <t>CASH FLOW PROJECTIONS</t>
  </si>
  <si>
    <t>Mandatory Requirements (-)</t>
  </si>
  <si>
    <t>Depreciation (+)</t>
  </si>
  <si>
    <t>Non-Cash Interest (+)</t>
  </si>
  <si>
    <t>Changes in WC (+/-)</t>
  </si>
  <si>
    <t>Capex (-)</t>
  </si>
  <si>
    <t>Free Cash Flow</t>
  </si>
  <si>
    <t>Beginning Cash Balance (+)</t>
  </si>
  <si>
    <t>Min Cash (-)</t>
  </si>
  <si>
    <t>Cash Flow Available for Debt Repayment</t>
  </si>
  <si>
    <t>Cash Flow Used for Debt Repayment</t>
  </si>
  <si>
    <t>Ending Cash</t>
  </si>
  <si>
    <t>EXIT MULTIPLE</t>
  </si>
  <si>
    <t>Exit Year</t>
  </si>
  <si>
    <t>Exit Enterprise Value</t>
  </si>
  <si>
    <t>Debt (-)</t>
  </si>
  <si>
    <t>Cash (+)</t>
  </si>
  <si>
    <t>Exit Equity Value</t>
  </si>
  <si>
    <t>Cash from Mgmt Options (+)</t>
  </si>
  <si>
    <t>Equity to Mgmt Optionholders</t>
  </si>
  <si>
    <t>Net Equity to Sponsor</t>
  </si>
  <si>
    <t>Sponsor Multiple</t>
  </si>
  <si>
    <t>Sponsor 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</si>
</sst>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&quot;x&quot;"/>
    <numFmt numFmtId="165" formatCode="0.0\ &quot;x&quot;"/>
    <numFmt numFmtId="166" formatCode="0.0"/>
    <numFmt numFmtId="167" formatCode="0.0%"/>
    <numFmt numFmtId="168" formatCode="#,##0;\(#,##0\)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color rgb="FF00B0F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vertical="top" wrapText="1"/>
    </xf>
    <xf numFmtId="0" fontId="2" fillId="0" borderId="0" xfId="0" applyFont="1"/>
    <xf numFmtId="9" fontId="5" fillId="0" borderId="0" xfId="0" applyNumberFormat="1" applyFont="1"/>
    <xf numFmtId="164" fontId="5" fillId="0" borderId="0" xfId="0" applyNumberFormat="1" applyFont="1"/>
    <xf numFmtId="9" fontId="5" fillId="0" borderId="0" xfId="1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5" fillId="0" borderId="0" xfId="0" applyFont="1"/>
    <xf numFmtId="1" fontId="0" fillId="0" borderId="0" xfId="0" applyNumberFormat="1"/>
    <xf numFmtId="1" fontId="5" fillId="0" borderId="0" xfId="0" applyNumberFormat="1" applyFont="1"/>
    <xf numFmtId="165" fontId="5" fillId="0" borderId="0" xfId="0" applyNumberFormat="1" applyFont="1" applyAlignment="1">
      <alignment horizontal="right"/>
    </xf>
    <xf numFmtId="0" fontId="2" fillId="0" borderId="2" xfId="0" applyFont="1" applyBorder="1"/>
    <xf numFmtId="1" fontId="2" fillId="0" borderId="2" xfId="0" applyNumberFormat="1" applyFont="1" applyBorder="1"/>
    <xf numFmtId="0" fontId="2" fillId="0" borderId="1" xfId="0" applyFont="1" applyBorder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166" fontId="0" fillId="0" borderId="0" xfId="0" applyNumberFormat="1"/>
    <xf numFmtId="10" fontId="0" fillId="0" borderId="0" xfId="0" applyNumberFormat="1"/>
    <xf numFmtId="9" fontId="6" fillId="0" borderId="0" xfId="0" applyNumberFormat="1" applyFont="1"/>
    <xf numFmtId="10" fontId="6" fillId="0" borderId="0" xfId="0" applyNumberFormat="1" applyFont="1"/>
    <xf numFmtId="0" fontId="0" fillId="2" borderId="0" xfId="0" applyFill="1"/>
    <xf numFmtId="0" fontId="3" fillId="2" borderId="0" xfId="0" applyFont="1" applyFill="1"/>
    <xf numFmtId="0" fontId="7" fillId="2" borderId="0" xfId="0" applyFont="1" applyFill="1"/>
    <xf numFmtId="0" fontId="2" fillId="0" borderId="1" xfId="0" applyFont="1" applyBorder="1" applyAlignment="1">
      <alignment horizontal="right"/>
    </xf>
    <xf numFmtId="0" fontId="6" fillId="0" borderId="0" xfId="0" applyFont="1"/>
    <xf numFmtId="167" fontId="0" fillId="0" borderId="0" xfId="0" applyNumberFormat="1"/>
    <xf numFmtId="166" fontId="5" fillId="0" borderId="0" xfId="0" applyNumberFormat="1" applyFont="1"/>
    <xf numFmtId="0" fontId="0" fillId="0" borderId="1" xfId="0" applyBorder="1"/>
    <xf numFmtId="9" fontId="6" fillId="0" borderId="0" xfId="1" applyFont="1"/>
    <xf numFmtId="168" fontId="0" fillId="0" borderId="0" xfId="0" applyNumberFormat="1"/>
    <xf numFmtId="10" fontId="5" fillId="0" borderId="0" xfId="0" applyNumberFormat="1" applyFont="1"/>
    <xf numFmtId="10" fontId="8" fillId="0" borderId="0" xfId="0" applyNumberFormat="1" applyFont="1"/>
    <xf numFmtId="168" fontId="2" fillId="0" borderId="2" xfId="0" applyNumberFormat="1" applyFont="1" applyBorder="1"/>
    <xf numFmtId="165" fontId="2" fillId="0" borderId="0" xfId="0" applyNumberFormat="1" applyFont="1"/>
    <xf numFmtId="9" fontId="2" fillId="0" borderId="0" xfId="0" applyNumberFormat="1" applyFont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2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2CB3DB2-CBD4-434D-B4E6-4C29280A9173}">
  <we:reference id="wa200002663" version="1.8.0.0" store="en-US" storeType="OMEX"/>
  <we:alternateReferences>
    <we:reference id="WA200002663" version="1.8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PBF</we:customFunctionIds>
        <we:customFunctionIds>PBM</we:customFunctionIds>
        <we:customFunctionIds>PBD</we:customFunctionIds>
        <we:customFunctionIds>PBA</we:customFunctionIds>
        <we:customFunctionIds>PBS</we:customFunctionIds>
        <we:customFunctionIds>PBEQR</we:customFunctionIds>
        <we:customFunctionIds>PBIMAGE</we:customFunctionIds>
        <we:customFunctionIds>PBFS</we:customFunctionIds>
        <we:customFunctionIds>PBMATCHPBID</we:customFunctionIds>
        <we:customFunctionIds>PBMATCHSYMBOL</we:customFunctionIds>
        <we:customFunctionIds>PBR</we:customFunctionIds>
        <we:customFunctionIds>PBCHARTMARKET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30078-2F7F-4E14-949B-5D3FB799DF71}">
  <dimension ref="B2:X32"/>
  <sheetViews>
    <sheetView showGridLines="0" tabSelected="1" zoomScale="90" zoomScaleNormal="90" workbookViewId="0">
      <selection activeCell="B22" sqref="B22:X22"/>
    </sheetView>
  </sheetViews>
  <sheetFormatPr defaultRowHeight="14.5" x14ac:dyDescent="0.35"/>
  <cols>
    <col min="1" max="1" width="1.81640625" customWidth="1"/>
  </cols>
  <sheetData>
    <row r="2" spans="2:24" ht="14.5" customHeight="1" x14ac:dyDescent="0.35">
      <c r="B2" s="37" t="s">
        <v>0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</row>
    <row r="3" spans="2:24" x14ac:dyDescent="0.35"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</row>
    <row r="4" spans="2:24" x14ac:dyDescent="0.3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2:24" x14ac:dyDescent="0.35">
      <c r="B5" s="36" t="s">
        <v>1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</row>
    <row r="7" spans="2:24" x14ac:dyDescent="0.35">
      <c r="B7" s="36" t="s">
        <v>2</v>
      </c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</row>
    <row r="9" spans="2:24" x14ac:dyDescent="0.35">
      <c r="B9" s="37" t="s">
        <v>3</v>
      </c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</row>
    <row r="10" spans="2:24" x14ac:dyDescent="0.35"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</row>
    <row r="12" spans="2:24" x14ac:dyDescent="0.35">
      <c r="B12" s="36" t="s">
        <v>4</v>
      </c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</row>
    <row r="14" spans="2:24" x14ac:dyDescent="0.35">
      <c r="B14" s="36" t="s">
        <v>5</v>
      </c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</row>
    <row r="16" spans="2:24" x14ac:dyDescent="0.35">
      <c r="B16" s="36" t="s">
        <v>6</v>
      </c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</row>
    <row r="18" spans="2:24" x14ac:dyDescent="0.35">
      <c r="B18" s="36" t="s">
        <v>7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</row>
    <row r="20" spans="2:24" x14ac:dyDescent="0.35">
      <c r="B20" s="36" t="s">
        <v>8</v>
      </c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</row>
    <row r="22" spans="2:24" x14ac:dyDescent="0.35">
      <c r="B22" s="36" t="s">
        <v>9</v>
      </c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</row>
    <row r="24" spans="2:24" x14ac:dyDescent="0.35">
      <c r="B24" s="36" t="s">
        <v>10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</row>
    <row r="26" spans="2:24" x14ac:dyDescent="0.35">
      <c r="B26" s="36" t="s">
        <v>11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</row>
    <row r="28" spans="2:24" x14ac:dyDescent="0.35">
      <c r="B28" s="36" t="s">
        <v>12</v>
      </c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</row>
    <row r="30" spans="2:24" x14ac:dyDescent="0.35">
      <c r="B30" s="36" t="s">
        <v>13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</row>
    <row r="32" spans="2:24" x14ac:dyDescent="0.35">
      <c r="B32" t="s">
        <v>14</v>
      </c>
    </row>
  </sheetData>
  <mergeCells count="14">
    <mergeCell ref="B30:X30"/>
    <mergeCell ref="B2:X3"/>
    <mergeCell ref="B9:X10"/>
    <mergeCell ref="B5:X5"/>
    <mergeCell ref="B7:X7"/>
    <mergeCell ref="B12:X12"/>
    <mergeCell ref="B14:X14"/>
    <mergeCell ref="B16:X16"/>
    <mergeCell ref="B18:X18"/>
    <mergeCell ref="B20:X20"/>
    <mergeCell ref="B22:X22"/>
    <mergeCell ref="B24:X24"/>
    <mergeCell ref="B26:X26"/>
    <mergeCell ref="B28:X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04A88-172A-4D45-84D3-6526107DCE87}">
  <dimension ref="B1:M31"/>
  <sheetViews>
    <sheetView showGridLines="0" zoomScale="90" zoomScaleNormal="90" workbookViewId="0">
      <selection activeCell="F17" sqref="F17"/>
    </sheetView>
  </sheetViews>
  <sheetFormatPr defaultRowHeight="14.5" x14ac:dyDescent="0.35"/>
  <cols>
    <col min="1" max="1" width="1.81640625" customWidth="1"/>
    <col min="2" max="2" width="18.26953125" customWidth="1"/>
    <col min="3" max="3" width="6.7265625" customWidth="1"/>
    <col min="5" max="5" width="9.54296875" customWidth="1"/>
    <col min="6" max="6" width="8.453125" customWidth="1"/>
    <col min="7" max="7" width="9.54296875" customWidth="1"/>
    <col min="9" max="9" width="10.1796875" bestFit="1" customWidth="1"/>
    <col min="10" max="10" width="8.81640625" bestFit="1" customWidth="1"/>
    <col min="11" max="11" width="7.1796875" bestFit="1" customWidth="1"/>
    <col min="14" max="14" width="24.6328125" bestFit="1" customWidth="1"/>
  </cols>
  <sheetData>
    <row r="1" spans="2:13" ht="18.5" x14ac:dyDescent="0.45">
      <c r="B1" s="23" t="s">
        <v>56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1"/>
    </row>
    <row r="3" spans="2:13" x14ac:dyDescent="0.35">
      <c r="B3" t="s">
        <v>39</v>
      </c>
      <c r="D3" s="10">
        <v>500</v>
      </c>
      <c r="I3" s="38" t="s">
        <v>26</v>
      </c>
      <c r="J3" s="38"/>
      <c r="K3" s="38"/>
    </row>
    <row r="4" spans="2:13" x14ac:dyDescent="0.35">
      <c r="B4" t="s">
        <v>15</v>
      </c>
      <c r="D4" s="3">
        <v>0.2</v>
      </c>
      <c r="H4" s="6" t="s">
        <v>25</v>
      </c>
      <c r="I4" s="7" t="s">
        <v>27</v>
      </c>
      <c r="J4" s="7" t="s">
        <v>28</v>
      </c>
      <c r="K4" s="7" t="s">
        <v>29</v>
      </c>
      <c r="L4" s="7" t="s">
        <v>30</v>
      </c>
    </row>
    <row r="5" spans="2:13" x14ac:dyDescent="0.35">
      <c r="B5" t="s">
        <v>40</v>
      </c>
      <c r="D5" s="9">
        <f>D3*D4</f>
        <v>100</v>
      </c>
      <c r="F5" t="s">
        <v>22</v>
      </c>
      <c r="H5" s="11">
        <v>3</v>
      </c>
      <c r="I5" s="8"/>
      <c r="J5" s="8"/>
      <c r="K5" s="3">
        <v>0.03</v>
      </c>
      <c r="L5" s="3">
        <v>0.5</v>
      </c>
    </row>
    <row r="6" spans="2:13" x14ac:dyDescent="0.35">
      <c r="F6" t="s">
        <v>23</v>
      </c>
      <c r="H6" s="11">
        <v>1</v>
      </c>
      <c r="I6" s="3">
        <v>0.03</v>
      </c>
      <c r="J6" s="3">
        <v>0.05</v>
      </c>
      <c r="K6" s="8"/>
      <c r="L6" s="8"/>
    </row>
    <row r="7" spans="2:13" x14ac:dyDescent="0.35">
      <c r="B7" t="s">
        <v>16</v>
      </c>
      <c r="D7" s="4">
        <v>12</v>
      </c>
      <c r="F7" t="s">
        <v>24</v>
      </c>
      <c r="H7" s="11">
        <v>1</v>
      </c>
      <c r="I7" s="8"/>
      <c r="J7" s="3">
        <v>0.1</v>
      </c>
      <c r="K7" s="8"/>
      <c r="L7" s="8"/>
    </row>
    <row r="9" spans="2:13" x14ac:dyDescent="0.35">
      <c r="B9" t="s">
        <v>41</v>
      </c>
      <c r="D9" s="9">
        <f>D5*D7</f>
        <v>1200</v>
      </c>
      <c r="F9" t="s">
        <v>31</v>
      </c>
      <c r="H9" s="3">
        <v>0.05</v>
      </c>
    </row>
    <row r="10" spans="2:13" x14ac:dyDescent="0.35">
      <c r="B10" t="s">
        <v>19</v>
      </c>
      <c r="D10" s="5">
        <v>0.02</v>
      </c>
    </row>
    <row r="11" spans="2:13" x14ac:dyDescent="0.35">
      <c r="B11" t="s">
        <v>42</v>
      </c>
      <c r="D11" s="9">
        <f>D9*D10</f>
        <v>24</v>
      </c>
      <c r="F11" t="s">
        <v>32</v>
      </c>
      <c r="H11" s="3">
        <v>0.2</v>
      </c>
    </row>
    <row r="12" spans="2:13" x14ac:dyDescent="0.35">
      <c r="F12" t="s">
        <v>33</v>
      </c>
      <c r="H12" s="3">
        <v>0.1</v>
      </c>
    </row>
    <row r="13" spans="2:13" x14ac:dyDescent="0.35">
      <c r="B13" t="s">
        <v>20</v>
      </c>
      <c r="D13" s="3">
        <v>0.05</v>
      </c>
      <c r="F13" t="s">
        <v>34</v>
      </c>
      <c r="H13" s="3">
        <v>0.15</v>
      </c>
    </row>
    <row r="15" spans="2:13" x14ac:dyDescent="0.35">
      <c r="B15" t="s">
        <v>21</v>
      </c>
      <c r="D15" s="11">
        <v>10</v>
      </c>
      <c r="F15" t="s">
        <v>35</v>
      </c>
      <c r="H15" s="3">
        <v>0.25</v>
      </c>
    </row>
    <row r="16" spans="2:13" x14ac:dyDescent="0.35">
      <c r="B16" t="s">
        <v>102</v>
      </c>
      <c r="D16" s="15" t="s">
        <v>53</v>
      </c>
    </row>
    <row r="26" spans="2:9" x14ac:dyDescent="0.35">
      <c r="B26" s="2"/>
      <c r="C26" s="2"/>
      <c r="D26" s="2"/>
      <c r="E26" s="2"/>
      <c r="F26" s="2"/>
      <c r="G26" s="2"/>
      <c r="H26" s="2"/>
      <c r="I26" s="2"/>
    </row>
    <row r="27" spans="2:9" x14ac:dyDescent="0.35">
      <c r="B27" s="15"/>
      <c r="C27" s="15"/>
      <c r="D27" s="8"/>
      <c r="E27" s="17"/>
      <c r="F27" s="17"/>
      <c r="G27" s="17"/>
      <c r="H27" s="17"/>
      <c r="I27" s="17"/>
    </row>
    <row r="28" spans="2:9" x14ac:dyDescent="0.35">
      <c r="B28" s="16"/>
      <c r="C28" s="16"/>
      <c r="E28" s="19"/>
      <c r="F28" s="19"/>
      <c r="G28" s="19"/>
      <c r="H28" s="19"/>
      <c r="I28" s="19"/>
    </row>
    <row r="30" spans="2:9" x14ac:dyDescent="0.35">
      <c r="B30" s="15"/>
      <c r="C30" s="15"/>
      <c r="E30" s="17"/>
      <c r="F30" s="17"/>
      <c r="G30" s="17"/>
      <c r="H30" s="17"/>
      <c r="I30" s="17"/>
    </row>
    <row r="31" spans="2:9" x14ac:dyDescent="0.35">
      <c r="B31" s="16"/>
      <c r="C31" s="16"/>
      <c r="E31" s="19"/>
      <c r="F31" s="20"/>
      <c r="G31" s="19"/>
      <c r="H31" s="20"/>
      <c r="I31" s="19"/>
    </row>
  </sheetData>
  <mergeCells count="1">
    <mergeCell ref="I3:K3"/>
  </mergeCells>
  <dataValidations count="1">
    <dataValidation type="list" allowBlank="1" showInputMessage="1" showErrorMessage="1" sqref="D16" xr:uid="{26D7CAB1-59AD-4013-BDD2-B9340425FFFC}">
      <formula1>"Year 4, Year 5"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F041C-862C-494A-AA59-CA2008DC973A}">
  <dimension ref="B1:M8"/>
  <sheetViews>
    <sheetView showGridLines="0" zoomScale="90" zoomScaleNormal="90" workbookViewId="0">
      <selection activeCell="F11" sqref="F11"/>
    </sheetView>
  </sheetViews>
  <sheetFormatPr defaultRowHeight="14.5" x14ac:dyDescent="0.35"/>
  <cols>
    <col min="1" max="1" width="1.81640625" customWidth="1"/>
  </cols>
  <sheetData>
    <row r="1" spans="2:13" ht="18.5" x14ac:dyDescent="0.45">
      <c r="B1" s="23" t="s">
        <v>57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3" spans="2:13" x14ac:dyDescent="0.35">
      <c r="B3" s="38" t="s">
        <v>36</v>
      </c>
      <c r="C3" s="38"/>
      <c r="D3" s="38"/>
      <c r="F3" s="38" t="s">
        <v>43</v>
      </c>
      <c r="G3" s="38"/>
      <c r="H3" s="38"/>
    </row>
    <row r="4" spans="2:13" x14ac:dyDescent="0.35">
      <c r="B4" t="s">
        <v>37</v>
      </c>
      <c r="D4">
        <f>Drivers!D5*Drivers!H5</f>
        <v>300</v>
      </c>
      <c r="F4" t="s">
        <v>17</v>
      </c>
      <c r="H4" s="9">
        <f>Drivers!D9</f>
        <v>1200</v>
      </c>
    </row>
    <row r="5" spans="2:13" x14ac:dyDescent="0.35">
      <c r="B5" t="s">
        <v>23</v>
      </c>
      <c r="D5">
        <f>Drivers!D5*Drivers!H6</f>
        <v>100</v>
      </c>
      <c r="F5" t="s">
        <v>18</v>
      </c>
      <c r="H5" s="9">
        <f>Drivers!D11</f>
        <v>24</v>
      </c>
    </row>
    <row r="6" spans="2:13" x14ac:dyDescent="0.35">
      <c r="B6" t="s">
        <v>24</v>
      </c>
      <c r="D6">
        <f>Drivers!D5*Drivers!H7</f>
        <v>100</v>
      </c>
      <c r="F6" t="s">
        <v>44</v>
      </c>
      <c r="H6">
        <f>Drivers!D3*Drivers!H9</f>
        <v>25</v>
      </c>
    </row>
    <row r="7" spans="2:13" x14ac:dyDescent="0.35">
      <c r="B7" t="s">
        <v>38</v>
      </c>
      <c r="D7" s="9">
        <f>D8-D4-D5-D6</f>
        <v>749</v>
      </c>
      <c r="F7" s="12" t="s">
        <v>45</v>
      </c>
      <c r="G7" s="12"/>
      <c r="H7" s="13">
        <f>SUM(H4:H6)</f>
        <v>1249</v>
      </c>
    </row>
    <row r="8" spans="2:13" x14ac:dyDescent="0.35">
      <c r="B8" s="12" t="s">
        <v>45</v>
      </c>
      <c r="C8" s="12"/>
      <c r="D8" s="13">
        <f>H7</f>
        <v>1249</v>
      </c>
    </row>
  </sheetData>
  <mergeCells count="2">
    <mergeCell ref="B3:D3"/>
    <mergeCell ref="F3:H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E3D2-F2D3-434B-B594-3596A8B0122D}">
  <dimension ref="B1:M41"/>
  <sheetViews>
    <sheetView showGridLines="0" topLeftCell="A22" zoomScale="90" zoomScaleNormal="90" workbookViewId="0">
      <selection activeCell="G35" sqref="G35:H35"/>
    </sheetView>
  </sheetViews>
  <sheetFormatPr defaultRowHeight="14.5" x14ac:dyDescent="0.35"/>
  <cols>
    <col min="1" max="1" width="1.81640625" customWidth="1"/>
    <col min="2" max="2" width="35.54296875" bestFit="1" customWidth="1"/>
  </cols>
  <sheetData>
    <row r="1" spans="2:13" ht="18.5" x14ac:dyDescent="0.45">
      <c r="B1" s="23" t="s">
        <v>88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2:13" x14ac:dyDescent="0.35">
      <c r="B3" s="14" t="s">
        <v>46</v>
      </c>
      <c r="C3" s="14"/>
      <c r="D3" s="24" t="s">
        <v>48</v>
      </c>
      <c r="E3" s="24" t="s">
        <v>49</v>
      </c>
      <c r="F3" s="24" t="s">
        <v>50</v>
      </c>
      <c r="G3" s="24" t="s">
        <v>51</v>
      </c>
      <c r="H3" s="24" t="s">
        <v>52</v>
      </c>
      <c r="I3" s="24" t="s">
        <v>53</v>
      </c>
    </row>
    <row r="5" spans="2:13" x14ac:dyDescent="0.35">
      <c r="B5" t="s">
        <v>47</v>
      </c>
      <c r="D5" s="27">
        <v>4</v>
      </c>
      <c r="E5" s="17">
        <f>D5*(1+E6)</f>
        <v>4.4000000000000004</v>
      </c>
      <c r="F5" s="17">
        <f t="shared" ref="F5:I5" si="0">E5*(1+F6)</f>
        <v>4.7960000000000012</v>
      </c>
      <c r="G5" s="17">
        <f t="shared" si="0"/>
        <v>5.1796800000000012</v>
      </c>
      <c r="H5" s="17">
        <f t="shared" si="0"/>
        <v>5.5422576000000019</v>
      </c>
      <c r="I5" s="17">
        <f t="shared" si="0"/>
        <v>5.8747930560000023</v>
      </c>
    </row>
    <row r="6" spans="2:13" x14ac:dyDescent="0.35">
      <c r="B6" s="25" t="s">
        <v>54</v>
      </c>
      <c r="E6" s="19">
        <v>0.1</v>
      </c>
      <c r="F6" s="19">
        <v>0.09</v>
      </c>
      <c r="G6" s="19">
        <v>0.08</v>
      </c>
      <c r="H6" s="19">
        <v>7.0000000000000007E-2</v>
      </c>
      <c r="I6" s="19">
        <v>0.06</v>
      </c>
    </row>
    <row r="8" spans="2:13" x14ac:dyDescent="0.35">
      <c r="B8" t="s">
        <v>55</v>
      </c>
      <c r="D8">
        <f>Drivers!D3/IS_Projections!D5</f>
        <v>125</v>
      </c>
      <c r="E8" s="17">
        <f>D8*(1+E9)</f>
        <v>131.25</v>
      </c>
      <c r="F8" s="17">
        <f t="shared" ref="F8:I8" si="1">E8*(1+F9)</f>
        <v>137.15625</v>
      </c>
      <c r="G8" s="17">
        <f t="shared" si="1"/>
        <v>142.64250000000001</v>
      </c>
      <c r="H8" s="17">
        <f t="shared" si="1"/>
        <v>147.63498749999999</v>
      </c>
      <c r="I8" s="17">
        <f t="shared" si="1"/>
        <v>152.064037125</v>
      </c>
    </row>
    <row r="9" spans="2:13" x14ac:dyDescent="0.35">
      <c r="B9" s="25" t="s">
        <v>54</v>
      </c>
      <c r="C9" s="25"/>
      <c r="D9" s="25"/>
      <c r="E9" s="20">
        <v>0.05</v>
      </c>
      <c r="F9" s="20">
        <v>4.4999999999999998E-2</v>
      </c>
      <c r="G9" s="20">
        <v>0.04</v>
      </c>
      <c r="H9" s="20">
        <v>3.5000000000000003E-2</v>
      </c>
      <c r="I9" s="20">
        <v>0.03</v>
      </c>
    </row>
    <row r="11" spans="2:13" x14ac:dyDescent="0.35">
      <c r="B11" t="s">
        <v>58</v>
      </c>
      <c r="D11">
        <v>8</v>
      </c>
      <c r="E11" s="17">
        <f>E5/E12</f>
        <v>8.8000000000000007</v>
      </c>
      <c r="F11" s="17">
        <f t="shared" ref="F11:I11" si="2">F5/F12</f>
        <v>9.5920000000000023</v>
      </c>
      <c r="G11" s="17">
        <f t="shared" si="2"/>
        <v>10.359360000000002</v>
      </c>
      <c r="H11" s="17">
        <f t="shared" si="2"/>
        <v>11.084515200000004</v>
      </c>
      <c r="I11" s="17">
        <f t="shared" si="2"/>
        <v>11.749586112000005</v>
      </c>
    </row>
    <row r="12" spans="2:13" x14ac:dyDescent="0.35">
      <c r="B12" t="s">
        <v>59</v>
      </c>
      <c r="D12">
        <f>D5/D11</f>
        <v>0.5</v>
      </c>
      <c r="E12">
        <f>D12</f>
        <v>0.5</v>
      </c>
      <c r="F12">
        <f t="shared" ref="F12:I12" si="3">E12</f>
        <v>0.5</v>
      </c>
      <c r="G12">
        <f t="shared" si="3"/>
        <v>0.5</v>
      </c>
      <c r="H12">
        <f t="shared" si="3"/>
        <v>0.5</v>
      </c>
      <c r="I12">
        <f t="shared" si="3"/>
        <v>0.5</v>
      </c>
    </row>
    <row r="14" spans="2:13" x14ac:dyDescent="0.35">
      <c r="B14" t="s">
        <v>61</v>
      </c>
      <c r="D14" s="8">
        <v>2</v>
      </c>
    </row>
    <row r="15" spans="2:13" x14ac:dyDescent="0.35">
      <c r="B15" t="s">
        <v>60</v>
      </c>
      <c r="D15" s="8">
        <v>25</v>
      </c>
    </row>
    <row r="17" spans="2:9" x14ac:dyDescent="0.35">
      <c r="B17" t="s">
        <v>62</v>
      </c>
      <c r="E17" s="9">
        <f>D11*$D$14+(E11-D11)*$D$15</f>
        <v>36.000000000000014</v>
      </c>
      <c r="F17" s="9">
        <f t="shared" ref="F17:I17" si="4">E11*$D$14+(F11-E11)*$D$15</f>
        <v>37.400000000000041</v>
      </c>
      <c r="G17" s="9">
        <f t="shared" si="4"/>
        <v>38.368000000000009</v>
      </c>
      <c r="H17" s="9">
        <f t="shared" si="4"/>
        <v>38.847600000000043</v>
      </c>
      <c r="I17" s="9">
        <f t="shared" si="4"/>
        <v>38.79580320000003</v>
      </c>
    </row>
    <row r="19" spans="2:9" x14ac:dyDescent="0.35">
      <c r="B19" s="14" t="s">
        <v>78</v>
      </c>
      <c r="C19" s="28"/>
      <c r="D19" s="24" t="s">
        <v>48</v>
      </c>
      <c r="E19" s="24" t="s">
        <v>49</v>
      </c>
      <c r="F19" s="24" t="s">
        <v>50</v>
      </c>
      <c r="G19" s="24" t="s">
        <v>51</v>
      </c>
      <c r="H19" s="24" t="s">
        <v>52</v>
      </c>
      <c r="I19" s="24" t="s">
        <v>53</v>
      </c>
    </row>
    <row r="21" spans="2:9" x14ac:dyDescent="0.35">
      <c r="B21" s="2" t="s">
        <v>64</v>
      </c>
      <c r="D21" s="9">
        <f>D5*D8</f>
        <v>500</v>
      </c>
      <c r="E21" s="9">
        <f t="shared" ref="E21:I21" si="5">E5*E8</f>
        <v>577.5</v>
      </c>
      <c r="F21" s="9">
        <f t="shared" si="5"/>
        <v>657.80137500000012</v>
      </c>
      <c r="G21" s="9">
        <f t="shared" si="5"/>
        <v>738.84250440000028</v>
      </c>
      <c r="H21" s="9">
        <f t="shared" si="5"/>
        <v>818.23113149778021</v>
      </c>
      <c r="I21" s="9">
        <f t="shared" si="5"/>
        <v>893.34474936927654</v>
      </c>
    </row>
    <row r="22" spans="2:9" x14ac:dyDescent="0.35">
      <c r="B22" s="25" t="s">
        <v>65</v>
      </c>
      <c r="E22" s="29">
        <f>E21/D21-1</f>
        <v>0.15500000000000003</v>
      </c>
      <c r="F22" s="29">
        <f t="shared" ref="F22:I22" si="6">F21/E21-1</f>
        <v>0.13905000000000012</v>
      </c>
      <c r="G22" s="29">
        <f t="shared" si="6"/>
        <v>0.1232000000000002</v>
      </c>
      <c r="H22" s="29">
        <f t="shared" si="6"/>
        <v>0.10744999999999982</v>
      </c>
      <c r="I22" s="29">
        <f t="shared" si="6"/>
        <v>9.1800000000000104E-2</v>
      </c>
    </row>
    <row r="24" spans="2:9" x14ac:dyDescent="0.35">
      <c r="B24" s="25" t="s">
        <v>67</v>
      </c>
      <c r="C24" s="25"/>
      <c r="D24" s="19">
        <v>0.5</v>
      </c>
      <c r="E24" s="19">
        <v>0.49</v>
      </c>
      <c r="F24" s="19">
        <v>0.48</v>
      </c>
      <c r="G24" s="19">
        <v>0.47</v>
      </c>
      <c r="H24" s="19">
        <v>0.46</v>
      </c>
      <c r="I24" s="19">
        <v>0.45</v>
      </c>
    </row>
    <row r="25" spans="2:9" x14ac:dyDescent="0.35">
      <c r="B25" s="2" t="s">
        <v>66</v>
      </c>
      <c r="D25" s="9">
        <f>D21*(1-D24)</f>
        <v>250</v>
      </c>
      <c r="E25" s="9">
        <f t="shared" ref="E25:I25" si="7">E21*(1-E24)</f>
        <v>294.52499999999998</v>
      </c>
      <c r="F25" s="9">
        <f t="shared" si="7"/>
        <v>342.05671500000005</v>
      </c>
      <c r="G25" s="9">
        <f t="shared" si="7"/>
        <v>391.58652733200017</v>
      </c>
      <c r="H25" s="9">
        <f t="shared" si="7"/>
        <v>441.84481100880134</v>
      </c>
      <c r="I25" s="9">
        <f t="shared" si="7"/>
        <v>491.33961215310211</v>
      </c>
    </row>
    <row r="27" spans="2:9" x14ac:dyDescent="0.35">
      <c r="B27" s="2" t="s">
        <v>68</v>
      </c>
      <c r="D27" s="9">
        <f>D21-D25-D29</f>
        <v>150</v>
      </c>
      <c r="E27" s="9">
        <f>D27*(1+E9)</f>
        <v>157.5</v>
      </c>
      <c r="F27" s="9">
        <f t="shared" ref="F27:I27" si="8">E27*(1+F9)</f>
        <v>164.58749999999998</v>
      </c>
      <c r="G27" s="9">
        <f t="shared" si="8"/>
        <v>171.17099999999999</v>
      </c>
      <c r="H27" s="9">
        <f t="shared" si="8"/>
        <v>177.16198499999999</v>
      </c>
      <c r="I27" s="9">
        <f t="shared" si="8"/>
        <v>182.47684454999998</v>
      </c>
    </row>
    <row r="29" spans="2:9" x14ac:dyDescent="0.35">
      <c r="B29" s="2" t="s">
        <v>69</v>
      </c>
      <c r="D29">
        <f>D21*D30</f>
        <v>100</v>
      </c>
      <c r="E29" s="9">
        <f>E21-E25-E27</f>
        <v>125.47500000000002</v>
      </c>
      <c r="F29" s="9">
        <f t="shared" ref="F29:I29" si="9">F21-F25-F27</f>
        <v>151.15716000000009</v>
      </c>
      <c r="G29" s="9">
        <f t="shared" si="9"/>
        <v>176.08497706800011</v>
      </c>
      <c r="H29" s="9">
        <f t="shared" si="9"/>
        <v>199.22433548897888</v>
      </c>
      <c r="I29" s="9">
        <f t="shared" si="9"/>
        <v>219.52829266617445</v>
      </c>
    </row>
    <row r="30" spans="2:9" x14ac:dyDescent="0.35">
      <c r="B30" s="25" t="s">
        <v>15</v>
      </c>
      <c r="C30" s="25"/>
      <c r="D30" s="19">
        <f>Drivers!D4</f>
        <v>0.2</v>
      </c>
      <c r="E30" s="29">
        <f>E29/E21</f>
        <v>0.21727272727272731</v>
      </c>
      <c r="F30" s="29">
        <f t="shared" ref="F30:I30" si="10">F29/F21</f>
        <v>0.22979149291075907</v>
      </c>
      <c r="G30" s="29">
        <f t="shared" si="10"/>
        <v>0.23832545639885097</v>
      </c>
      <c r="H30" s="29">
        <f t="shared" si="10"/>
        <v>0.24348173495219713</v>
      </c>
      <c r="I30" s="29">
        <f t="shared" si="10"/>
        <v>0.2457374858039596</v>
      </c>
    </row>
    <row r="32" spans="2:9" x14ac:dyDescent="0.35">
      <c r="B32" s="2" t="s">
        <v>70</v>
      </c>
      <c r="D32" s="30">
        <f>-20</f>
        <v>-20</v>
      </c>
      <c r="E32" s="30">
        <f t="shared" ref="E32:I32" si="11">-E21*E33</f>
        <v>-23.1</v>
      </c>
      <c r="F32" s="30">
        <f t="shared" si="11"/>
        <v>-24.338650875000003</v>
      </c>
      <c r="G32" s="30">
        <f t="shared" si="11"/>
        <v>-25.120645149600012</v>
      </c>
      <c r="H32" s="30">
        <f t="shared" si="11"/>
        <v>-25.365165076431186</v>
      </c>
      <c r="I32" s="30">
        <f t="shared" si="11"/>
        <v>-25.013652982339742</v>
      </c>
    </row>
    <row r="33" spans="2:9" x14ac:dyDescent="0.35">
      <c r="B33" t="s">
        <v>71</v>
      </c>
      <c r="D33" s="32">
        <f>-D32/D21</f>
        <v>0.04</v>
      </c>
      <c r="E33" s="31">
        <v>0.04</v>
      </c>
      <c r="F33" s="31">
        <v>3.6999999999999998E-2</v>
      </c>
      <c r="G33" s="31">
        <v>3.4000000000000002E-2</v>
      </c>
      <c r="H33" s="31">
        <v>3.1E-2</v>
      </c>
      <c r="I33" s="31">
        <v>2.8000000000000001E-2</v>
      </c>
    </row>
    <row r="35" spans="2:9" x14ac:dyDescent="0.35">
      <c r="B35" t="s">
        <v>84</v>
      </c>
      <c r="D35" s="30"/>
      <c r="E35" s="30">
        <f>-'Debt Schedule'!E18</f>
        <v>-31.5</v>
      </c>
      <c r="F35" s="30">
        <f>-'Debt Schedule'!F18</f>
        <v>-32.663534374999998</v>
      </c>
      <c r="G35" s="30">
        <f>-'Debt Schedule'!G18</f>
        <v>-32.557963906781254</v>
      </c>
      <c r="H35" s="30">
        <f>-'Debt Schedule'!H18</f>
        <v>-31.436484055157422</v>
      </c>
      <c r="I35" s="30">
        <f>-'Debt Schedule'!I18</f>
        <v>-28.431485349687907</v>
      </c>
    </row>
    <row r="37" spans="2:9" x14ac:dyDescent="0.35">
      <c r="B37" t="s">
        <v>86</v>
      </c>
      <c r="D37" s="30"/>
      <c r="E37" s="9">
        <f>E29+E32+E35</f>
        <v>70.875000000000028</v>
      </c>
      <c r="F37" s="9">
        <f t="shared" ref="F37:I37" si="12">F29+F32+F35</f>
        <v>94.154974750000093</v>
      </c>
      <c r="G37" s="9">
        <f t="shared" si="12"/>
        <v>118.40636801161884</v>
      </c>
      <c r="H37" s="9">
        <f t="shared" si="12"/>
        <v>142.42268635739026</v>
      </c>
      <c r="I37" s="9">
        <f t="shared" si="12"/>
        <v>166.0831543341468</v>
      </c>
    </row>
    <row r="39" spans="2:9" x14ac:dyDescent="0.35">
      <c r="B39" t="s">
        <v>85</v>
      </c>
      <c r="E39" s="30">
        <f>-E37*Drivers!$H$15</f>
        <v>-17.718750000000007</v>
      </c>
      <c r="F39" s="30">
        <f>-F37*Drivers!$H$15</f>
        <v>-23.538743687500023</v>
      </c>
      <c r="G39" s="30">
        <f>-G37*Drivers!$H$15</f>
        <v>-29.601592002904709</v>
      </c>
      <c r="H39" s="30">
        <f>-H37*Drivers!$H$15</f>
        <v>-35.605671589347565</v>
      </c>
      <c r="I39" s="30">
        <f>-I37*Drivers!$H$15</f>
        <v>-41.520788583536699</v>
      </c>
    </row>
    <row r="41" spans="2:9" x14ac:dyDescent="0.35">
      <c r="B41" s="12" t="s">
        <v>87</v>
      </c>
      <c r="C41" s="12"/>
      <c r="D41" s="12"/>
      <c r="E41" s="13">
        <f>E37+E39</f>
        <v>53.156250000000021</v>
      </c>
      <c r="F41" s="13">
        <f t="shared" ref="F41:I41" si="13">F37+F39</f>
        <v>70.616231062500077</v>
      </c>
      <c r="G41" s="13">
        <f t="shared" si="13"/>
        <v>88.804776008714128</v>
      </c>
      <c r="H41" s="13">
        <f t="shared" si="13"/>
        <v>106.8170147680427</v>
      </c>
      <c r="I41" s="13">
        <f t="shared" si="13"/>
        <v>124.5623657506101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AC8E1-3FFB-4535-937D-AD2262D27924}">
  <dimension ref="B1:M19"/>
  <sheetViews>
    <sheetView showGridLines="0" topLeftCell="A6" zoomScale="90" zoomScaleNormal="90" workbookViewId="0">
      <selection activeCell="L15" sqref="L15"/>
    </sheetView>
  </sheetViews>
  <sheetFormatPr defaultRowHeight="14.5" x14ac:dyDescent="0.35"/>
  <cols>
    <col min="1" max="1" width="1.81640625" customWidth="1"/>
    <col min="2" max="2" width="29.1796875" bestFit="1" customWidth="1"/>
  </cols>
  <sheetData>
    <row r="1" spans="2:13" ht="18.5" x14ac:dyDescent="0.45">
      <c r="B1" s="23" t="s">
        <v>89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3" spans="2:13" x14ac:dyDescent="0.35">
      <c r="B3" s="14" t="s">
        <v>63</v>
      </c>
      <c r="C3" s="28"/>
      <c r="D3" s="24" t="s">
        <v>48</v>
      </c>
      <c r="E3" s="24" t="s">
        <v>49</v>
      </c>
      <c r="F3" s="24" t="s">
        <v>50</v>
      </c>
      <c r="G3" s="24" t="s">
        <v>51</v>
      </c>
      <c r="H3" s="24" t="s">
        <v>52</v>
      </c>
      <c r="I3" s="24" t="s">
        <v>53</v>
      </c>
    </row>
    <row r="5" spans="2:13" x14ac:dyDescent="0.35">
      <c r="B5" t="s">
        <v>87</v>
      </c>
      <c r="E5" s="9">
        <f>IS_Projections!E41</f>
        <v>53.156250000000021</v>
      </c>
      <c r="F5" s="9">
        <f>IS_Projections!F41</f>
        <v>70.616231062500077</v>
      </c>
      <c r="G5" s="9">
        <f>IS_Projections!G41</f>
        <v>88.804776008714128</v>
      </c>
      <c r="H5" s="9">
        <f>IS_Projections!H41</f>
        <v>106.8170147680427</v>
      </c>
      <c r="I5" s="9">
        <f>IS_Projections!I41</f>
        <v>124.5623657506101</v>
      </c>
    </row>
    <row r="6" spans="2:13" x14ac:dyDescent="0.35">
      <c r="B6" t="s">
        <v>91</v>
      </c>
      <c r="E6" s="9">
        <f>-IS_Projections!E32</f>
        <v>23.1</v>
      </c>
      <c r="F6" s="9">
        <f>-IS_Projections!F32</f>
        <v>24.338650875000003</v>
      </c>
      <c r="G6" s="9">
        <f>-IS_Projections!G32</f>
        <v>25.120645149600012</v>
      </c>
      <c r="H6" s="9">
        <f>-IS_Projections!H32</f>
        <v>25.365165076431186</v>
      </c>
      <c r="I6" s="9">
        <f>-IS_Projections!I32</f>
        <v>25.013652982339742</v>
      </c>
    </row>
    <row r="7" spans="2:13" x14ac:dyDescent="0.35">
      <c r="B7" t="s">
        <v>92</v>
      </c>
      <c r="E7" s="9">
        <f>SUM('Debt Schedule'!E16:E17)</f>
        <v>15</v>
      </c>
      <c r="F7" s="9">
        <f>SUM('Debt Schedule'!F16:F17)</f>
        <v>16.25</v>
      </c>
      <c r="G7" s="9">
        <f>SUM('Debt Schedule'!G16:G17)</f>
        <v>17.612500000000001</v>
      </c>
      <c r="H7" s="9">
        <f>SUM('Debt Schedule'!H16:H17)</f>
        <v>19.098125000000003</v>
      </c>
      <c r="I7" s="9">
        <f>SUM('Debt Schedule'!I16:I17)</f>
        <v>20.718531249999998</v>
      </c>
    </row>
    <row r="8" spans="2:13" x14ac:dyDescent="0.35">
      <c r="B8" t="s">
        <v>93</v>
      </c>
      <c r="E8" s="30">
        <f>(IS_Projections!D21-IS_Projections!E21)*Drivers!$H$11+(IS_Projections!D21-IS_Projections!E21)*Drivers!$H$12+(IS_Projections!E21-IS_Projections!D21)*Drivers!$H$13</f>
        <v>-11.625</v>
      </c>
      <c r="F8" s="30">
        <f>(IS_Projections!E21-IS_Projections!F21)*Drivers!$H$11+(IS_Projections!E21-IS_Projections!F21)*Drivers!$H$12+(IS_Projections!F21-IS_Projections!E21)*Drivers!$H$13</f>
        <v>-12.045206250000021</v>
      </c>
      <c r="G8" s="30">
        <f>(IS_Projections!F21-IS_Projections!G21)*Drivers!$H$11+(IS_Projections!F21-IS_Projections!G21)*Drivers!$H$12+(IS_Projections!G21-IS_Projections!F21)*Drivers!$H$13</f>
        <v>-12.156169410000027</v>
      </c>
      <c r="H8" s="30">
        <f>(IS_Projections!G21-IS_Projections!H21)*Drivers!$H$11+(IS_Projections!G21-IS_Projections!H21)*Drivers!$H$12+(IS_Projections!H21-IS_Projections!G21)*Drivers!$H$13</f>
        <v>-11.90829406466699</v>
      </c>
      <c r="I8" s="30">
        <f>(IS_Projections!H21-IS_Projections!I21)*Drivers!$H$11+(IS_Projections!H21-IS_Projections!I21)*Drivers!$H$12+(IS_Projections!I21-IS_Projections!H21)*Drivers!$H$13</f>
        <v>-11.267042680724453</v>
      </c>
    </row>
    <row r="9" spans="2:13" x14ac:dyDescent="0.35">
      <c r="B9" t="s">
        <v>94</v>
      </c>
      <c r="E9" s="30">
        <f>-IS_Projections!E17</f>
        <v>-36.000000000000014</v>
      </c>
      <c r="F9" s="30">
        <f>-IS_Projections!F17</f>
        <v>-37.400000000000041</v>
      </c>
      <c r="G9" s="30">
        <f>-IS_Projections!G17</f>
        <v>-38.368000000000009</v>
      </c>
      <c r="H9" s="30">
        <f>-IS_Projections!H17</f>
        <v>-38.847600000000043</v>
      </c>
      <c r="I9" s="30">
        <f>-IS_Projections!I17</f>
        <v>-38.79580320000003</v>
      </c>
    </row>
    <row r="10" spans="2:13" x14ac:dyDescent="0.35">
      <c r="B10" s="12" t="s">
        <v>95</v>
      </c>
      <c r="C10" s="12"/>
      <c r="D10" s="12"/>
      <c r="E10" s="13">
        <f>SUM(E5:E9)</f>
        <v>43.631250000000009</v>
      </c>
      <c r="F10" s="13">
        <f t="shared" ref="F10:I10" si="0">SUM(F5:F9)</f>
        <v>61.759675687500014</v>
      </c>
      <c r="G10" s="13">
        <f t="shared" si="0"/>
        <v>81.013751748314093</v>
      </c>
      <c r="H10" s="13">
        <f t="shared" si="0"/>
        <v>100.52441077980687</v>
      </c>
      <c r="I10" s="13">
        <f t="shared" si="0"/>
        <v>120.23170410222536</v>
      </c>
    </row>
    <row r="12" spans="2:13" x14ac:dyDescent="0.35">
      <c r="B12" t="s">
        <v>90</v>
      </c>
      <c r="E12" s="30">
        <f>-MIN('Debt Schedule'!E10*'Debt Schedule'!$D$6,'Debt Schedule'!D6)</f>
        <v>-15</v>
      </c>
      <c r="F12" s="30">
        <f>-MIN('Debt Schedule'!F10*'Debt Schedule'!$D$6,'Debt Schedule'!E6)</f>
        <v>-30</v>
      </c>
      <c r="G12" s="30">
        <f>-MIN('Debt Schedule'!G10*'Debt Schedule'!$D$6,'Debt Schedule'!F6)</f>
        <v>-30</v>
      </c>
      <c r="H12" s="30">
        <f>-MIN('Debt Schedule'!H10*'Debt Schedule'!$D$6,'Debt Schedule'!G6)</f>
        <v>-45</v>
      </c>
      <c r="I12" s="30">
        <f>-MIN('Debt Schedule'!I10*'Debt Schedule'!$D$6,'Debt Schedule'!H6)</f>
        <v>-60</v>
      </c>
    </row>
    <row r="13" spans="2:13" x14ac:dyDescent="0.35">
      <c r="B13" t="s">
        <v>96</v>
      </c>
      <c r="E13">
        <f>'Capital Structure'!H6</f>
        <v>25</v>
      </c>
      <c r="F13" s="30">
        <f>E19</f>
        <v>39.315625000000004</v>
      </c>
      <c r="G13" s="30">
        <f>F19</f>
        <v>49.975150343750009</v>
      </c>
      <c r="H13" s="30">
        <f>G19</f>
        <v>66.93948542103206</v>
      </c>
      <c r="I13" s="30">
        <f>H19</f>
        <v>79.703010710419477</v>
      </c>
    </row>
    <row r="14" spans="2:13" x14ac:dyDescent="0.35">
      <c r="B14" t="s">
        <v>97</v>
      </c>
      <c r="E14" s="30">
        <f>-IS_Projections!D21*Drivers!$H$9</f>
        <v>-25</v>
      </c>
      <c r="F14" s="30">
        <f>-IS_Projections!E21*Drivers!$H$9</f>
        <v>-28.875</v>
      </c>
      <c r="G14" s="30">
        <f>-IS_Projections!F21*Drivers!$H$9</f>
        <v>-32.890068750000005</v>
      </c>
      <c r="H14" s="30">
        <f>-IS_Projections!G21*Drivers!$H$9</f>
        <v>-36.942125220000015</v>
      </c>
      <c r="I14" s="30">
        <f>-IS_Projections!H21*Drivers!$H$9</f>
        <v>-40.911556574889012</v>
      </c>
    </row>
    <row r="15" spans="2:13" x14ac:dyDescent="0.35">
      <c r="B15" t="s">
        <v>95</v>
      </c>
      <c r="E15" s="9">
        <f>E10</f>
        <v>43.631250000000009</v>
      </c>
      <c r="F15" s="9">
        <f>F10</f>
        <v>61.759675687500014</v>
      </c>
      <c r="G15" s="9">
        <f>G10</f>
        <v>81.013751748314093</v>
      </c>
      <c r="H15" s="9">
        <f t="shared" ref="H15:I15" si="1">H10</f>
        <v>100.52441077980687</v>
      </c>
      <c r="I15" s="9">
        <f t="shared" si="1"/>
        <v>120.23170410222536</v>
      </c>
    </row>
    <row r="16" spans="2:13" x14ac:dyDescent="0.35">
      <c r="B16" s="12" t="s">
        <v>98</v>
      </c>
      <c r="C16" s="12"/>
      <c r="D16" s="12"/>
      <c r="E16" s="33">
        <f>SUM(E12:E15)</f>
        <v>28.631250000000009</v>
      </c>
      <c r="F16" s="33">
        <f>SUM(F12:F15)</f>
        <v>42.200300687500018</v>
      </c>
      <c r="G16" s="33">
        <f>SUM(G12:G15)</f>
        <v>68.098833342064097</v>
      </c>
      <c r="H16" s="33">
        <f t="shared" ref="H16:I16" si="2">SUM(H12:H15)</f>
        <v>85.521770980838909</v>
      </c>
      <c r="I16" s="33">
        <f t="shared" si="2"/>
        <v>99.023158237755837</v>
      </c>
    </row>
    <row r="18" spans="2:9" x14ac:dyDescent="0.35">
      <c r="B18" t="s">
        <v>99</v>
      </c>
      <c r="E18" s="30">
        <f>-MIN(E16*Drivers!$L$5,'Debt Schedule'!D6+E12)</f>
        <v>-14.315625000000004</v>
      </c>
      <c r="F18" s="30">
        <f>-MIN(F16*Drivers!$L$5,'Debt Schedule'!E6+F12)</f>
        <v>-21.100150343750009</v>
      </c>
      <c r="G18" s="30">
        <f>-MIN(G16*Drivers!$L$5,'Debt Schedule'!F6+G12)</f>
        <v>-34.049416671032048</v>
      </c>
      <c r="H18" s="30">
        <f>-MIN(H16*Drivers!$L$5,'Debt Schedule'!G6+H12)</f>
        <v>-42.760885490419454</v>
      </c>
      <c r="I18" s="30">
        <f>-MIN(I16*Drivers!$L$5,'Debt Schedule'!H6+I12)</f>
        <v>-7.7739224947984695</v>
      </c>
    </row>
    <row r="19" spans="2:9" x14ac:dyDescent="0.35">
      <c r="B19" t="s">
        <v>100</v>
      </c>
      <c r="E19" s="30">
        <f>E12+E13+E15+E18</f>
        <v>39.315625000000004</v>
      </c>
      <c r="F19" s="30">
        <f>F12+F13+F15+F18</f>
        <v>49.975150343750009</v>
      </c>
      <c r="G19" s="30">
        <f>G12+G13+G15+G18</f>
        <v>66.93948542103206</v>
      </c>
      <c r="H19" s="30">
        <f>H12+H13+H15+H18</f>
        <v>79.703010710419477</v>
      </c>
      <c r="I19" s="30">
        <f>I12+I13+I15+I18</f>
        <v>132.16079231784636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8D9E0-6D2E-476C-9D17-CC213ACA9939}">
  <dimension ref="B1:M18"/>
  <sheetViews>
    <sheetView showGridLines="0" zoomScale="90" zoomScaleNormal="90" workbookViewId="0">
      <selection activeCell="E17" sqref="E17"/>
    </sheetView>
  </sheetViews>
  <sheetFormatPr defaultRowHeight="14.5" x14ac:dyDescent="0.35"/>
  <cols>
    <col min="1" max="1" width="1.81640625" customWidth="1"/>
    <col min="2" max="2" width="18.7265625" bestFit="1" customWidth="1"/>
  </cols>
  <sheetData>
    <row r="1" spans="2:13" ht="18.5" x14ac:dyDescent="0.45">
      <c r="B1" s="23" t="s">
        <v>72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3" spans="2:13" x14ac:dyDescent="0.35">
      <c r="B3" s="14" t="s">
        <v>74</v>
      </c>
      <c r="C3" s="28"/>
      <c r="D3" s="24" t="s">
        <v>48</v>
      </c>
      <c r="E3" s="24" t="s">
        <v>49</v>
      </c>
      <c r="F3" s="24" t="s">
        <v>50</v>
      </c>
      <c r="G3" s="24" t="s">
        <v>51</v>
      </c>
      <c r="H3" s="24" t="s">
        <v>52</v>
      </c>
      <c r="I3" s="24" t="s">
        <v>53</v>
      </c>
    </row>
    <row r="5" spans="2:13" x14ac:dyDescent="0.35">
      <c r="B5" s="2" t="s">
        <v>73</v>
      </c>
    </row>
    <row r="6" spans="2:13" x14ac:dyDescent="0.35">
      <c r="B6" t="s">
        <v>22</v>
      </c>
      <c r="D6">
        <f>'Capital Structure'!D4</f>
        <v>300</v>
      </c>
      <c r="E6" s="9">
        <f>D6+CF_Projections!E12+CF_Projections!E18</f>
        <v>270.68437499999999</v>
      </c>
      <c r="F6" s="9">
        <f>E6+CF_Projections!F12+CF_Projections!F18</f>
        <v>219.58422465624997</v>
      </c>
      <c r="G6" s="9">
        <f>F6+CF_Projections!G12+CF_Projections!G18</f>
        <v>155.53480798521792</v>
      </c>
      <c r="H6" s="9">
        <f>G6+CF_Projections!H12+CF_Projections!H18</f>
        <v>67.77392249479847</v>
      </c>
      <c r="I6" s="9">
        <f>H6+CF_Projections!I12+CF_Projections!I18</f>
        <v>0</v>
      </c>
    </row>
    <row r="7" spans="2:13" x14ac:dyDescent="0.35">
      <c r="B7" t="s">
        <v>75</v>
      </c>
      <c r="D7">
        <f>'Capital Structure'!D5</f>
        <v>100</v>
      </c>
      <c r="E7">
        <f>D7+E16</f>
        <v>105</v>
      </c>
      <c r="F7" s="9">
        <f>E7+F16</f>
        <v>110.25</v>
      </c>
      <c r="G7" s="9">
        <f>F7+G16</f>
        <v>115.7625</v>
      </c>
      <c r="H7" s="9">
        <f t="shared" ref="H7:I7" si="0">G7+H16</f>
        <v>121.550625</v>
      </c>
      <c r="I7" s="9">
        <f t="shared" si="0"/>
        <v>127.62815624999999</v>
      </c>
    </row>
    <row r="8" spans="2:13" x14ac:dyDescent="0.35">
      <c r="B8" t="s">
        <v>76</v>
      </c>
      <c r="D8">
        <f>'Capital Structure'!D6</f>
        <v>100</v>
      </c>
      <c r="E8">
        <f>D8+E17</f>
        <v>110</v>
      </c>
      <c r="F8" s="9">
        <f>E8+F17</f>
        <v>121</v>
      </c>
      <c r="G8" s="9">
        <f t="shared" ref="G8:I8" si="1">F8+G17</f>
        <v>133.1</v>
      </c>
      <c r="H8" s="9">
        <f t="shared" si="1"/>
        <v>146.41</v>
      </c>
      <c r="I8" s="9">
        <f t="shared" si="1"/>
        <v>161.05099999999999</v>
      </c>
    </row>
    <row r="10" spans="2:13" x14ac:dyDescent="0.35">
      <c r="B10" t="s">
        <v>77</v>
      </c>
      <c r="E10" s="3">
        <v>0.05</v>
      </c>
      <c r="F10" s="3">
        <v>0.1</v>
      </c>
      <c r="G10" s="3">
        <v>0.1</v>
      </c>
      <c r="H10" s="3">
        <v>0.15</v>
      </c>
      <c r="I10" s="3">
        <v>0.2</v>
      </c>
    </row>
    <row r="12" spans="2:13" x14ac:dyDescent="0.35">
      <c r="B12" t="s">
        <v>79</v>
      </c>
      <c r="E12" s="18">
        <v>1.4999999999999999E-2</v>
      </c>
      <c r="F12" s="18">
        <v>1.9E-2</v>
      </c>
      <c r="G12" s="18">
        <v>2.3E-2</v>
      </c>
      <c r="H12" s="18">
        <v>2.7E-2</v>
      </c>
      <c r="I12" s="26">
        <v>0.03</v>
      </c>
    </row>
    <row r="14" spans="2:13" x14ac:dyDescent="0.35">
      <c r="B14" t="s">
        <v>80</v>
      </c>
      <c r="E14" s="9">
        <f>D6*(E12+Drivers!$K$5)</f>
        <v>13.5</v>
      </c>
      <c r="F14" s="9">
        <f>E6*(F12+Drivers!$K$5)</f>
        <v>13.263534375000001</v>
      </c>
      <c r="G14" s="9">
        <f>F6*(G12+Drivers!$K$5)</f>
        <v>11.637963906781248</v>
      </c>
      <c r="H14" s="9">
        <f>G6*(H12+Drivers!$K$5)</f>
        <v>8.8654840551574203</v>
      </c>
      <c r="I14" s="9">
        <f>H6*(I12+Drivers!$K$5)</f>
        <v>4.0664353496879082</v>
      </c>
    </row>
    <row r="15" spans="2:13" x14ac:dyDescent="0.35">
      <c r="B15" t="s">
        <v>81</v>
      </c>
      <c r="E15">
        <f>D7*Drivers!$I$6</f>
        <v>3</v>
      </c>
      <c r="F15" s="9">
        <f>E7*Drivers!$I$6</f>
        <v>3.15</v>
      </c>
      <c r="G15" s="9">
        <f>F7*Drivers!$I$6</f>
        <v>3.3074999999999997</v>
      </c>
      <c r="H15" s="9">
        <f>G7*Drivers!$I$6</f>
        <v>3.4728750000000002</v>
      </c>
      <c r="I15" s="9">
        <f>H7*Drivers!$I$6</f>
        <v>3.6465187499999998</v>
      </c>
    </row>
    <row r="16" spans="2:13" x14ac:dyDescent="0.35">
      <c r="B16" t="s">
        <v>82</v>
      </c>
      <c r="E16">
        <f>D7*Drivers!$J$6</f>
        <v>5</v>
      </c>
      <c r="F16" s="9">
        <f>E7*Drivers!$J$6</f>
        <v>5.25</v>
      </c>
      <c r="G16" s="9">
        <f>F7*Drivers!$J$6</f>
        <v>5.5125000000000002</v>
      </c>
      <c r="H16" s="9">
        <f>G7*Drivers!$J$6</f>
        <v>5.7881250000000009</v>
      </c>
      <c r="I16" s="9">
        <f>H7*Drivers!$J$6</f>
        <v>6.0775312499999998</v>
      </c>
    </row>
    <row r="17" spans="2:9" x14ac:dyDescent="0.35">
      <c r="B17" t="s">
        <v>83</v>
      </c>
      <c r="E17">
        <f>D8*Drivers!$J$7</f>
        <v>10</v>
      </c>
      <c r="F17">
        <f>E8*Drivers!$J$7</f>
        <v>11</v>
      </c>
      <c r="G17" s="9">
        <f>F8*Drivers!$J$7</f>
        <v>12.100000000000001</v>
      </c>
      <c r="H17" s="9">
        <f>G8*Drivers!$J$7</f>
        <v>13.31</v>
      </c>
      <c r="I17" s="9">
        <f>H8*Drivers!$J$7</f>
        <v>14.641</v>
      </c>
    </row>
    <row r="18" spans="2:9" x14ac:dyDescent="0.35">
      <c r="B18" s="12" t="s">
        <v>45</v>
      </c>
      <c r="C18" s="12"/>
      <c r="D18" s="12"/>
      <c r="E18" s="13">
        <f>SUM(E14:E17)</f>
        <v>31.5</v>
      </c>
      <c r="F18" s="13">
        <f t="shared" ref="F18:I18" si="2">SUM(F14:F17)</f>
        <v>32.663534374999998</v>
      </c>
      <c r="G18" s="13">
        <f t="shared" si="2"/>
        <v>32.557963906781254</v>
      </c>
      <c r="H18" s="13">
        <f t="shared" si="2"/>
        <v>31.436484055157422</v>
      </c>
      <c r="I18" s="13">
        <f t="shared" si="2"/>
        <v>28.431485349687907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E278-785F-48FF-AE41-2D8B37CD4D20}">
  <dimension ref="B1:M14"/>
  <sheetViews>
    <sheetView showGridLines="0" zoomScale="90" zoomScaleNormal="90" workbookViewId="0">
      <selection activeCell="O15" sqref="O15"/>
    </sheetView>
  </sheetViews>
  <sheetFormatPr defaultRowHeight="14.5" x14ac:dyDescent="0.35"/>
  <cols>
    <col min="1" max="1" width="1.81640625" customWidth="1"/>
    <col min="2" max="2" width="17.54296875" bestFit="1" customWidth="1"/>
  </cols>
  <sheetData>
    <row r="1" spans="2:13" ht="18.5" x14ac:dyDescent="0.45">
      <c r="B1" s="23" t="s">
        <v>101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3" spans="2:13" x14ac:dyDescent="0.35">
      <c r="B3" s="28"/>
      <c r="C3" s="28"/>
      <c r="D3" s="24" t="s">
        <v>48</v>
      </c>
      <c r="E3" s="24" t="s">
        <v>49</v>
      </c>
      <c r="F3" s="24" t="s">
        <v>50</v>
      </c>
      <c r="G3" s="24" t="s">
        <v>51</v>
      </c>
      <c r="H3" s="24" t="s">
        <v>52</v>
      </c>
      <c r="I3" s="24" t="s">
        <v>53</v>
      </c>
    </row>
    <row r="5" spans="2:13" x14ac:dyDescent="0.35">
      <c r="B5" t="s">
        <v>103</v>
      </c>
      <c r="E5" s="9">
        <f>IF(E$3=Drivers!$D$16,IS_Projections!E29*Drivers!$D$15,0)</f>
        <v>0</v>
      </c>
      <c r="F5" s="9">
        <f>IF(F$3=Drivers!$D$16,IS_Projections!F29*Drivers!$D$15,0)</f>
        <v>0</v>
      </c>
      <c r="G5" s="9">
        <f>IF(G$3=Drivers!$D$16,IS_Projections!G29*Drivers!$D$15,0)</f>
        <v>0</v>
      </c>
      <c r="H5" s="9">
        <f>IF(H$3=Drivers!$D$16,IS_Projections!H29*Drivers!$D$15,0)</f>
        <v>0</v>
      </c>
      <c r="I5" s="9">
        <f>IF(I$3=Drivers!$D$16,IS_Projections!I29*Drivers!$D$15,0)</f>
        <v>2195.2829266617446</v>
      </c>
    </row>
    <row r="6" spans="2:13" x14ac:dyDescent="0.35">
      <c r="B6" t="s">
        <v>104</v>
      </c>
      <c r="E6" s="9">
        <f>IF(E$3=Drivers!$D$16,-SUM('Debt Schedule'!E$6:E$8),0)</f>
        <v>0</v>
      </c>
      <c r="F6" s="9">
        <f>IF(F$3=Drivers!$D$16,-SUM('Debt Schedule'!F$6:F$8),0)</f>
        <v>0</v>
      </c>
      <c r="G6" s="9">
        <f>IF(G$3=Drivers!$D$16,-SUM('Debt Schedule'!G$6:G$8),0)</f>
        <v>0</v>
      </c>
      <c r="H6" s="9">
        <f>IF(H$3=Drivers!$D$16,-SUM('Debt Schedule'!H$6:H$8),0)</f>
        <v>0</v>
      </c>
      <c r="I6" s="30">
        <f>IF(I$3=Drivers!$D$16,-SUM('Debt Schedule'!I$6:I$8),0)</f>
        <v>-288.67915625000001</v>
      </c>
    </row>
    <row r="7" spans="2:13" x14ac:dyDescent="0.35">
      <c r="B7" t="s">
        <v>105</v>
      </c>
      <c r="E7" s="9">
        <f>IF(E$3=Drivers!$D$16,CF_Projections!E19,0)</f>
        <v>0</v>
      </c>
      <c r="F7" s="9">
        <f>IF(F$3=Drivers!$D$16,CF_Projections!F19,0)</f>
        <v>0</v>
      </c>
      <c r="G7" s="9">
        <f>IF(G$3=Drivers!$D$16,CF_Projections!G19,0)</f>
        <v>0</v>
      </c>
      <c r="H7" s="9">
        <f>IF(H$3=Drivers!$D$16,CF_Projections!H19,0)</f>
        <v>0</v>
      </c>
      <c r="I7" s="9">
        <f>IF(I$3=Drivers!$D$16,CF_Projections!I19,0)</f>
        <v>132.16079231784636</v>
      </c>
    </row>
    <row r="8" spans="2:13" x14ac:dyDescent="0.35">
      <c r="B8" s="12" t="s">
        <v>106</v>
      </c>
      <c r="C8" s="12"/>
      <c r="D8" s="12"/>
      <c r="E8" s="13">
        <f>SUM(E5:E7)</f>
        <v>0</v>
      </c>
      <c r="F8" s="13">
        <f t="shared" ref="F8:I8" si="0">SUM(F5:F7)</f>
        <v>0</v>
      </c>
      <c r="G8" s="13">
        <f t="shared" si="0"/>
        <v>0</v>
      </c>
      <c r="H8" s="13">
        <f t="shared" si="0"/>
        <v>0</v>
      </c>
      <c r="I8" s="13">
        <f t="shared" si="0"/>
        <v>2038.764562729591</v>
      </c>
    </row>
    <row r="9" spans="2:13" x14ac:dyDescent="0.35">
      <c r="B9" t="s">
        <v>107</v>
      </c>
      <c r="E9" s="9">
        <f>IF(E8&gt;'Capital Structure'!$D$7,'Capital Structure'!$D$7*Drivers!$D$13,0)</f>
        <v>0</v>
      </c>
      <c r="F9" s="9">
        <f>IF(F8&gt;'Capital Structure'!$D$7,'Capital Structure'!$D$7*Drivers!$D$13,0)</f>
        <v>0</v>
      </c>
      <c r="G9" s="9">
        <f>IF(G8&gt;'Capital Structure'!$D$7,'Capital Structure'!$D$7*Drivers!$D$13,0)</f>
        <v>0</v>
      </c>
      <c r="H9" s="9">
        <f>IF(H8&gt;'Capital Structure'!$D$7,'Capital Structure'!$D$7*Drivers!$D$13,0)</f>
        <v>0</v>
      </c>
      <c r="I9" s="9">
        <f>IF(I8&gt;'Capital Structure'!$D$7,'Capital Structure'!$D$7*Drivers!$D$13,0)</f>
        <v>37.450000000000003</v>
      </c>
    </row>
    <row r="10" spans="2:13" x14ac:dyDescent="0.35">
      <c r="B10" t="s">
        <v>108</v>
      </c>
      <c r="E10" s="9">
        <f>IF(E9&gt;0,-Drivers!$D$13/(1+Drivers!$D$13)*SUM('EXIT MULTIPLE'!E8:E9),0)</f>
        <v>0</v>
      </c>
      <c r="F10" s="9">
        <f>IF(F9&gt;0,-Drivers!$D$13/(1+Drivers!$D$13)*SUM('EXIT MULTIPLE'!F8:F9),0)</f>
        <v>0</v>
      </c>
      <c r="G10" s="9">
        <f>IF(G9&gt;0,-Drivers!$D$13/(1+Drivers!$D$13)*SUM('EXIT MULTIPLE'!G8:G9),0)</f>
        <v>0</v>
      </c>
      <c r="H10" s="9">
        <f>IF(H9&gt;0,-Drivers!$D$13/(1+Drivers!$D$13)*SUM('EXIT MULTIPLE'!H8:H9),0)</f>
        <v>0</v>
      </c>
      <c r="I10" s="30">
        <f>IF(I9&gt;0,-Drivers!$D$13/(1+Drivers!$D$13)*SUM('EXIT MULTIPLE'!I8:I9),0)</f>
        <v>-98.867360129980511</v>
      </c>
    </row>
    <row r="11" spans="2:13" x14ac:dyDescent="0.35">
      <c r="B11" s="12" t="s">
        <v>109</v>
      </c>
      <c r="C11" s="12"/>
      <c r="D11" s="33">
        <f>-'Capital Structure'!D7</f>
        <v>-749</v>
      </c>
      <c r="E11" s="13">
        <f>SUM(E8:E10)</f>
        <v>0</v>
      </c>
      <c r="F11" s="13">
        <f t="shared" ref="F11:I11" si="1">SUM(F8:F10)</f>
        <v>0</v>
      </c>
      <c r="G11" s="13">
        <f t="shared" si="1"/>
        <v>0</v>
      </c>
      <c r="H11" s="13">
        <f t="shared" si="1"/>
        <v>0</v>
      </c>
      <c r="I11" s="13">
        <f t="shared" si="1"/>
        <v>1977.3472025996102</v>
      </c>
    </row>
    <row r="13" spans="2:13" x14ac:dyDescent="0.35">
      <c r="B13" s="2" t="s">
        <v>110</v>
      </c>
      <c r="C13" s="2"/>
      <c r="D13" s="34">
        <f>-SUM(E11:I11)/D11</f>
        <v>2.6399829140181712</v>
      </c>
    </row>
    <row r="14" spans="2:13" x14ac:dyDescent="0.35">
      <c r="B14" s="2" t="s">
        <v>111</v>
      </c>
      <c r="C14" s="2"/>
      <c r="D14" s="35">
        <f>IRR(D11:I11)</f>
        <v>0.21428386200833494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E2EA3-78AB-4A7B-A00F-024A5DCF9A4D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Case Study</vt:lpstr>
      <vt:lpstr>Drivers</vt:lpstr>
      <vt:lpstr>Capital Structure</vt:lpstr>
      <vt:lpstr>IS_Projections</vt:lpstr>
      <vt:lpstr>CF_Projections</vt:lpstr>
      <vt:lpstr>Debt Schedule</vt:lpstr>
      <vt:lpstr>EXIT MULTIPLE</vt:lpstr>
    </vt:vector>
  </TitlesOfParts>
  <Company>Morningstar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Ameya Panchpor</dc:creator>
  <cp:lastModifiedBy>Ameya Panchpor</cp:lastModifiedBy>
  <dcterms:created xsi:type="dcterms:W3CDTF">2024-10-02T10:30:36Z</dcterms:created>
  <dcterms:modified xsi:type="dcterms:W3CDTF">2024-10-03T14:45:54Z</dcterms:modified>
</cp:coreProperties>
</file>