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meya_panchpor_morningstar_com/Documents/Desktop/PERSONAL/Courses/PROJECTS/FINANCIAL MODELING/"/>
    </mc:Choice>
  </mc:AlternateContent>
  <xr:revisionPtr revIDLastSave="518" documentId="11_F25DC773A252ABDACC104897495A55845BDE58ED" xr6:coauthVersionLast="47" xr6:coauthVersionMax="47" xr10:uidLastSave="{661F4062-3082-44AF-B59C-33A309AE38B4}"/>
  <bookViews>
    <workbookView xWindow="-110" yWindow="-110" windowWidth="19420" windowHeight="10300" activeTab="1" xr2:uid="{00000000-000D-0000-FFFF-FFFF00000000}"/>
  </bookViews>
  <sheets>
    <sheet name="MAIN PAGE" sheetId="4" r:id="rId1"/>
    <sheet name="ASSUMPTIONS" sheetId="1" r:id="rId2"/>
    <sheet name="FINANCIALS" sheetId="2" r:id="rId3"/>
    <sheet name="CALCULATIO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3" l="1"/>
  <c r="E20" i="3"/>
  <c r="E19" i="3"/>
  <c r="J8" i="3"/>
  <c r="J10" i="3"/>
  <c r="J12" i="3"/>
  <c r="J14" i="3"/>
  <c r="J16" i="3"/>
  <c r="J6" i="3"/>
  <c r="H10" i="3"/>
  <c r="H12" i="3" s="1"/>
  <c r="H14" i="3" s="1"/>
  <c r="H16" i="3" s="1"/>
  <c r="H8" i="3"/>
  <c r="H6" i="3"/>
  <c r="Q11" i="1"/>
  <c r="Q9" i="1"/>
  <c r="Q8" i="1"/>
  <c r="F16" i="3"/>
  <c r="F6" i="3"/>
  <c r="F8" i="3" s="1"/>
  <c r="F10" i="3" s="1"/>
  <c r="F12" i="3" s="1"/>
  <c r="F14" i="3" s="1"/>
  <c r="E6" i="3"/>
  <c r="E8" i="3" s="1"/>
  <c r="E10" i="3" s="1"/>
  <c r="E12" i="3" s="1"/>
  <c r="E14" i="3" s="1"/>
  <c r="E16" i="3" s="1"/>
  <c r="B16" i="3"/>
  <c r="B10" i="3"/>
  <c r="B12" i="3"/>
  <c r="B14" i="3"/>
  <c r="B8" i="3"/>
  <c r="F35" i="2"/>
  <c r="G35" i="2"/>
  <c r="H35" i="2"/>
  <c r="I35" i="2"/>
  <c r="J35" i="2"/>
  <c r="E35" i="2"/>
  <c r="F33" i="2"/>
  <c r="G33" i="2"/>
  <c r="H33" i="2"/>
  <c r="I33" i="2"/>
  <c r="J33" i="2"/>
  <c r="E33" i="2"/>
  <c r="F31" i="2"/>
  <c r="H31" i="2"/>
  <c r="F16" i="2"/>
  <c r="G16" i="2"/>
  <c r="H16" i="2"/>
  <c r="I16" i="2"/>
  <c r="J16" i="2"/>
  <c r="E16" i="2"/>
  <c r="F12" i="2"/>
  <c r="G12" i="2"/>
  <c r="G31" i="2" s="1"/>
  <c r="H12" i="2"/>
  <c r="I12" i="2"/>
  <c r="I31" i="2" s="1"/>
  <c r="J12" i="2"/>
  <c r="J31" i="2" s="1"/>
  <c r="E12" i="2"/>
  <c r="E31" i="2" s="1"/>
  <c r="G10" i="2"/>
  <c r="H10" i="2"/>
  <c r="I10" i="2"/>
  <c r="J10" i="2"/>
  <c r="F10" i="2"/>
  <c r="G7" i="2"/>
  <c r="H7" i="2"/>
  <c r="I7" i="2"/>
  <c r="J7" i="2"/>
  <c r="F7" i="2"/>
  <c r="E9" i="2"/>
  <c r="D6" i="3" s="1"/>
  <c r="E6" i="2"/>
  <c r="G6" i="3" l="1"/>
  <c r="D8" i="3"/>
  <c r="F9" i="2"/>
  <c r="F6" i="2"/>
  <c r="G6" i="2" s="1"/>
  <c r="H6" i="2" s="1"/>
  <c r="I6" i="2" s="1"/>
  <c r="J6" i="2" s="1"/>
  <c r="E14" i="2"/>
  <c r="E18" i="2" s="1"/>
  <c r="K6" i="1"/>
  <c r="K8" i="1" s="1"/>
  <c r="Q6" i="1" s="1"/>
  <c r="E10" i="1"/>
  <c r="D10" i="3" l="1"/>
  <c r="G8" i="3"/>
  <c r="E20" i="2"/>
  <c r="E22" i="2" s="1"/>
  <c r="E29" i="2" s="1"/>
  <c r="E37" i="2" s="1"/>
  <c r="E39" i="2" s="1"/>
  <c r="G9" i="2"/>
  <c r="F14" i="2"/>
  <c r="F18" i="2" s="1"/>
  <c r="I6" i="3" l="1"/>
  <c r="G10" i="3"/>
  <c r="D12" i="3"/>
  <c r="F20" i="2"/>
  <c r="F22" i="2" s="1"/>
  <c r="F29" i="2" s="1"/>
  <c r="F37" i="2" s="1"/>
  <c r="F39" i="2" s="1"/>
  <c r="H9" i="2"/>
  <c r="G14" i="2"/>
  <c r="G18" i="2" s="1"/>
  <c r="I8" i="3" l="1"/>
  <c r="D14" i="3"/>
  <c r="G12" i="3"/>
  <c r="I9" i="2"/>
  <c r="H14" i="2"/>
  <c r="H18" i="2" s="1"/>
  <c r="G20" i="2"/>
  <c r="G22" i="2" s="1"/>
  <c r="G29" i="2" s="1"/>
  <c r="G37" i="2" s="1"/>
  <c r="G39" i="2" s="1"/>
  <c r="I10" i="3" l="1"/>
  <c r="D16" i="3"/>
  <c r="G16" i="3" s="1"/>
  <c r="G14" i="3"/>
  <c r="H20" i="2"/>
  <c r="H22" i="2"/>
  <c r="H29" i="2" s="1"/>
  <c r="H37" i="2" s="1"/>
  <c r="H39" i="2" s="1"/>
  <c r="J9" i="2"/>
  <c r="J14" i="2" s="1"/>
  <c r="J18" i="2" s="1"/>
  <c r="I14" i="2"/>
  <c r="I18" i="2" s="1"/>
  <c r="I12" i="3" l="1"/>
  <c r="J20" i="2"/>
  <c r="J22" i="2"/>
  <c r="J29" i="2" s="1"/>
  <c r="J37" i="2" s="1"/>
  <c r="I20" i="2"/>
  <c r="I22" i="2"/>
  <c r="I29" i="2" s="1"/>
  <c r="I37" i="2" s="1"/>
  <c r="I39" i="2" s="1"/>
  <c r="J39" i="2" l="1"/>
  <c r="I16" i="3" s="1"/>
  <c r="I14" i="3"/>
</calcChain>
</file>

<file path=xl/sharedStrings.xml><?xml version="1.0" encoding="utf-8"?>
<sst xmlns="http://schemas.openxmlformats.org/spreadsheetml/2006/main" count="68" uniqueCount="54">
  <si>
    <t>Current Year</t>
  </si>
  <si>
    <t>Current Share Price</t>
  </si>
  <si>
    <t>Shares Outstanding</t>
  </si>
  <si>
    <t>Market Capitalization</t>
  </si>
  <si>
    <t>ASSUMPTIONS (Amounts in INR Cr.)</t>
  </si>
  <si>
    <t>Revenue</t>
  </si>
  <si>
    <t>Revenue Growth</t>
  </si>
  <si>
    <t>EBITDA</t>
  </si>
  <si>
    <t>D&amp;A</t>
  </si>
  <si>
    <t>Interest</t>
  </si>
  <si>
    <t>Tax rate</t>
  </si>
  <si>
    <t>FINANCIALS</t>
  </si>
  <si>
    <t>ENTRY MULTIPLE</t>
  </si>
  <si>
    <t>Entry Multiple</t>
  </si>
  <si>
    <t>Entry Enterprise Value</t>
  </si>
  <si>
    <t>EXIT MULTIPLE</t>
  </si>
  <si>
    <t>Year</t>
  </si>
  <si>
    <t>Exit Multiple</t>
  </si>
  <si>
    <t>CAPITAL STRUCTURE</t>
  </si>
  <si>
    <t>Equity</t>
  </si>
  <si>
    <t>Debt</t>
  </si>
  <si>
    <t>Debt/Capital</t>
  </si>
  <si>
    <t>Annual Principal Repayment</t>
  </si>
  <si>
    <t>Capex</t>
  </si>
  <si>
    <t>Change in NWC</t>
  </si>
  <si>
    <t>Years</t>
  </si>
  <si>
    <t>EBITDA Growth</t>
  </si>
  <si>
    <t>EBIT</t>
  </si>
  <si>
    <t>EBT</t>
  </si>
  <si>
    <t>Tax</t>
  </si>
  <si>
    <t>Net Profit</t>
  </si>
  <si>
    <t>CapEx</t>
  </si>
  <si>
    <t>Change in  NWC</t>
  </si>
  <si>
    <t>Cash Flow</t>
  </si>
  <si>
    <t>Cumulative Cash Flow</t>
  </si>
  <si>
    <t>EBITDA 
Growth</t>
  </si>
  <si>
    <t>Multiple</t>
  </si>
  <si>
    <t>Enteprise 
Value</t>
  </si>
  <si>
    <t>Cash</t>
  </si>
  <si>
    <t>Equity 
Value</t>
  </si>
  <si>
    <t xml:space="preserve">Debt </t>
  </si>
  <si>
    <t>Equity Value Growth (INR)</t>
  </si>
  <si>
    <t>Internal Rate of Return</t>
  </si>
  <si>
    <t>Equity Value Multiple</t>
  </si>
  <si>
    <t>LEVERAGED BUYOUT (LBO) MODEL</t>
  </si>
  <si>
    <t>CONTENTS OF THE MODEL</t>
  </si>
  <si>
    <t>1. Assumptions</t>
  </si>
  <si>
    <t>2. Financials</t>
  </si>
  <si>
    <t>3. Calculations</t>
  </si>
  <si>
    <t>Based on our LBO model, the potential return on this deal is 23% IRR. The projected return indicates a favorable opportunity for value creation. We recommend pursuing the transaction, considering the attractive projected returns and alignment with our investment strategy.</t>
  </si>
  <si>
    <t>Disclaimer: This analysis is based on fictional information.</t>
  </si>
  <si>
    <t>INCOME STATEMENT (Amounts in INR Cr.)</t>
  </si>
  <si>
    <t>CASH FLOW (Amounts in INR Cr.)</t>
  </si>
  <si>
    <t>CALCULATIONS (Amounts in INR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</si>
</sst>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&quot;x&quot;"/>
    <numFmt numFmtId="167" formatCode="0&quot;A&quot;"/>
    <numFmt numFmtId="168" formatCode="0&quot;E&quot;"/>
    <numFmt numFmtId="172" formatCode="0.00&quot;x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30"/>
      <color rgb="FF00B0F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10" fontId="3" fillId="0" borderId="0" xfId="0" applyNumberFormat="1" applyFont="1"/>
    <xf numFmtId="10" fontId="0" fillId="0" borderId="0" xfId="1" applyNumberFormat="1" applyFont="1"/>
    <xf numFmtId="0" fontId="0" fillId="0" borderId="1" xfId="0" applyBorder="1"/>
    <xf numFmtId="166" fontId="3" fillId="0" borderId="0" xfId="0" applyNumberFormat="1" applyFont="1" applyAlignment="1">
      <alignment horizontal="right"/>
    </xf>
    <xf numFmtId="0" fontId="4" fillId="0" borderId="2" xfId="0" applyFont="1" applyBorder="1" applyAlignment="1">
      <alignment horizontal="left" vertical="top"/>
    </xf>
    <xf numFmtId="0" fontId="6" fillId="0" borderId="0" xfId="0" applyFont="1"/>
    <xf numFmtId="2" fontId="3" fillId="0" borderId="0" xfId="0" applyNumberFormat="1" applyFont="1"/>
    <xf numFmtId="2" fontId="0" fillId="0" borderId="0" xfId="0" applyNumberFormat="1"/>
    <xf numFmtId="2" fontId="0" fillId="0" borderId="1" xfId="0" applyNumberFormat="1" applyBorder="1"/>
    <xf numFmtId="10" fontId="6" fillId="0" borderId="0" xfId="0" applyNumberFormat="1" applyFont="1"/>
    <xf numFmtId="0" fontId="7" fillId="0" borderId="0" xfId="0" applyFont="1"/>
    <xf numFmtId="10" fontId="3" fillId="0" borderId="0" xfId="1" applyNumberFormat="1" applyFont="1"/>
    <xf numFmtId="0" fontId="2" fillId="3" borderId="0" xfId="0" applyFont="1" applyFill="1"/>
    <xf numFmtId="167" fontId="2" fillId="3" borderId="0" xfId="0" applyNumberFormat="1" applyFont="1" applyFill="1"/>
    <xf numFmtId="168" fontId="2" fillId="3" borderId="0" xfId="0" applyNumberFormat="1" applyFont="1" applyFill="1"/>
    <xf numFmtId="0" fontId="5" fillId="4" borderId="0" xfId="0" applyFont="1" applyFill="1"/>
    <xf numFmtId="0" fontId="5" fillId="2" borderId="0" xfId="0" applyFont="1" applyFill="1" applyAlignment="1">
      <alignment horizontal="left" vertical="top"/>
    </xf>
    <xf numFmtId="0" fontId="0" fillId="0" borderId="0" xfId="0" applyFont="1"/>
    <xf numFmtId="0" fontId="2" fillId="5" borderId="0" xfId="0" applyFont="1" applyFill="1"/>
    <xf numFmtId="2" fontId="2" fillId="5" borderId="0" xfId="0" applyNumberFormat="1" applyFont="1" applyFill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2" fontId="2" fillId="3" borderId="0" xfId="0" applyNumberFormat="1" applyFont="1" applyFill="1"/>
    <xf numFmtId="172" fontId="2" fillId="3" borderId="0" xfId="0" applyNumberFormat="1" applyFont="1" applyFill="1"/>
    <xf numFmtId="10" fontId="2" fillId="3" borderId="0" xfId="1" applyNumberFormat="1" applyFont="1" applyFill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0" borderId="0" xfId="0" applyAlignment="1">
      <alignment vertical="top" wrapText="1"/>
    </xf>
    <xf numFmtId="0" fontId="2" fillId="3" borderId="0" xfId="0" applyFont="1" applyFill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8A9C-D466-4421-8AD8-71D05203FF13}">
  <dimension ref="B5:K16"/>
  <sheetViews>
    <sheetView showGridLines="0" workbookViewId="0">
      <selection activeCell="B5" sqref="B5:K7"/>
    </sheetView>
  </sheetViews>
  <sheetFormatPr defaultRowHeight="14.5" x14ac:dyDescent="0.35"/>
  <cols>
    <col min="1" max="1" width="1.81640625" customWidth="1"/>
  </cols>
  <sheetData>
    <row r="5" spans="2:11" x14ac:dyDescent="0.35">
      <c r="B5" s="32" t="s">
        <v>44</v>
      </c>
      <c r="C5" s="32"/>
      <c r="D5" s="32"/>
      <c r="E5" s="32"/>
      <c r="F5" s="32"/>
      <c r="G5" s="32"/>
      <c r="H5" s="32"/>
      <c r="I5" s="32"/>
      <c r="J5" s="32"/>
      <c r="K5" s="32"/>
    </row>
    <row r="6" spans="2:11" x14ac:dyDescent="0.35"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2:11" x14ac:dyDescent="0.35">
      <c r="B7" s="32"/>
      <c r="C7" s="32"/>
      <c r="D7" s="32"/>
      <c r="E7" s="32"/>
      <c r="F7" s="32"/>
      <c r="G7" s="32"/>
      <c r="H7" s="32"/>
      <c r="I7" s="32"/>
      <c r="J7" s="32"/>
      <c r="K7" s="32"/>
    </row>
    <row r="10" spans="2:11" x14ac:dyDescent="0.35">
      <c r="B10" s="33" t="s">
        <v>45</v>
      </c>
    </row>
    <row r="11" spans="2:11" x14ac:dyDescent="0.35">
      <c r="B11" t="s">
        <v>46</v>
      </c>
    </row>
    <row r="12" spans="2:11" x14ac:dyDescent="0.35">
      <c r="B12" t="s">
        <v>47</v>
      </c>
      <c r="D12" s="31"/>
    </row>
    <row r="13" spans="2:11" x14ac:dyDescent="0.35">
      <c r="B13" t="s">
        <v>48</v>
      </c>
    </row>
    <row r="16" spans="2:11" x14ac:dyDescent="0.35">
      <c r="B16" s="12" t="s">
        <v>50</v>
      </c>
    </row>
  </sheetData>
  <mergeCells count="1">
    <mergeCell ref="B5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0"/>
  <sheetViews>
    <sheetView showGridLines="0" tabSelected="1" topLeftCell="A2" workbookViewId="0">
      <selection activeCell="J15" sqref="J15"/>
    </sheetView>
  </sheetViews>
  <sheetFormatPr defaultRowHeight="14.5" x14ac:dyDescent="0.35"/>
  <cols>
    <col min="1" max="1" width="1.81640625" customWidth="1"/>
  </cols>
  <sheetData>
    <row r="2" spans="2:17" ht="18.5" x14ac:dyDescent="0.35">
      <c r="B2" s="18" t="s">
        <v>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4" spans="2:17" x14ac:dyDescent="0.35">
      <c r="B4" s="6" t="s">
        <v>11</v>
      </c>
      <c r="C4" s="6"/>
      <c r="D4" s="6"/>
      <c r="E4" s="6"/>
      <c r="H4" s="6" t="s">
        <v>12</v>
      </c>
      <c r="I4" s="6"/>
      <c r="J4" s="6"/>
      <c r="K4" s="6"/>
      <c r="N4" s="6" t="s">
        <v>18</v>
      </c>
      <c r="O4" s="6"/>
      <c r="P4" s="6"/>
      <c r="Q4" s="6"/>
    </row>
    <row r="6" spans="2:17" x14ac:dyDescent="0.35">
      <c r="B6" t="s">
        <v>0</v>
      </c>
      <c r="E6" s="1">
        <v>2024</v>
      </c>
      <c r="H6" t="s">
        <v>7</v>
      </c>
      <c r="K6" s="9">
        <f>E14</f>
        <v>2400</v>
      </c>
      <c r="N6" t="s">
        <v>14</v>
      </c>
      <c r="Q6" s="9">
        <f>K8</f>
        <v>14400</v>
      </c>
    </row>
    <row r="7" spans="2:17" x14ac:dyDescent="0.35">
      <c r="H7" t="s">
        <v>13</v>
      </c>
      <c r="K7" s="5">
        <v>6</v>
      </c>
      <c r="N7" t="s">
        <v>40</v>
      </c>
      <c r="Q7" s="8">
        <v>10000</v>
      </c>
    </row>
    <row r="8" spans="2:17" x14ac:dyDescent="0.35">
      <c r="B8" t="s">
        <v>1</v>
      </c>
      <c r="E8" s="8">
        <v>30</v>
      </c>
      <c r="H8" s="4" t="s">
        <v>14</v>
      </c>
      <c r="I8" s="4"/>
      <c r="J8" s="4"/>
      <c r="K8" s="10">
        <f>K6*K7</f>
        <v>14400</v>
      </c>
      <c r="N8" t="s">
        <v>38</v>
      </c>
      <c r="Q8" s="9">
        <f>FINANCIALS!E39</f>
        <v>1100</v>
      </c>
    </row>
    <row r="9" spans="2:17" x14ac:dyDescent="0.35">
      <c r="B9" t="s">
        <v>2</v>
      </c>
      <c r="E9" s="1">
        <v>500</v>
      </c>
      <c r="N9" t="s">
        <v>19</v>
      </c>
      <c r="Q9" s="9">
        <f>Q6-Q7+Q8</f>
        <v>5500</v>
      </c>
    </row>
    <row r="10" spans="2:17" x14ac:dyDescent="0.35">
      <c r="B10" t="s">
        <v>3</v>
      </c>
      <c r="E10">
        <f>E8*E9</f>
        <v>15000</v>
      </c>
      <c r="H10" s="6" t="s">
        <v>15</v>
      </c>
      <c r="I10" s="6"/>
      <c r="J10" s="6"/>
      <c r="K10" s="6"/>
    </row>
    <row r="11" spans="2:17" x14ac:dyDescent="0.35">
      <c r="N11" t="s">
        <v>21</v>
      </c>
      <c r="Q11" s="3">
        <f>Q7/Q6</f>
        <v>0.69444444444444442</v>
      </c>
    </row>
    <row r="12" spans="2:17" x14ac:dyDescent="0.35">
      <c r="B12" t="s">
        <v>5</v>
      </c>
      <c r="E12" s="8">
        <v>6000</v>
      </c>
      <c r="H12" t="s">
        <v>16</v>
      </c>
      <c r="K12" s="1">
        <v>2029</v>
      </c>
    </row>
    <row r="13" spans="2:17" x14ac:dyDescent="0.35">
      <c r="B13" t="s">
        <v>6</v>
      </c>
      <c r="E13" s="2">
        <v>0.1</v>
      </c>
      <c r="H13" t="s">
        <v>17</v>
      </c>
      <c r="K13" s="5">
        <v>5.5</v>
      </c>
      <c r="N13" t="s">
        <v>22</v>
      </c>
      <c r="Q13" s="8">
        <v>1800</v>
      </c>
    </row>
    <row r="14" spans="2:17" x14ac:dyDescent="0.35">
      <c r="B14" t="s">
        <v>7</v>
      </c>
      <c r="E14" s="8">
        <v>2400</v>
      </c>
    </row>
    <row r="15" spans="2:17" x14ac:dyDescent="0.35">
      <c r="B15" t="s">
        <v>26</v>
      </c>
      <c r="E15" s="13">
        <v>0.06</v>
      </c>
    </row>
    <row r="16" spans="2:17" x14ac:dyDescent="0.35">
      <c r="B16" t="s">
        <v>8</v>
      </c>
      <c r="E16" s="8">
        <v>350</v>
      </c>
    </row>
    <row r="17" spans="2:5" x14ac:dyDescent="0.35">
      <c r="B17" t="s">
        <v>9</v>
      </c>
      <c r="E17" s="8">
        <v>250</v>
      </c>
    </row>
    <row r="18" spans="2:5" x14ac:dyDescent="0.35">
      <c r="B18" t="s">
        <v>10</v>
      </c>
      <c r="E18" s="2">
        <v>0.25</v>
      </c>
    </row>
    <row r="19" spans="2:5" x14ac:dyDescent="0.35">
      <c r="B19" t="s">
        <v>23</v>
      </c>
      <c r="E19" s="8">
        <v>500</v>
      </c>
    </row>
    <row r="20" spans="2:5" x14ac:dyDescent="0.35">
      <c r="B20" t="s">
        <v>24</v>
      </c>
      <c r="E20" s="8">
        <v>100</v>
      </c>
    </row>
  </sheetData>
  <mergeCells count="5">
    <mergeCell ref="B4:E4"/>
    <mergeCell ref="H4:K4"/>
    <mergeCell ref="H10:K10"/>
    <mergeCell ref="N4:Q4"/>
    <mergeCell ref="B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28CD-0129-4D2D-A40C-301603F430D0}">
  <dimension ref="B2:L39"/>
  <sheetViews>
    <sheetView showGridLines="0" topLeftCell="A26" workbookViewId="0">
      <selection activeCell="B26" sqref="B26"/>
    </sheetView>
  </sheetViews>
  <sheetFormatPr defaultRowHeight="14.5" x14ac:dyDescent="0.35"/>
  <cols>
    <col min="1" max="1" width="1.81640625" customWidth="1"/>
    <col min="6" max="10" width="9.36328125" bestFit="1" customWidth="1"/>
  </cols>
  <sheetData>
    <row r="2" spans="2:12" ht="18.5" x14ac:dyDescent="0.45">
      <c r="B2" s="18" t="s">
        <v>51</v>
      </c>
      <c r="C2" s="18"/>
      <c r="D2" s="18"/>
      <c r="E2" s="18"/>
      <c r="F2" s="18"/>
      <c r="G2" s="18"/>
      <c r="H2" s="18"/>
      <c r="I2" s="18"/>
      <c r="J2" s="18"/>
      <c r="K2" s="17"/>
      <c r="L2" s="17"/>
    </row>
    <row r="4" spans="2:12" x14ac:dyDescent="0.35">
      <c r="B4" s="14" t="s">
        <v>25</v>
      </c>
      <c r="C4" s="14"/>
      <c r="D4" s="14"/>
      <c r="E4" s="15">
        <v>2024</v>
      </c>
      <c r="F4" s="16">
        <v>2025</v>
      </c>
      <c r="G4" s="16">
        <v>2026</v>
      </c>
      <c r="H4" s="16">
        <v>2027</v>
      </c>
      <c r="I4" s="16">
        <v>2028</v>
      </c>
      <c r="J4" s="16">
        <v>2029</v>
      </c>
    </row>
    <row r="6" spans="2:12" x14ac:dyDescent="0.35">
      <c r="B6" t="s">
        <v>5</v>
      </c>
      <c r="E6" s="9">
        <f>ASSUMPTIONS!E12</f>
        <v>6000</v>
      </c>
      <c r="F6" s="9">
        <f>E6*(1+$F7)</f>
        <v>6600.0000000000009</v>
      </c>
      <c r="G6" s="9">
        <f t="shared" ref="G6:J6" si="0">F6*(1+$F7)</f>
        <v>7260.0000000000018</v>
      </c>
      <c r="H6" s="9">
        <f t="shared" si="0"/>
        <v>7986.0000000000027</v>
      </c>
      <c r="I6" s="9">
        <f t="shared" si="0"/>
        <v>8784.600000000004</v>
      </c>
      <c r="J6" s="9">
        <f t="shared" si="0"/>
        <v>9663.0600000000049</v>
      </c>
    </row>
    <row r="7" spans="2:12" x14ac:dyDescent="0.35">
      <c r="B7" s="7" t="s">
        <v>6</v>
      </c>
      <c r="F7" s="11">
        <f>IFERROR(ASSUMPTIONS!$E13,0)</f>
        <v>0.1</v>
      </c>
      <c r="G7" s="11">
        <f>IFERROR(ASSUMPTIONS!$E13,0)</f>
        <v>0.1</v>
      </c>
      <c r="H7" s="11">
        <f>IFERROR(ASSUMPTIONS!$E13,0)</f>
        <v>0.1</v>
      </c>
      <c r="I7" s="11">
        <f>IFERROR(ASSUMPTIONS!$E13,0)</f>
        <v>0.1</v>
      </c>
      <c r="J7" s="11">
        <f>IFERROR(ASSUMPTIONS!$E13,0)</f>
        <v>0.1</v>
      </c>
    </row>
    <row r="9" spans="2:12" x14ac:dyDescent="0.35">
      <c r="B9" t="s">
        <v>7</v>
      </c>
      <c r="E9" s="9">
        <f>ASSUMPTIONS!E14</f>
        <v>2400</v>
      </c>
      <c r="F9" s="9">
        <f>E9*(1+F10)</f>
        <v>2544</v>
      </c>
      <c r="G9" s="9">
        <f t="shared" ref="G9:J9" si="1">F9*(1+G10)</f>
        <v>2696.6400000000003</v>
      </c>
      <c r="H9" s="9">
        <f t="shared" si="1"/>
        <v>2858.4384000000005</v>
      </c>
      <c r="I9" s="9">
        <f t="shared" si="1"/>
        <v>3029.9447040000005</v>
      </c>
      <c r="J9" s="9">
        <f t="shared" si="1"/>
        <v>3211.7413862400008</v>
      </c>
    </row>
    <row r="10" spans="2:12" x14ac:dyDescent="0.35">
      <c r="B10" s="7" t="s">
        <v>26</v>
      </c>
      <c r="F10" s="11">
        <f>IFERROR(ASSUMPTIONS!$E15,0)</f>
        <v>0.06</v>
      </c>
      <c r="G10" s="11">
        <f>IFERROR(ASSUMPTIONS!$E15,0)</f>
        <v>0.06</v>
      </c>
      <c r="H10" s="11">
        <f>IFERROR(ASSUMPTIONS!$E15,0)</f>
        <v>0.06</v>
      </c>
      <c r="I10" s="11">
        <f>IFERROR(ASSUMPTIONS!$E15,0)</f>
        <v>0.06</v>
      </c>
      <c r="J10" s="11">
        <f>IFERROR(ASSUMPTIONS!$E15,0)</f>
        <v>0.06</v>
      </c>
    </row>
    <row r="12" spans="2:12" x14ac:dyDescent="0.35">
      <c r="B12" t="s">
        <v>8</v>
      </c>
      <c r="E12" s="9">
        <f>IFERROR(ASSUMPTIONS!$E16,0)</f>
        <v>350</v>
      </c>
      <c r="F12" s="9">
        <f>IFERROR(ASSUMPTIONS!$E16,0)</f>
        <v>350</v>
      </c>
      <c r="G12" s="9">
        <f>IFERROR(ASSUMPTIONS!$E16,0)</f>
        <v>350</v>
      </c>
      <c r="H12" s="9">
        <f>IFERROR(ASSUMPTIONS!$E16,0)</f>
        <v>350</v>
      </c>
      <c r="I12" s="9">
        <f>IFERROR(ASSUMPTIONS!$E16,0)</f>
        <v>350</v>
      </c>
      <c r="J12" s="9">
        <f>IFERROR(ASSUMPTIONS!$E16,0)</f>
        <v>350</v>
      </c>
    </row>
    <row r="14" spans="2:12" x14ac:dyDescent="0.35">
      <c r="B14" t="s">
        <v>27</v>
      </c>
      <c r="E14" s="9">
        <f>E9-E12</f>
        <v>2050</v>
      </c>
      <c r="F14" s="9">
        <f t="shared" ref="F14:J14" si="2">F9-F12</f>
        <v>2194</v>
      </c>
      <c r="G14" s="9">
        <f t="shared" si="2"/>
        <v>2346.6400000000003</v>
      </c>
      <c r="H14" s="9">
        <f t="shared" si="2"/>
        <v>2508.4384000000005</v>
      </c>
      <c r="I14" s="9">
        <f t="shared" si="2"/>
        <v>2679.9447040000005</v>
      </c>
      <c r="J14" s="9">
        <f t="shared" si="2"/>
        <v>2861.7413862400008</v>
      </c>
    </row>
    <row r="16" spans="2:12" x14ac:dyDescent="0.35">
      <c r="B16" t="s">
        <v>9</v>
      </c>
      <c r="E16" s="9">
        <f>IFERROR(ASSUMPTIONS!$E17,0)</f>
        <v>250</v>
      </c>
      <c r="F16" s="9">
        <f>IFERROR(ASSUMPTIONS!$E17,0)</f>
        <v>250</v>
      </c>
      <c r="G16" s="9">
        <f>IFERROR(ASSUMPTIONS!$E17,0)</f>
        <v>250</v>
      </c>
      <c r="H16" s="9">
        <f>IFERROR(ASSUMPTIONS!$E17,0)</f>
        <v>250</v>
      </c>
      <c r="I16" s="9">
        <f>IFERROR(ASSUMPTIONS!$E17,0)</f>
        <v>250</v>
      </c>
      <c r="J16" s="9">
        <f>IFERROR(ASSUMPTIONS!$E17,0)</f>
        <v>250</v>
      </c>
    </row>
    <row r="18" spans="2:10" x14ac:dyDescent="0.35">
      <c r="B18" t="s">
        <v>28</v>
      </c>
      <c r="E18" s="9">
        <f>E14-E16</f>
        <v>1800</v>
      </c>
      <c r="F18" s="9">
        <f t="shared" ref="F18:J18" si="3">F14-F16</f>
        <v>1944</v>
      </c>
      <c r="G18" s="9">
        <f t="shared" si="3"/>
        <v>2096.6400000000003</v>
      </c>
      <c r="H18" s="9">
        <f t="shared" si="3"/>
        <v>2258.4384000000005</v>
      </c>
      <c r="I18" s="9">
        <f t="shared" si="3"/>
        <v>2429.9447040000005</v>
      </c>
      <c r="J18" s="9">
        <f t="shared" si="3"/>
        <v>2611.7413862400008</v>
      </c>
    </row>
    <row r="20" spans="2:10" x14ac:dyDescent="0.35">
      <c r="B20" t="s">
        <v>29</v>
      </c>
      <c r="E20" s="9">
        <f>E18*IFERROR(ASSUMPTIONS!$E18,0)</f>
        <v>450</v>
      </c>
      <c r="F20" s="9">
        <f>F18*IFERROR(ASSUMPTIONS!$E18,0)</f>
        <v>486</v>
      </c>
      <c r="G20" s="9">
        <f>G18*IFERROR(ASSUMPTIONS!$E18,0)</f>
        <v>524.16000000000008</v>
      </c>
      <c r="H20" s="9">
        <f>H18*IFERROR(ASSUMPTIONS!$E18,0)</f>
        <v>564.60960000000011</v>
      </c>
      <c r="I20" s="9">
        <f>I18*IFERROR(ASSUMPTIONS!$E18,0)</f>
        <v>607.48617600000011</v>
      </c>
      <c r="J20" s="9">
        <f>J18*IFERROR(ASSUMPTIONS!$E18,0)</f>
        <v>652.9353465600002</v>
      </c>
    </row>
    <row r="22" spans="2:10" x14ac:dyDescent="0.35">
      <c r="B22" t="s">
        <v>30</v>
      </c>
      <c r="E22" s="9">
        <f>E18-E20</f>
        <v>1350</v>
      </c>
      <c r="F22" s="9">
        <f t="shared" ref="F22:J22" si="4">F18-F20</f>
        <v>1458</v>
      </c>
      <c r="G22" s="9">
        <f t="shared" si="4"/>
        <v>1572.4800000000002</v>
      </c>
      <c r="H22" s="9">
        <f t="shared" si="4"/>
        <v>1693.8288000000002</v>
      </c>
      <c r="I22" s="9">
        <f t="shared" si="4"/>
        <v>1822.4585280000003</v>
      </c>
      <c r="J22" s="9">
        <f t="shared" si="4"/>
        <v>1958.8060396800006</v>
      </c>
    </row>
    <row r="25" spans="2:10" ht="18.5" x14ac:dyDescent="0.35">
      <c r="B25" s="18" t="s">
        <v>52</v>
      </c>
      <c r="C25" s="18"/>
      <c r="D25" s="18"/>
      <c r="E25" s="18"/>
      <c r="F25" s="18"/>
      <c r="G25" s="18"/>
      <c r="H25" s="18"/>
      <c r="I25" s="18"/>
      <c r="J25" s="18"/>
    </row>
    <row r="27" spans="2:10" x14ac:dyDescent="0.35">
      <c r="B27" s="14" t="s">
        <v>25</v>
      </c>
      <c r="C27" s="14"/>
      <c r="D27" s="14"/>
      <c r="E27" s="15">
        <v>2024</v>
      </c>
      <c r="F27" s="16">
        <v>2025</v>
      </c>
      <c r="G27" s="16">
        <v>2026</v>
      </c>
      <c r="H27" s="16">
        <v>2027</v>
      </c>
      <c r="I27" s="16">
        <v>2028</v>
      </c>
      <c r="J27" s="16">
        <v>2029</v>
      </c>
    </row>
    <row r="29" spans="2:10" x14ac:dyDescent="0.35">
      <c r="B29" t="s">
        <v>30</v>
      </c>
      <c r="E29" s="9">
        <f>E22</f>
        <v>1350</v>
      </c>
      <c r="F29" s="9">
        <f t="shared" ref="F29:J29" si="5">F22</f>
        <v>1458</v>
      </c>
      <c r="G29" s="9">
        <f t="shared" si="5"/>
        <v>1572.4800000000002</v>
      </c>
      <c r="H29" s="9">
        <f t="shared" si="5"/>
        <v>1693.8288000000002</v>
      </c>
      <c r="I29" s="9">
        <f t="shared" si="5"/>
        <v>1822.4585280000003</v>
      </c>
      <c r="J29" s="9">
        <f t="shared" si="5"/>
        <v>1958.8060396800006</v>
      </c>
    </row>
    <row r="31" spans="2:10" x14ac:dyDescent="0.35">
      <c r="B31" t="s">
        <v>8</v>
      </c>
      <c r="E31" s="9">
        <f>E12</f>
        <v>350</v>
      </c>
      <c r="F31" s="9">
        <f t="shared" ref="F31:J31" si="6">F12</f>
        <v>350</v>
      </c>
      <c r="G31" s="9">
        <f t="shared" si="6"/>
        <v>350</v>
      </c>
      <c r="H31" s="9">
        <f t="shared" si="6"/>
        <v>350</v>
      </c>
      <c r="I31" s="9">
        <f t="shared" si="6"/>
        <v>350</v>
      </c>
      <c r="J31" s="9">
        <f t="shared" si="6"/>
        <v>350</v>
      </c>
    </row>
    <row r="33" spans="2:12" x14ac:dyDescent="0.35">
      <c r="B33" t="s">
        <v>31</v>
      </c>
      <c r="E33" s="9">
        <f>IFERROR(ASSUMPTIONS!$E19,0)</f>
        <v>500</v>
      </c>
      <c r="F33" s="9">
        <f>IFERROR(ASSUMPTIONS!$E19,0)</f>
        <v>500</v>
      </c>
      <c r="G33" s="9">
        <f>IFERROR(ASSUMPTIONS!$E19,0)</f>
        <v>500</v>
      </c>
      <c r="H33" s="9">
        <f>IFERROR(ASSUMPTIONS!$E19,0)</f>
        <v>500</v>
      </c>
      <c r="I33" s="9">
        <f>IFERROR(ASSUMPTIONS!$E19,0)</f>
        <v>500</v>
      </c>
      <c r="J33" s="9">
        <f>IFERROR(ASSUMPTIONS!$E19,0)</f>
        <v>500</v>
      </c>
    </row>
    <row r="34" spans="2:12" x14ac:dyDescent="0.35">
      <c r="L34" s="19"/>
    </row>
    <row r="35" spans="2:12" x14ac:dyDescent="0.35">
      <c r="B35" t="s">
        <v>32</v>
      </c>
      <c r="E35" s="9">
        <f>IFERROR(ASSUMPTIONS!$E20,0)</f>
        <v>100</v>
      </c>
      <c r="F35" s="9">
        <f>IFERROR(ASSUMPTIONS!$E20,0)</f>
        <v>100</v>
      </c>
      <c r="G35" s="9">
        <f>IFERROR(ASSUMPTIONS!$E20,0)</f>
        <v>100</v>
      </c>
      <c r="H35" s="9">
        <f>IFERROR(ASSUMPTIONS!$E20,0)</f>
        <v>100</v>
      </c>
      <c r="I35" s="9">
        <f>IFERROR(ASSUMPTIONS!$E20,0)</f>
        <v>100</v>
      </c>
      <c r="J35" s="9">
        <f>IFERROR(ASSUMPTIONS!$E20,0)</f>
        <v>100</v>
      </c>
    </row>
    <row r="37" spans="2:12" x14ac:dyDescent="0.35">
      <c r="B37" s="20" t="s">
        <v>33</v>
      </c>
      <c r="C37" s="20"/>
      <c r="D37" s="20"/>
      <c r="E37" s="21">
        <f>E29+E31-E33-E35</f>
        <v>1100</v>
      </c>
      <c r="F37" s="21">
        <f t="shared" ref="F37:J37" si="7">F29+F31-F33-F35</f>
        <v>1208</v>
      </c>
      <c r="G37" s="21">
        <f t="shared" si="7"/>
        <v>1322.4800000000002</v>
      </c>
      <c r="H37" s="21">
        <f t="shared" si="7"/>
        <v>1443.8288000000002</v>
      </c>
      <c r="I37" s="21">
        <f t="shared" si="7"/>
        <v>1572.4585280000001</v>
      </c>
      <c r="J37" s="21">
        <f t="shared" si="7"/>
        <v>1708.8060396800006</v>
      </c>
    </row>
    <row r="38" spans="2:12" x14ac:dyDescent="0.35">
      <c r="B38" s="20"/>
      <c r="C38" s="20"/>
      <c r="D38" s="20"/>
      <c r="E38" s="20"/>
      <c r="F38" s="20"/>
      <c r="G38" s="20"/>
      <c r="H38" s="20"/>
      <c r="I38" s="20"/>
      <c r="J38" s="20"/>
    </row>
    <row r="39" spans="2:12" x14ac:dyDescent="0.35">
      <c r="B39" s="20" t="s">
        <v>34</v>
      </c>
      <c r="C39" s="20"/>
      <c r="D39" s="20"/>
      <c r="E39" s="21">
        <f>E37</f>
        <v>1100</v>
      </c>
      <c r="F39" s="21">
        <f>E39+F37</f>
        <v>2308</v>
      </c>
      <c r="G39" s="21">
        <f t="shared" ref="G39:J39" si="8">F39+G37</f>
        <v>3630.4800000000005</v>
      </c>
      <c r="H39" s="21">
        <f t="shared" si="8"/>
        <v>5074.3088000000007</v>
      </c>
      <c r="I39" s="21">
        <f t="shared" si="8"/>
        <v>6646.7673280000008</v>
      </c>
      <c r="J39" s="21">
        <f t="shared" si="8"/>
        <v>8355.573367680001</v>
      </c>
    </row>
  </sheetData>
  <mergeCells count="2">
    <mergeCell ref="B2:J2"/>
    <mergeCell ref="B25:J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0215-489E-4841-9E5C-3E00B2AF05EB}">
  <dimension ref="B2:L27"/>
  <sheetViews>
    <sheetView showGridLines="0" workbookViewId="0">
      <selection activeCell="B3" sqref="B3"/>
    </sheetView>
  </sheetViews>
  <sheetFormatPr defaultRowHeight="14.5" x14ac:dyDescent="0.35"/>
  <cols>
    <col min="1" max="1" width="1.81640625" customWidth="1"/>
    <col min="4" max="4" width="7.36328125" bestFit="1" customWidth="1"/>
    <col min="5" max="5" width="9.36328125" bestFit="1" customWidth="1"/>
    <col min="7" max="7" width="9.36328125" bestFit="1" customWidth="1"/>
  </cols>
  <sheetData>
    <row r="2" spans="2:10" ht="18.5" x14ac:dyDescent="0.35">
      <c r="B2" s="18" t="s">
        <v>53</v>
      </c>
      <c r="C2" s="18"/>
      <c r="D2" s="18"/>
      <c r="E2" s="18"/>
      <c r="F2" s="18"/>
      <c r="G2" s="18"/>
      <c r="H2" s="18"/>
      <c r="I2" s="18"/>
      <c r="J2" s="18"/>
    </row>
    <row r="4" spans="2:10" ht="29" x14ac:dyDescent="0.35">
      <c r="B4" s="26" t="s">
        <v>16</v>
      </c>
      <c r="C4" s="14"/>
      <c r="D4" s="26" t="s">
        <v>7</v>
      </c>
      <c r="E4" s="27" t="s">
        <v>35</v>
      </c>
      <c r="F4" s="26" t="s">
        <v>36</v>
      </c>
      <c r="G4" s="27" t="s">
        <v>37</v>
      </c>
      <c r="H4" s="26" t="s">
        <v>20</v>
      </c>
      <c r="I4" s="27" t="s">
        <v>38</v>
      </c>
      <c r="J4" s="27" t="s">
        <v>39</v>
      </c>
    </row>
    <row r="6" spans="2:10" x14ac:dyDescent="0.35">
      <c r="B6" s="22">
        <v>2024</v>
      </c>
      <c r="D6" s="23">
        <f>FINANCIALS!E9</f>
        <v>2400</v>
      </c>
      <c r="E6" s="24">
        <f>FINANCIALS!F10</f>
        <v>0.06</v>
      </c>
      <c r="F6" s="25">
        <f>ASSUMPTIONS!K7</f>
        <v>6</v>
      </c>
      <c r="G6" s="23">
        <f>D6*F6</f>
        <v>14400</v>
      </c>
      <c r="H6" s="23">
        <f>IFERROR(ASSUMPTIONS!Q7,0)</f>
        <v>10000</v>
      </c>
      <c r="I6" s="23">
        <f>IFERROR(FINANCIALS!E39,0)</f>
        <v>1100</v>
      </c>
      <c r="J6" s="23">
        <f>G6-H6+I6</f>
        <v>5500</v>
      </c>
    </row>
    <row r="7" spans="2:10" x14ac:dyDescent="0.35">
      <c r="B7" s="22"/>
      <c r="D7" s="22"/>
      <c r="E7" s="22"/>
      <c r="F7" s="25"/>
      <c r="G7" s="23"/>
      <c r="H7" s="23"/>
      <c r="I7" s="23"/>
      <c r="J7" s="23"/>
    </row>
    <row r="8" spans="2:10" x14ac:dyDescent="0.35">
      <c r="B8" s="22">
        <f>B6+1</f>
        <v>2025</v>
      </c>
      <c r="D8" s="23">
        <f>D6*(1+$E6)</f>
        <v>2544</v>
      </c>
      <c r="E8" s="24">
        <f>$E6</f>
        <v>0.06</v>
      </c>
      <c r="F8" s="25">
        <f>$F6</f>
        <v>6</v>
      </c>
      <c r="G8" s="23">
        <f t="shared" ref="G7:G16" si="0">D8*F8</f>
        <v>15264</v>
      </c>
      <c r="H8" s="23">
        <f>H6-IFERROR(ASSUMPTIONS!$Q$13,0)</f>
        <v>8200</v>
      </c>
      <c r="I8" s="23">
        <f>IFERROR(FINANCIALS!F39,0)</f>
        <v>2308</v>
      </c>
      <c r="J8" s="23">
        <f t="shared" ref="J7:J16" si="1">G8-H8+I8</f>
        <v>9372</v>
      </c>
    </row>
    <row r="9" spans="2:10" x14ac:dyDescent="0.35">
      <c r="B9" s="22"/>
      <c r="D9" s="23"/>
      <c r="E9" s="24"/>
      <c r="F9" s="25"/>
      <c r="G9" s="22"/>
      <c r="H9" s="23"/>
      <c r="I9" s="23"/>
      <c r="J9" s="23"/>
    </row>
    <row r="10" spans="2:10" x14ac:dyDescent="0.35">
      <c r="B10" s="22">
        <f t="shared" ref="B9:B16" si="2">B8+1</f>
        <v>2026</v>
      </c>
      <c r="D10" s="23">
        <f t="shared" ref="D9:D16" si="3">D8*(1+$E8)</f>
        <v>2696.6400000000003</v>
      </c>
      <c r="E10" s="24">
        <f t="shared" ref="E9:E16" si="4">$E8</f>
        <v>0.06</v>
      </c>
      <c r="F10" s="25">
        <f t="shared" ref="F9:F14" si="5">$F8</f>
        <v>6</v>
      </c>
      <c r="G10" s="22">
        <f t="shared" si="0"/>
        <v>16179.840000000002</v>
      </c>
      <c r="H10" s="23">
        <f>H8-IFERROR(ASSUMPTIONS!$Q$13,0)</f>
        <v>6400</v>
      </c>
      <c r="I10" s="23">
        <f>IFERROR(FINANCIALS!G39,0)</f>
        <v>3630.4800000000005</v>
      </c>
      <c r="J10" s="23">
        <f t="shared" si="1"/>
        <v>13410.320000000003</v>
      </c>
    </row>
    <row r="11" spans="2:10" x14ac:dyDescent="0.35">
      <c r="B11" s="22"/>
      <c r="D11" s="23"/>
      <c r="E11" s="24"/>
      <c r="F11" s="25"/>
      <c r="G11" s="22"/>
      <c r="H11" s="23"/>
      <c r="I11" s="23"/>
      <c r="J11" s="23"/>
    </row>
    <row r="12" spans="2:10" x14ac:dyDescent="0.35">
      <c r="B12" s="22">
        <f t="shared" si="2"/>
        <v>2027</v>
      </c>
      <c r="D12" s="23">
        <f t="shared" si="3"/>
        <v>2858.4384000000005</v>
      </c>
      <c r="E12" s="24">
        <f t="shared" si="4"/>
        <v>0.06</v>
      </c>
      <c r="F12" s="25">
        <f t="shared" si="5"/>
        <v>6</v>
      </c>
      <c r="G12" s="22">
        <f t="shared" si="0"/>
        <v>17150.630400000002</v>
      </c>
      <c r="H12" s="23">
        <f>H10-IFERROR(ASSUMPTIONS!$Q$13,0)</f>
        <v>4600</v>
      </c>
      <c r="I12" s="23">
        <f>IFERROR(FINANCIALS!H39,0)</f>
        <v>5074.3088000000007</v>
      </c>
      <c r="J12" s="23">
        <f t="shared" si="1"/>
        <v>17624.939200000001</v>
      </c>
    </row>
    <row r="13" spans="2:10" x14ac:dyDescent="0.35">
      <c r="B13" s="22"/>
      <c r="D13" s="23"/>
      <c r="E13" s="24"/>
      <c r="F13" s="25"/>
      <c r="G13" s="22"/>
      <c r="H13" s="23"/>
      <c r="I13" s="23"/>
      <c r="J13" s="23"/>
    </row>
    <row r="14" spans="2:10" x14ac:dyDescent="0.35">
      <c r="B14" s="22">
        <f t="shared" si="2"/>
        <v>2028</v>
      </c>
      <c r="D14" s="23">
        <f t="shared" si="3"/>
        <v>3029.9447040000005</v>
      </c>
      <c r="E14" s="24">
        <f t="shared" si="4"/>
        <v>0.06</v>
      </c>
      <c r="F14" s="25">
        <f t="shared" si="5"/>
        <v>6</v>
      </c>
      <c r="G14" s="22">
        <f t="shared" si="0"/>
        <v>18179.668224000001</v>
      </c>
      <c r="H14" s="23">
        <f>H12-IFERROR(ASSUMPTIONS!$Q$13,0)</f>
        <v>2800</v>
      </c>
      <c r="I14" s="23">
        <f>IFERROR(FINANCIALS!I39,0)</f>
        <v>6646.7673280000008</v>
      </c>
      <c r="J14" s="23">
        <f t="shared" si="1"/>
        <v>22026.435552000003</v>
      </c>
    </row>
    <row r="15" spans="2:10" x14ac:dyDescent="0.35">
      <c r="B15" s="22"/>
      <c r="D15" s="23"/>
      <c r="E15" s="24"/>
      <c r="F15" s="25"/>
      <c r="G15" s="22"/>
      <c r="H15" s="23"/>
      <c r="I15" s="23"/>
      <c r="J15" s="23"/>
    </row>
    <row r="16" spans="2:10" x14ac:dyDescent="0.35">
      <c r="B16" s="22">
        <f t="shared" si="2"/>
        <v>2029</v>
      </c>
      <c r="D16" s="23">
        <f t="shared" si="3"/>
        <v>3211.7413862400008</v>
      </c>
      <c r="E16" s="24">
        <f t="shared" si="4"/>
        <v>0.06</v>
      </c>
      <c r="F16" s="25">
        <f>ASSUMPTIONS!K13</f>
        <v>5.5</v>
      </c>
      <c r="G16" s="22">
        <f t="shared" si="0"/>
        <v>17664.577624320005</v>
      </c>
      <c r="H16" s="23">
        <f>H14-IFERROR(ASSUMPTIONS!$Q$13,0)</f>
        <v>1000</v>
      </c>
      <c r="I16" s="23">
        <f>IFERROR(FINANCIALS!J39,0)</f>
        <v>8355.573367680001</v>
      </c>
      <c r="J16" s="23">
        <f t="shared" si="1"/>
        <v>25020.150992000006</v>
      </c>
    </row>
    <row r="17" spans="2:12" x14ac:dyDescent="0.35">
      <c r="D17" s="22"/>
      <c r="E17" s="22"/>
      <c r="F17" s="22"/>
      <c r="G17" s="22"/>
      <c r="H17" s="22"/>
      <c r="I17" s="22"/>
      <c r="J17" s="22"/>
    </row>
    <row r="19" spans="2:12" x14ac:dyDescent="0.35">
      <c r="B19" s="14" t="s">
        <v>41</v>
      </c>
      <c r="C19" s="14"/>
      <c r="D19" s="14"/>
      <c r="E19" s="28">
        <f>J16-J6</f>
        <v>19520.150992000006</v>
      </c>
    </row>
    <row r="20" spans="2:12" x14ac:dyDescent="0.35">
      <c r="B20" s="14" t="s">
        <v>43</v>
      </c>
      <c r="C20" s="14"/>
      <c r="D20" s="14"/>
      <c r="E20" s="29">
        <f>J16/J6</f>
        <v>4.5491183621818196</v>
      </c>
    </row>
    <row r="21" spans="2:12" x14ac:dyDescent="0.35">
      <c r="B21" s="14" t="s">
        <v>42</v>
      </c>
      <c r="C21" s="14"/>
      <c r="D21" s="14"/>
      <c r="E21" s="30">
        <f>_xlfn.RRI(5,J6,J16)</f>
        <v>0.35389644332009684</v>
      </c>
    </row>
    <row r="24" spans="2:12" ht="14.5" customHeight="1" x14ac:dyDescent="0.35">
      <c r="B24" s="35" t="s">
        <v>49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2:12" x14ac:dyDescent="0.35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2:12" x14ac:dyDescent="0.35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2:12" x14ac:dyDescent="0.35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</sheetData>
  <mergeCells count="2">
    <mergeCell ref="B2:J2"/>
    <mergeCell ref="B24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PAGE</vt:lpstr>
      <vt:lpstr>ASSUMPTIONS</vt:lpstr>
      <vt:lpstr>FINANCIALS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Panchpor</dc:creator>
  <cp:lastModifiedBy>Ameya Panchpor</cp:lastModifiedBy>
  <dcterms:created xsi:type="dcterms:W3CDTF">2015-06-05T18:17:20Z</dcterms:created>
  <dcterms:modified xsi:type="dcterms:W3CDTF">2024-01-21T09:08:20Z</dcterms:modified>
</cp:coreProperties>
</file>