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meya_panchpor_morningstar_com/Documents/Desktop/PERSONAL/Courses/PROJECTS/FINANCIAL MODELING/"/>
    </mc:Choice>
  </mc:AlternateContent>
  <xr:revisionPtr revIDLastSave="930" documentId="13_ncr:1_{E68D1A2C-1B7E-489F-BF2E-C640D4806E1A}" xr6:coauthVersionLast="47" xr6:coauthVersionMax="47" xr10:uidLastSave="{6DBC09A2-E7F5-4928-A4E8-251B06F65E70}"/>
  <bookViews>
    <workbookView xWindow="-110" yWindow="-110" windowWidth="19420" windowHeight="10300" activeTab="1" xr2:uid="{00000000-000D-0000-FFFF-FFFF00000000}"/>
  </bookViews>
  <sheets>
    <sheet name="Cover" sheetId="8" r:id="rId1"/>
    <sheet name="DCF" sheetId="1" r:id="rId2"/>
    <sheet name="NWC" sheetId="2" r:id="rId3"/>
    <sheet name="WACC" sheetId="6" r:id="rId4"/>
    <sheet name="AS1" sheetId="3" r:id="rId5"/>
    <sheet name="AS2" sheetId="5" r:id="rId6"/>
    <sheet name="Relative Valuation" sheetId="7" r:id="rId7"/>
  </sheets>
  <calcPr calcId="191029" iterate="1" iterateCount="10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I25" i="1"/>
  <c r="J25" i="1"/>
  <c r="K25" i="1"/>
  <c r="K28" i="1" s="1"/>
  <c r="L25" i="1"/>
  <c r="M25" i="1"/>
  <c r="E28" i="1"/>
  <c r="F28" i="1"/>
  <c r="G28" i="1"/>
  <c r="I28" i="1"/>
  <c r="J28" i="1"/>
  <c r="L28" i="1"/>
  <c r="M28" i="1"/>
  <c r="E26" i="1"/>
  <c r="F26" i="1"/>
  <c r="G26" i="1"/>
  <c r="I26" i="1"/>
  <c r="J26" i="1"/>
  <c r="K26" i="1"/>
  <c r="L26" i="1"/>
  <c r="M26" i="1"/>
  <c r="Q30" i="7"/>
  <c r="P30" i="7"/>
  <c r="O30" i="7"/>
  <c r="Q28" i="7"/>
  <c r="P28" i="7"/>
  <c r="O28" i="7"/>
  <c r="Q27" i="7"/>
  <c r="P27" i="7"/>
  <c r="O27" i="7"/>
  <c r="Q17" i="7"/>
  <c r="Q14" i="7"/>
  <c r="I14" i="7"/>
  <c r="P14" i="7" s="1"/>
  <c r="Q13" i="7"/>
  <c r="P13" i="7"/>
  <c r="O13" i="7"/>
  <c r="I13" i="7"/>
  <c r="Q12" i="7"/>
  <c r="P12" i="7"/>
  <c r="I12" i="7"/>
  <c r="O12" i="7" s="1"/>
  <c r="Q11" i="7"/>
  <c r="P11" i="7"/>
  <c r="I11" i="7"/>
  <c r="O11" i="7" s="1"/>
  <c r="Q10" i="7"/>
  <c r="P10" i="7"/>
  <c r="O10" i="7"/>
  <c r="I10" i="7"/>
  <c r="Q9" i="7"/>
  <c r="P9" i="7"/>
  <c r="I9" i="7"/>
  <c r="O9" i="7" s="1"/>
  <c r="Q8" i="7"/>
  <c r="P8" i="7"/>
  <c r="O8" i="7"/>
  <c r="I8" i="7"/>
  <c r="H47" i="5"/>
  <c r="G47" i="5"/>
  <c r="G44" i="5" s="1"/>
  <c r="L40" i="2" s="1"/>
  <c r="F47" i="5"/>
  <c r="F44" i="5" s="1"/>
  <c r="K40" i="2" s="1"/>
  <c r="E47" i="5"/>
  <c r="D47" i="5"/>
  <c r="H45" i="5"/>
  <c r="G45" i="5"/>
  <c r="F45" i="5"/>
  <c r="E45" i="5"/>
  <c r="D45" i="5"/>
  <c r="H44" i="5"/>
  <c r="M40" i="2" s="1"/>
  <c r="E44" i="5"/>
  <c r="J40" i="2" s="1"/>
  <c r="D44" i="5"/>
  <c r="H42" i="5"/>
  <c r="G42" i="5"/>
  <c r="F42" i="5"/>
  <c r="F39" i="5" s="1"/>
  <c r="K39" i="2" s="1"/>
  <c r="E42" i="5"/>
  <c r="D42" i="5"/>
  <c r="H40" i="5"/>
  <c r="G40" i="5"/>
  <c r="F40" i="5"/>
  <c r="E40" i="5"/>
  <c r="D40" i="5"/>
  <c r="H39" i="5"/>
  <c r="M39" i="2" s="1"/>
  <c r="G39" i="5"/>
  <c r="L39" i="2" s="1"/>
  <c r="E39" i="5"/>
  <c r="J39" i="2" s="1"/>
  <c r="D39" i="5"/>
  <c r="I39" i="2" s="1"/>
  <c r="H37" i="5"/>
  <c r="G37" i="5"/>
  <c r="F37" i="5"/>
  <c r="F34" i="5" s="1"/>
  <c r="K38" i="2" s="1"/>
  <c r="E37" i="5"/>
  <c r="E34" i="5" s="1"/>
  <c r="J38" i="2" s="1"/>
  <c r="D37" i="5"/>
  <c r="D34" i="5" s="1"/>
  <c r="I38" i="2" s="1"/>
  <c r="H35" i="5"/>
  <c r="G35" i="5"/>
  <c r="F35" i="5"/>
  <c r="E35" i="5"/>
  <c r="D35" i="5"/>
  <c r="H34" i="5"/>
  <c r="M38" i="2" s="1"/>
  <c r="G34" i="5"/>
  <c r="L38" i="2" s="1"/>
  <c r="H32" i="5"/>
  <c r="H29" i="5" s="1"/>
  <c r="M37" i="2" s="1"/>
  <c r="G32" i="5"/>
  <c r="G29" i="5" s="1"/>
  <c r="L37" i="2" s="1"/>
  <c r="F32" i="5"/>
  <c r="F29" i="5" s="1"/>
  <c r="K37" i="2" s="1"/>
  <c r="E32" i="5"/>
  <c r="E29" i="5" s="1"/>
  <c r="J37" i="2" s="1"/>
  <c r="D32" i="5"/>
  <c r="H30" i="5"/>
  <c r="G30" i="5"/>
  <c r="F30" i="5"/>
  <c r="E30" i="5"/>
  <c r="D30" i="5"/>
  <c r="D29" i="5"/>
  <c r="I37" i="2" s="1"/>
  <c r="H26" i="5"/>
  <c r="H23" i="5" s="1"/>
  <c r="M34" i="2" s="1"/>
  <c r="G26" i="5"/>
  <c r="G23" i="5" s="1"/>
  <c r="L34" i="2" s="1"/>
  <c r="F26" i="5"/>
  <c r="E26" i="5"/>
  <c r="D26" i="5"/>
  <c r="H24" i="5"/>
  <c r="G24" i="5"/>
  <c r="F24" i="5"/>
  <c r="E24" i="5"/>
  <c r="D24" i="5"/>
  <c r="F23" i="5"/>
  <c r="K34" i="2" s="1"/>
  <c r="E23" i="5"/>
  <c r="J34" i="2" s="1"/>
  <c r="D23" i="5"/>
  <c r="I34" i="2" s="1"/>
  <c r="H21" i="5"/>
  <c r="G21" i="5"/>
  <c r="F21" i="5"/>
  <c r="F18" i="5" s="1"/>
  <c r="K33" i="2" s="1"/>
  <c r="E21" i="5"/>
  <c r="D21" i="5"/>
  <c r="H19" i="5"/>
  <c r="G19" i="5"/>
  <c r="F19" i="5"/>
  <c r="E19" i="5"/>
  <c r="D19" i="5"/>
  <c r="H18" i="5"/>
  <c r="M33" i="2" s="1"/>
  <c r="G18" i="5"/>
  <c r="L33" i="2" s="1"/>
  <c r="E18" i="5"/>
  <c r="J33" i="2" s="1"/>
  <c r="D18" i="5"/>
  <c r="I33" i="2" s="1"/>
  <c r="H16" i="5"/>
  <c r="G16" i="5"/>
  <c r="F16" i="5"/>
  <c r="F13" i="5" s="1"/>
  <c r="K32" i="2" s="1"/>
  <c r="E16" i="5"/>
  <c r="E13" i="5" s="1"/>
  <c r="J32" i="2" s="1"/>
  <c r="D16" i="5"/>
  <c r="D13" i="5" s="1"/>
  <c r="I32" i="2" s="1"/>
  <c r="H14" i="5"/>
  <c r="G14" i="5"/>
  <c r="F14" i="5"/>
  <c r="E14" i="5"/>
  <c r="D14" i="5"/>
  <c r="H13" i="5"/>
  <c r="M32" i="2" s="1"/>
  <c r="G13" i="5"/>
  <c r="L32" i="2" s="1"/>
  <c r="H11" i="5"/>
  <c r="H8" i="5" s="1"/>
  <c r="M31" i="2" s="1"/>
  <c r="G11" i="5"/>
  <c r="G8" i="5" s="1"/>
  <c r="L31" i="2" s="1"/>
  <c r="F11" i="5"/>
  <c r="F8" i="5" s="1"/>
  <c r="K31" i="2" s="1"/>
  <c r="E11" i="5"/>
  <c r="E8" i="5" s="1"/>
  <c r="J31" i="2" s="1"/>
  <c r="D11" i="5"/>
  <c r="D8" i="5" s="1"/>
  <c r="I31" i="2" s="1"/>
  <c r="H9" i="5"/>
  <c r="G9" i="5"/>
  <c r="F9" i="5"/>
  <c r="E9" i="5"/>
  <c r="D9" i="5"/>
  <c r="D5" i="5"/>
  <c r="H41" i="3"/>
  <c r="H38" i="3" s="1"/>
  <c r="M57" i="1" s="1"/>
  <c r="G41" i="3"/>
  <c r="F41" i="3"/>
  <c r="E41" i="3"/>
  <c r="E38" i="3" s="1"/>
  <c r="D41" i="3"/>
  <c r="D38" i="3" s="1"/>
  <c r="H39" i="3"/>
  <c r="G39" i="3"/>
  <c r="F39" i="3"/>
  <c r="E39" i="3"/>
  <c r="D39" i="3"/>
  <c r="G38" i="3"/>
  <c r="L57" i="1" s="1"/>
  <c r="F38" i="3"/>
  <c r="K57" i="1" s="1"/>
  <c r="H35" i="3"/>
  <c r="H32" i="3" s="1"/>
  <c r="M56" i="1" s="1"/>
  <c r="G35" i="3"/>
  <c r="G32" i="3" s="1"/>
  <c r="L56" i="1" s="1"/>
  <c r="F35" i="3"/>
  <c r="E35" i="3"/>
  <c r="D35" i="3"/>
  <c r="H33" i="3"/>
  <c r="G33" i="3"/>
  <c r="F33" i="3"/>
  <c r="E33" i="3"/>
  <c r="D33" i="3"/>
  <c r="F32" i="3"/>
  <c r="K56" i="1" s="1"/>
  <c r="E32" i="3"/>
  <c r="J56" i="1" s="1"/>
  <c r="D32" i="3"/>
  <c r="I56" i="1" s="1"/>
  <c r="H30" i="3"/>
  <c r="H27" i="3" s="1"/>
  <c r="M55" i="1" s="1"/>
  <c r="G30" i="3"/>
  <c r="F30" i="3"/>
  <c r="E30" i="3"/>
  <c r="D30" i="3"/>
  <c r="H28" i="3"/>
  <c r="G28" i="3"/>
  <c r="F28" i="3"/>
  <c r="E28" i="3"/>
  <c r="D28" i="3"/>
  <c r="G27" i="3"/>
  <c r="L55" i="1" s="1"/>
  <c r="F27" i="3"/>
  <c r="K55" i="1" s="1"/>
  <c r="E27" i="3"/>
  <c r="J55" i="1" s="1"/>
  <c r="D27" i="3"/>
  <c r="I55" i="1" s="1"/>
  <c r="H25" i="3"/>
  <c r="G25" i="3"/>
  <c r="F25" i="3"/>
  <c r="E25" i="3"/>
  <c r="E22" i="3" s="1"/>
  <c r="J54" i="1" s="1"/>
  <c r="D25" i="3"/>
  <c r="H23" i="3"/>
  <c r="G23" i="3"/>
  <c r="F23" i="3"/>
  <c r="E23" i="3"/>
  <c r="D23" i="3"/>
  <c r="H22" i="3"/>
  <c r="M54" i="1" s="1"/>
  <c r="G22" i="3"/>
  <c r="L54" i="1" s="1"/>
  <c r="F22" i="3"/>
  <c r="D22" i="3"/>
  <c r="H20" i="3"/>
  <c r="H17" i="3" s="1"/>
  <c r="M53" i="1" s="1"/>
  <c r="G20" i="3"/>
  <c r="F20" i="3"/>
  <c r="E20" i="3"/>
  <c r="E17" i="3" s="1"/>
  <c r="J53" i="1" s="1"/>
  <c r="D20" i="3"/>
  <c r="D17" i="3" s="1"/>
  <c r="I53" i="1" s="1"/>
  <c r="H18" i="3"/>
  <c r="G18" i="3"/>
  <c r="F18" i="3"/>
  <c r="E18" i="3"/>
  <c r="D18" i="3"/>
  <c r="G17" i="3"/>
  <c r="L53" i="1" s="1"/>
  <c r="F17" i="3"/>
  <c r="K53" i="1" s="1"/>
  <c r="H15" i="3"/>
  <c r="H12" i="3" s="1"/>
  <c r="M52" i="1" s="1"/>
  <c r="G15" i="3"/>
  <c r="G12" i="3" s="1"/>
  <c r="L52" i="1" s="1"/>
  <c r="F15" i="3"/>
  <c r="F12" i="3" s="1"/>
  <c r="K52" i="1" s="1"/>
  <c r="E15" i="3"/>
  <c r="E12" i="3" s="1"/>
  <c r="J52" i="1" s="1"/>
  <c r="D15" i="3"/>
  <c r="D12" i="3" s="1"/>
  <c r="I52" i="1" s="1"/>
  <c r="H13" i="3"/>
  <c r="G13" i="3"/>
  <c r="F13" i="3"/>
  <c r="E13" i="3"/>
  <c r="D13" i="3"/>
  <c r="H10" i="3"/>
  <c r="H7" i="3" s="1"/>
  <c r="M51" i="1" s="1"/>
  <c r="G10" i="3"/>
  <c r="G7" i="3" s="1"/>
  <c r="L51" i="1" s="1"/>
  <c r="F10" i="3"/>
  <c r="F7" i="3" s="1"/>
  <c r="K51" i="1" s="1"/>
  <c r="E10" i="3"/>
  <c r="E7" i="3" s="1"/>
  <c r="J51" i="1" s="1"/>
  <c r="D10" i="3"/>
  <c r="H8" i="3"/>
  <c r="G8" i="3"/>
  <c r="F8" i="3"/>
  <c r="E8" i="3"/>
  <c r="D8" i="3"/>
  <c r="D7" i="3"/>
  <c r="I51" i="1" s="1"/>
  <c r="I9" i="1" s="1"/>
  <c r="E5" i="3"/>
  <c r="D5" i="3"/>
  <c r="F29" i="6"/>
  <c r="F30" i="6" s="1"/>
  <c r="F27" i="6"/>
  <c r="F26" i="6" s="1"/>
  <c r="J25" i="6"/>
  <c r="K25" i="6" s="1"/>
  <c r="H25" i="6"/>
  <c r="G25" i="6" s="1"/>
  <c r="C17" i="6"/>
  <c r="I15" i="6"/>
  <c r="F15" i="6"/>
  <c r="C15" i="6"/>
  <c r="F14" i="6"/>
  <c r="I12" i="6"/>
  <c r="K12" i="6" s="1"/>
  <c r="I11" i="6"/>
  <c r="K11" i="6" s="1"/>
  <c r="C11" i="6"/>
  <c r="I10" i="6"/>
  <c r="K10" i="6" s="1"/>
  <c r="C10" i="6"/>
  <c r="K9" i="6"/>
  <c r="I9" i="6"/>
  <c r="I8" i="6"/>
  <c r="C7" i="6"/>
  <c r="I40" i="2"/>
  <c r="G40" i="2"/>
  <c r="F40" i="2"/>
  <c r="E40" i="2"/>
  <c r="G39" i="2"/>
  <c r="E38" i="2"/>
  <c r="D38" i="2"/>
  <c r="G34" i="2"/>
  <c r="F34" i="2"/>
  <c r="E34" i="2"/>
  <c r="D32" i="2"/>
  <c r="E27" i="2"/>
  <c r="G24" i="2"/>
  <c r="G25" i="2" s="1"/>
  <c r="D24" i="2"/>
  <c r="D25" i="2" s="1"/>
  <c r="G22" i="2"/>
  <c r="F22" i="2"/>
  <c r="E22" i="2"/>
  <c r="D22" i="2"/>
  <c r="G15" i="2"/>
  <c r="F15" i="2"/>
  <c r="F24" i="2" s="1"/>
  <c r="E15" i="2"/>
  <c r="E24" i="2" s="1"/>
  <c r="E25" i="2" s="1"/>
  <c r="D15" i="2"/>
  <c r="G8" i="2"/>
  <c r="F8" i="2"/>
  <c r="E8" i="2"/>
  <c r="E32" i="2" s="1"/>
  <c r="D8" i="2"/>
  <c r="D37" i="2" s="1"/>
  <c r="G7" i="2"/>
  <c r="F7" i="2"/>
  <c r="E7" i="2"/>
  <c r="E39" i="2" s="1"/>
  <c r="D7" i="2"/>
  <c r="J6" i="2"/>
  <c r="K6" i="2" s="1"/>
  <c r="L6" i="2" s="1"/>
  <c r="M6" i="2" s="1"/>
  <c r="G59" i="1"/>
  <c r="D59" i="1"/>
  <c r="J57" i="1"/>
  <c r="I57" i="1"/>
  <c r="G56" i="1"/>
  <c r="F56" i="1"/>
  <c r="E56" i="1"/>
  <c r="D56" i="1"/>
  <c r="G55" i="1"/>
  <c r="F55" i="1"/>
  <c r="E55" i="1"/>
  <c r="D55" i="1"/>
  <c r="K54" i="1"/>
  <c r="I54" i="1"/>
  <c r="G54" i="1"/>
  <c r="F54" i="1"/>
  <c r="E54" i="1"/>
  <c r="D54" i="1"/>
  <c r="G53" i="1"/>
  <c r="F53" i="1"/>
  <c r="E53" i="1"/>
  <c r="D53" i="1"/>
  <c r="G52" i="1"/>
  <c r="F52" i="1"/>
  <c r="E52" i="1"/>
  <c r="D52" i="1"/>
  <c r="C43" i="1"/>
  <c r="G24" i="1"/>
  <c r="F24" i="1"/>
  <c r="E24" i="1"/>
  <c r="M22" i="1"/>
  <c r="L22" i="1"/>
  <c r="K22" i="1"/>
  <c r="J22" i="1"/>
  <c r="I22" i="1"/>
  <c r="G22" i="1"/>
  <c r="F22" i="1"/>
  <c r="E22" i="1"/>
  <c r="D22" i="1"/>
  <c r="D20" i="1"/>
  <c r="D21" i="1" s="1"/>
  <c r="D18" i="1"/>
  <c r="D17" i="1"/>
  <c r="E13" i="1"/>
  <c r="D13" i="1"/>
  <c r="G12" i="1"/>
  <c r="F12" i="1"/>
  <c r="E12" i="1"/>
  <c r="E17" i="1" s="1"/>
  <c r="D12" i="1"/>
  <c r="G10" i="1"/>
  <c r="G51" i="1" s="1"/>
  <c r="F10" i="1"/>
  <c r="F51" i="1" s="1"/>
  <c r="E10" i="1"/>
  <c r="E51" i="1" s="1"/>
  <c r="H9" i="1"/>
  <c r="J8" i="1"/>
  <c r="E5" i="5" s="1"/>
  <c r="I16" i="1" l="1"/>
  <c r="I10" i="1"/>
  <c r="I15" i="1"/>
  <c r="F17" i="1"/>
  <c r="F13" i="1"/>
  <c r="G13" i="1"/>
  <c r="F59" i="1"/>
  <c r="F27" i="2"/>
  <c r="F25" i="2"/>
  <c r="G27" i="2"/>
  <c r="P20" i="7"/>
  <c r="P16" i="7"/>
  <c r="P21" i="7"/>
  <c r="P17" i="7"/>
  <c r="P19" i="7"/>
  <c r="P26" i="7" s="1"/>
  <c r="P29" i="7" s="1"/>
  <c r="P31" i="7" s="1"/>
  <c r="P32" i="7" s="1"/>
  <c r="P18" i="7"/>
  <c r="Q20" i="7"/>
  <c r="Q16" i="7"/>
  <c r="Q21" i="7"/>
  <c r="Q18" i="7"/>
  <c r="Q19" i="7"/>
  <c r="Q29" i="7" s="1"/>
  <c r="O19" i="7"/>
  <c r="O26" i="7" s="1"/>
  <c r="O29" i="7" s="1"/>
  <c r="O31" i="7" s="1"/>
  <c r="O32" i="7" s="1"/>
  <c r="G17" i="1"/>
  <c r="E18" i="1"/>
  <c r="E20" i="1"/>
  <c r="F32" i="2"/>
  <c r="F37" i="2"/>
  <c r="D31" i="2"/>
  <c r="D40" i="2"/>
  <c r="D34" i="2"/>
  <c r="D33" i="2"/>
  <c r="E31" i="2"/>
  <c r="E33" i="2"/>
  <c r="D39" i="2"/>
  <c r="J9" i="1"/>
  <c r="F38" i="2"/>
  <c r="F31" i="2"/>
  <c r="F33" i="2"/>
  <c r="E37" i="2"/>
  <c r="O14" i="7"/>
  <c r="O18" i="7" s="1"/>
  <c r="H12" i="1"/>
  <c r="G38" i="2"/>
  <c r="G31" i="2"/>
  <c r="G33" i="2"/>
  <c r="F39" i="2"/>
  <c r="G32" i="2"/>
  <c r="G37" i="2"/>
  <c r="I14" i="1"/>
  <c r="I19" i="1"/>
  <c r="I24" i="1" s="1"/>
  <c r="I11" i="1"/>
  <c r="I8" i="2" s="1"/>
  <c r="K8" i="1"/>
  <c r="I7" i="2"/>
  <c r="E59" i="1"/>
  <c r="I14" i="6"/>
  <c r="I20" i="6" s="1"/>
  <c r="K8" i="6"/>
  <c r="O20" i="7"/>
  <c r="O16" i="7"/>
  <c r="G18" i="1" l="1"/>
  <c r="G20" i="1"/>
  <c r="H17" i="1"/>
  <c r="K14" i="6"/>
  <c r="H20" i="6" s="1"/>
  <c r="K20" i="6" s="1"/>
  <c r="C23" i="6" s="1"/>
  <c r="C24" i="6" s="1"/>
  <c r="C27" i="6" s="1"/>
  <c r="K15" i="6"/>
  <c r="Q31" i="7"/>
  <c r="Q32" i="7" s="1"/>
  <c r="Q26" i="7"/>
  <c r="I11" i="2"/>
  <c r="I20" i="2"/>
  <c r="I14" i="2"/>
  <c r="I13" i="2"/>
  <c r="I19" i="2"/>
  <c r="I21" i="2"/>
  <c r="F5" i="3"/>
  <c r="L8" i="1"/>
  <c r="F5" i="5"/>
  <c r="I12" i="2"/>
  <c r="I18" i="2"/>
  <c r="J7" i="2"/>
  <c r="J19" i="1"/>
  <c r="J24" i="1" s="1"/>
  <c r="J11" i="1"/>
  <c r="J8" i="2" s="1"/>
  <c r="J16" i="1"/>
  <c r="K9" i="1"/>
  <c r="J14" i="1"/>
  <c r="J15" i="1"/>
  <c r="J10" i="1"/>
  <c r="O17" i="7"/>
  <c r="I12" i="1"/>
  <c r="F20" i="1"/>
  <c r="F18" i="1"/>
  <c r="O21" i="7"/>
  <c r="E23" i="1"/>
  <c r="E21" i="1"/>
  <c r="I15" i="2" l="1"/>
  <c r="J19" i="2"/>
  <c r="J13" i="2"/>
  <c r="J20" i="2"/>
  <c r="J21" i="2"/>
  <c r="J14" i="2"/>
  <c r="J11" i="2"/>
  <c r="J12" i="1"/>
  <c r="K7" i="2"/>
  <c r="K16" i="1"/>
  <c r="L9" i="1"/>
  <c r="K19" i="1"/>
  <c r="K24" i="1" s="1"/>
  <c r="K11" i="1"/>
  <c r="K8" i="2" s="1"/>
  <c r="K10" i="1"/>
  <c r="K15" i="1"/>
  <c r="K14" i="1"/>
  <c r="J18" i="2"/>
  <c r="J22" i="2" s="1"/>
  <c r="J12" i="2"/>
  <c r="I22" i="2"/>
  <c r="F21" i="1"/>
  <c r="F23" i="1"/>
  <c r="I17" i="1"/>
  <c r="I13" i="1"/>
  <c r="F25" i="6"/>
  <c r="C30" i="1"/>
  <c r="G5" i="3"/>
  <c r="G5" i="5"/>
  <c r="M8" i="1"/>
  <c r="G23" i="1"/>
  <c r="G21" i="1"/>
  <c r="H20" i="1"/>
  <c r="K12" i="1" l="1"/>
  <c r="I24" i="2"/>
  <c r="I27" i="2" s="1"/>
  <c r="I20" i="1"/>
  <c r="I18" i="1"/>
  <c r="K13" i="1"/>
  <c r="K17" i="1"/>
  <c r="K19" i="2"/>
  <c r="K13" i="2"/>
  <c r="K11" i="2"/>
  <c r="K14" i="2"/>
  <c r="K21" i="2"/>
  <c r="K20" i="2"/>
  <c r="J17" i="1"/>
  <c r="J13" i="1"/>
  <c r="J15" i="2"/>
  <c r="J24" i="2" s="1"/>
  <c r="H5" i="5"/>
  <c r="H5" i="3"/>
  <c r="K32" i="1"/>
  <c r="I32" i="1"/>
  <c r="M32" i="1"/>
  <c r="L32" i="1"/>
  <c r="J32" i="1"/>
  <c r="L10" i="1"/>
  <c r="L15" i="1"/>
  <c r="M9" i="1"/>
  <c r="L16" i="1"/>
  <c r="L11" i="1"/>
  <c r="L8" i="2" s="1"/>
  <c r="L14" i="1"/>
  <c r="L19" i="1"/>
  <c r="L24" i="1" s="1"/>
  <c r="L7" i="2"/>
  <c r="K18" i="2"/>
  <c r="K12" i="2"/>
  <c r="J27" i="2" l="1"/>
  <c r="I25" i="2"/>
  <c r="K22" i="2"/>
  <c r="J18" i="1"/>
  <c r="J20" i="1"/>
  <c r="L21" i="2"/>
  <c r="L11" i="2"/>
  <c r="L19" i="2"/>
  <c r="L14" i="2"/>
  <c r="L13" i="2"/>
  <c r="L20" i="2"/>
  <c r="K15" i="2"/>
  <c r="L12" i="1"/>
  <c r="L18" i="2"/>
  <c r="L12" i="2"/>
  <c r="M15" i="1"/>
  <c r="M7" i="2"/>
  <c r="N9" i="1"/>
  <c r="M11" i="1"/>
  <c r="M8" i="2" s="1"/>
  <c r="M16" i="1"/>
  <c r="M14" i="1"/>
  <c r="M10" i="1"/>
  <c r="M19" i="1"/>
  <c r="M24" i="1" s="1"/>
  <c r="K18" i="1"/>
  <c r="K20" i="1"/>
  <c r="J25" i="2"/>
  <c r="I23" i="1"/>
  <c r="I34" i="1" s="1"/>
  <c r="I21" i="1"/>
  <c r="K24" i="2" l="1"/>
  <c r="L22" i="2"/>
  <c r="K25" i="2"/>
  <c r="L15" i="2"/>
  <c r="L24" i="2" s="1"/>
  <c r="K21" i="1"/>
  <c r="K23" i="1"/>
  <c r="L17" i="1"/>
  <c r="L13" i="1"/>
  <c r="M12" i="2"/>
  <c r="M18" i="2"/>
  <c r="M12" i="1"/>
  <c r="M21" i="2"/>
  <c r="M19" i="2"/>
  <c r="M13" i="2"/>
  <c r="M20" i="2"/>
  <c r="M11" i="2"/>
  <c r="M14" i="2"/>
  <c r="K27" i="2"/>
  <c r="J21" i="1"/>
  <c r="J23" i="1"/>
  <c r="J34" i="1" s="1"/>
  <c r="M22" i="2" l="1"/>
  <c r="M17" i="1"/>
  <c r="M13" i="1"/>
  <c r="N12" i="1"/>
  <c r="L18" i="1"/>
  <c r="L20" i="1"/>
  <c r="K34" i="1"/>
  <c r="M15" i="2"/>
  <c r="M24" i="2" s="1"/>
  <c r="M25" i="2" s="1"/>
  <c r="M27" i="2"/>
  <c r="L25" i="2"/>
  <c r="L27" i="2"/>
  <c r="L21" i="1" l="1"/>
  <c r="L23" i="1"/>
  <c r="L34" i="1" s="1"/>
  <c r="M18" i="1"/>
  <c r="M20" i="1"/>
  <c r="N17" i="1"/>
  <c r="M21" i="1" l="1"/>
  <c r="M23" i="1"/>
  <c r="N20" i="1"/>
  <c r="C38" i="1" l="1"/>
  <c r="C40" i="1" s="1"/>
  <c r="M34" i="1"/>
  <c r="C39" i="1" s="1"/>
  <c r="C41" i="1" l="1"/>
  <c r="C44" i="1" s="1"/>
  <c r="C46" i="1" s="1"/>
  <c r="C48" i="1" s="1"/>
  <c r="H38" i="1" l="1"/>
</calcChain>
</file>

<file path=xl/sharedStrings.xml><?xml version="1.0" encoding="utf-8"?>
<sst xmlns="http://schemas.openxmlformats.org/spreadsheetml/2006/main" count="264" uniqueCount="177">
  <si>
    <t>TATA CONSULTANCY SERVICES</t>
  </si>
  <si>
    <t>DISCOUNTED CASH FLOW VALUATION</t>
  </si>
  <si>
    <t>(All Values in Million INR, Year End March 31)</t>
  </si>
  <si>
    <t>Historical Period</t>
  </si>
  <si>
    <t>CAGR</t>
  </si>
  <si>
    <t>('19 - '24)</t>
  </si>
  <si>
    <t>Sales</t>
  </si>
  <si>
    <t>y-o-y growth %</t>
  </si>
  <si>
    <t>N/A</t>
  </si>
  <si>
    <t>Cost of Goods Sold</t>
  </si>
  <si>
    <t>Gross Profit</t>
  </si>
  <si>
    <t>% Margin</t>
  </si>
  <si>
    <t>Selling, General, Administrative Expenses</t>
  </si>
  <si>
    <t>Operating Expenses</t>
  </si>
  <si>
    <t>EBITDA</t>
  </si>
  <si>
    <t>Non-Operating Income</t>
  </si>
  <si>
    <t>Depreciation &amp; Amortisation</t>
  </si>
  <si>
    <t>EBIT</t>
  </si>
  <si>
    <t>Projection Period</t>
  </si>
  <si>
    <t>WORKING CAPITAL PROJECTIONS</t>
  </si>
  <si>
    <t>Current Assets</t>
  </si>
  <si>
    <t>Inventories</t>
  </si>
  <si>
    <t>Short term Investment</t>
  </si>
  <si>
    <t>Other Current Assets</t>
  </si>
  <si>
    <t>Total Current Assets</t>
  </si>
  <si>
    <t>Current Liabilities</t>
  </si>
  <si>
    <t>Trade Payables</t>
  </si>
  <si>
    <t>Taxes Payable, Current</t>
  </si>
  <si>
    <t>Current Debt &amp; Capital Lease Obligation</t>
  </si>
  <si>
    <t>Other Current Liabilities</t>
  </si>
  <si>
    <t>Trade Receivables</t>
  </si>
  <si>
    <t>Total Current Liabilities</t>
  </si>
  <si>
    <t>Net Working Capital</t>
  </si>
  <si>
    <t>% Sales</t>
  </si>
  <si>
    <t>(Increase)/Decrease in NWC</t>
  </si>
  <si>
    <t>Assumptions</t>
  </si>
  <si>
    <t>Days Sales Outstanding</t>
  </si>
  <si>
    <t>Days Inventory Outstanding</t>
  </si>
  <si>
    <t>Short term Investment % of Sales</t>
  </si>
  <si>
    <t>Other Current Assets % of Sales</t>
  </si>
  <si>
    <t>Days Payables Outstanding</t>
  </si>
  <si>
    <t>Taxes Payable % of Sales</t>
  </si>
  <si>
    <t>Current Debt &amp; Capital Lease Obligation % of Sales</t>
  </si>
  <si>
    <t>Other Current Liabilities % of Sales</t>
  </si>
  <si>
    <t>Assumptions Page 1 - Income Statement &amp; Cash Flow Statement</t>
  </si>
  <si>
    <t>Selected Case</t>
  </si>
  <si>
    <t>Income Statement Assumptions</t>
  </si>
  <si>
    <t>Sales (% growth)</t>
  </si>
  <si>
    <t>Bull Case</t>
  </si>
  <si>
    <t>Base Case</t>
  </si>
  <si>
    <t>Bear Case</t>
  </si>
  <si>
    <t>Cost of Goods Sold (% sales)</t>
  </si>
  <si>
    <t>Selling, General, Administrative Expenses (% Sales)</t>
  </si>
  <si>
    <t>Operating Expenses (% Sales)</t>
  </si>
  <si>
    <t>Non-Operating Income (% Sales)</t>
  </si>
  <si>
    <t>Depreciation &amp; Amortisation (% Sales)</t>
  </si>
  <si>
    <t>Cash Flow Statement Assumptions</t>
  </si>
  <si>
    <t>Capital Expenditure (% Sales)</t>
  </si>
  <si>
    <t>Sales (% Growth)</t>
  </si>
  <si>
    <t>Cost of Goods Sold (% Sales)</t>
  </si>
  <si>
    <t>Tax Rate</t>
  </si>
  <si>
    <t>Working Capital (% Sales)</t>
  </si>
  <si>
    <t>Taxes</t>
  </si>
  <si>
    <t>NOPAT</t>
  </si>
  <si>
    <t>Plus: Depreciation &amp; Amortisation</t>
  </si>
  <si>
    <t>Less: Capital Expenditure</t>
  </si>
  <si>
    <t>Less: Increase/Decrease in Net Working Capital</t>
  </si>
  <si>
    <t>Unlevered Cash Flow</t>
  </si>
  <si>
    <t>('24 - '29)</t>
  </si>
  <si>
    <t>Balance Sheet Assumptions</t>
  </si>
  <si>
    <t>Assumptions Page 2 - Balance Sheet</t>
  </si>
  <si>
    <t>Days Sales Outstanding (DSO)</t>
  </si>
  <si>
    <t>Days Inventory Outstanding (DIH)</t>
  </si>
  <si>
    <t>Short term investments (% Sales)</t>
  </si>
  <si>
    <t>Other Current Assets (% Sales)</t>
  </si>
  <si>
    <t>Days Payable Outstanding (DPO)</t>
  </si>
  <si>
    <t>Other Current Liabilities % Sales</t>
  </si>
  <si>
    <t>Current Debt &amp; Capital Lease Obligation % Sales</t>
  </si>
  <si>
    <t>WEIGHTED AVERAGE COST OF CAPITAL</t>
  </si>
  <si>
    <t>Debt</t>
  </si>
  <si>
    <t>Equity</t>
  </si>
  <si>
    <t>Capital</t>
  </si>
  <si>
    <t>WACC Calculation</t>
  </si>
  <si>
    <t>Debt to Total Capitalization</t>
  </si>
  <si>
    <t>Equity to Total Capitalization</t>
  </si>
  <si>
    <t>Cost of Debt</t>
  </si>
  <si>
    <t>Pre-tax cost of Debt</t>
  </si>
  <si>
    <t>(i)</t>
  </si>
  <si>
    <t>Tax rate</t>
  </si>
  <si>
    <t>After tax Cost of Debt</t>
  </si>
  <si>
    <t>Cost of Equity</t>
  </si>
  <si>
    <t>Risk Free Rate</t>
  </si>
  <si>
    <t>Market Premium</t>
  </si>
  <si>
    <t>(ii)</t>
  </si>
  <si>
    <t>(iii)</t>
  </si>
  <si>
    <t>Levered Beta</t>
  </si>
  <si>
    <t>Company</t>
  </si>
  <si>
    <t>Predicted 
Levered Beta</t>
  </si>
  <si>
    <t>Market Value
 of Debt</t>
  </si>
  <si>
    <t>Market Value
of Equity</t>
  </si>
  <si>
    <t>Debt/
Equity</t>
  </si>
  <si>
    <t>Marginal
 Tax Rate</t>
  </si>
  <si>
    <t>Unlevered
Beta</t>
  </si>
  <si>
    <t>Infosys</t>
  </si>
  <si>
    <t>HCL Technologies</t>
  </si>
  <si>
    <t>Wipro</t>
  </si>
  <si>
    <t>LTI Mindtree</t>
  </si>
  <si>
    <t>Tech Mahindra</t>
  </si>
  <si>
    <t>Mean</t>
  </si>
  <si>
    <t>Median</t>
  </si>
  <si>
    <t>Relevered Beta</t>
  </si>
  <si>
    <t>Relevered 
Beta</t>
  </si>
  <si>
    <t>Target
Debt/Equity</t>
  </si>
  <si>
    <t>Mean Unlevered
Beta</t>
  </si>
  <si>
    <t>Tata Consultancy Services Relevered Beta</t>
  </si>
  <si>
    <t>Comparable Companies Unlevered Beta</t>
  </si>
  <si>
    <t>WACC Sensitivity Analysis</t>
  </si>
  <si>
    <t>Pre-tax Cost of Debt</t>
  </si>
  <si>
    <t>Debt to
Total
Capitalization</t>
  </si>
  <si>
    <t>WACC</t>
  </si>
  <si>
    <t>Mid Year Convention</t>
  </si>
  <si>
    <t>Discounting Factor</t>
  </si>
  <si>
    <t>Present Value of Free Cash Flows</t>
  </si>
  <si>
    <t>Calculation of Terminal Value</t>
  </si>
  <si>
    <t>Terminal Growth Rate</t>
  </si>
  <si>
    <t>Terminal Value</t>
  </si>
  <si>
    <t>PV of FCF</t>
  </si>
  <si>
    <t>PV of Terminal Value</t>
  </si>
  <si>
    <t>Value of Operating Assets</t>
  </si>
  <si>
    <t>Add: Cash</t>
  </si>
  <si>
    <t>Less: Debt</t>
  </si>
  <si>
    <t>Value of Equity</t>
  </si>
  <si>
    <t>Number of Shares (In Millions)</t>
  </si>
  <si>
    <t>Sensitivity Analysis for WACC and Growth Rate</t>
  </si>
  <si>
    <t>Weighted Average Cost of Capital</t>
  </si>
  <si>
    <t>Terminal Growth
Rate</t>
  </si>
  <si>
    <t>Market Value per Share</t>
  </si>
  <si>
    <t>Equity Value per Share</t>
  </si>
  <si>
    <t>Overvalued/Undervalued</t>
  </si>
  <si>
    <t>RELATIVE VALUATION</t>
  </si>
  <si>
    <t>TCS</t>
  </si>
  <si>
    <t>Persistent Systems</t>
  </si>
  <si>
    <t>TICKER (BSE|NSE)</t>
  </si>
  <si>
    <t>532540|TCS</t>
  </si>
  <si>
    <t>500209|INFY</t>
  </si>
  <si>
    <t>532281|HCL TECH</t>
  </si>
  <si>
    <t>507685|WIPRO</t>
  </si>
  <si>
    <t>540005|LTIM</t>
  </si>
  <si>
    <t>532755|TECHM</t>
  </si>
  <si>
    <t>533179|PERSISTENT</t>
  </si>
  <si>
    <t>CMP 
(Per Share)</t>
  </si>
  <si>
    <t xml:space="preserve">Equity 
Value </t>
  </si>
  <si>
    <t>Shares
Outstanding</t>
  </si>
  <si>
    <t xml:space="preserve">Enterprise
Value </t>
  </si>
  <si>
    <t>Revenue</t>
  </si>
  <si>
    <t>Net
Income</t>
  </si>
  <si>
    <t>EV/Revenue</t>
  </si>
  <si>
    <t>EV/EBITDA</t>
  </si>
  <si>
    <t>P/E</t>
  </si>
  <si>
    <t>Companies</t>
  </si>
  <si>
    <t>Cash</t>
  </si>
  <si>
    <t>Market Data</t>
  </si>
  <si>
    <t>Average</t>
  </si>
  <si>
    <t>High</t>
  </si>
  <si>
    <t>75th Percentile</t>
  </si>
  <si>
    <t>25th Percentile</t>
  </si>
  <si>
    <t>Low</t>
  </si>
  <si>
    <t>TATA CONSULTANCY SERVICES COMPARABLE ANALYSIS</t>
  </si>
  <si>
    <t>Implied Enterprise Value</t>
  </si>
  <si>
    <t>Implied Market Value</t>
  </si>
  <si>
    <t>Shares Outstanding</t>
  </si>
  <si>
    <t>Implied Per Share Value</t>
  </si>
  <si>
    <t>DISCOUNTED CASH FLOW VALUATION
AND
RELATIVE VALUATION OF
TATA CONSULTANCY SERVICES</t>
  </si>
  <si>
    <t>Note</t>
  </si>
  <si>
    <t>(i) Pre tax cost of debt is calculated by dividing interest expense value to the total debt value</t>
  </si>
  <si>
    <t>(ii) Risk Free Rate is 10 year government bond value collected from investing.com website</t>
  </si>
  <si>
    <t>(iii) Market Risk Premium is collected from Market Risk Premia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</si>
</sst>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* #,##0_ ;_ * \-#,##0_ ;_ * &quot;-&quot;??_ ;_ @_ "/>
    <numFmt numFmtId="165" formatCode="#,##0;\(#,##0\);\-"/>
    <numFmt numFmtId="166" formatCode="0.0%"/>
    <numFmt numFmtId="167" formatCode="0.000"/>
    <numFmt numFmtId="168" formatCode="0.0000"/>
    <numFmt numFmtId="169" formatCode="0.000%"/>
    <numFmt numFmtId="170" formatCode="0.00&quot;x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36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right"/>
    </xf>
    <xf numFmtId="10" fontId="0" fillId="0" borderId="0" xfId="2" applyNumberFormat="1" applyFont="1"/>
    <xf numFmtId="164" fontId="0" fillId="0" borderId="1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" fontId="0" fillId="0" borderId="0" xfId="0" applyNumberFormat="1"/>
    <xf numFmtId="0" fontId="6" fillId="0" borderId="0" xfId="0" applyFont="1"/>
    <xf numFmtId="0" fontId="2" fillId="2" borderId="2" xfId="0" applyFont="1" applyFill="1" applyBorder="1"/>
    <xf numFmtId="0" fontId="0" fillId="2" borderId="2" xfId="0" applyFill="1" applyBorder="1"/>
    <xf numFmtId="0" fontId="0" fillId="2" borderId="0" xfId="0" applyFill="1"/>
    <xf numFmtId="1" fontId="0" fillId="2" borderId="0" xfId="0" applyNumberFormat="1" applyFill="1"/>
    <xf numFmtId="10" fontId="0" fillId="2" borderId="0" xfId="2" applyNumberFormat="1" applyFont="1" applyFill="1"/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1" xfId="2" applyNumberFormat="1" applyFont="1" applyBorder="1"/>
    <xf numFmtId="164" fontId="0" fillId="0" borderId="0" xfId="0" applyNumberFormat="1"/>
    <xf numFmtId="164" fontId="0" fillId="0" borderId="0" xfId="1" applyNumberFormat="1" applyFont="1" applyAlignment="1">
      <alignment horizontal="right"/>
    </xf>
    <xf numFmtId="10" fontId="0" fillId="0" borderId="0" xfId="2" applyNumberFormat="1" applyFont="1" applyFill="1" applyBorder="1"/>
    <xf numFmtId="0" fontId="0" fillId="2" borderId="0" xfId="0" applyFill="1" applyAlignment="1">
      <alignment horizontal="right"/>
    </xf>
    <xf numFmtId="10" fontId="0" fillId="2" borderId="0" xfId="0" applyNumberFormat="1" applyFill="1"/>
    <xf numFmtId="166" fontId="0" fillId="2" borderId="0" xfId="2" applyNumberFormat="1" applyFont="1" applyFill="1"/>
    <xf numFmtId="0" fontId="0" fillId="3" borderId="0" xfId="0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/>
    <xf numFmtId="0" fontId="9" fillId="3" borderId="0" xfId="0" applyFont="1" applyFill="1"/>
    <xf numFmtId="167" fontId="0" fillId="2" borderId="0" xfId="0" applyNumberFormat="1" applyFill="1"/>
    <xf numFmtId="1" fontId="0" fillId="0" borderId="1" xfId="0" applyNumberFormat="1" applyBorder="1"/>
    <xf numFmtId="164" fontId="0" fillId="0" borderId="1" xfId="1" applyNumberFormat="1" applyFont="1" applyBorder="1"/>
    <xf numFmtId="2" fontId="0" fillId="0" borderId="0" xfId="0" applyNumberFormat="1"/>
    <xf numFmtId="10" fontId="2" fillId="0" borderId="0" xfId="2" applyNumberFormat="1" applyFont="1"/>
    <xf numFmtId="0" fontId="0" fillId="0" borderId="0" xfId="0" applyAlignment="1">
      <alignment horizontal="center" vertical="center" wrapText="1"/>
    </xf>
    <xf numFmtId="0" fontId="0" fillId="4" borderId="0" xfId="0" applyFill="1"/>
    <xf numFmtId="1" fontId="0" fillId="0" borderId="0" xfId="1" applyNumberFormat="1" applyFont="1" applyAlignment="1">
      <alignment horizontal="center" wrapText="1"/>
    </xf>
    <xf numFmtId="1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/>
    <xf numFmtId="169" fontId="2" fillId="5" borderId="0" xfId="0" applyNumberFormat="1" applyFont="1" applyFill="1" applyAlignment="1">
      <alignment horizontal="center" vertical="center"/>
    </xf>
    <xf numFmtId="10" fontId="4" fillId="5" borderId="0" xfId="0" applyNumberFormat="1" applyFont="1" applyFill="1" applyAlignment="1">
      <alignment horizontal="center" vertical="center"/>
    </xf>
    <xf numFmtId="10" fontId="2" fillId="5" borderId="3" xfId="0" applyNumberFormat="1" applyFont="1" applyFill="1" applyBorder="1"/>
    <xf numFmtId="10" fontId="2" fillId="5" borderId="0" xfId="0" applyNumberFormat="1" applyFont="1" applyFill="1"/>
    <xf numFmtId="10" fontId="2" fillId="2" borderId="0" xfId="0" applyNumberFormat="1" applyFont="1" applyFill="1"/>
    <xf numFmtId="167" fontId="0" fillId="0" borderId="0" xfId="0" applyNumberFormat="1"/>
    <xf numFmtId="10" fontId="4" fillId="5" borderId="0" xfId="0" applyNumberFormat="1" applyFont="1" applyFill="1"/>
    <xf numFmtId="10" fontId="4" fillId="5" borderId="3" xfId="0" applyNumberFormat="1" applyFont="1" applyFill="1" applyBorder="1"/>
    <xf numFmtId="2" fontId="0" fillId="6" borderId="4" xfId="0" applyNumberFormat="1" applyFill="1" applyBorder="1"/>
    <xf numFmtId="2" fontId="0" fillId="6" borderId="1" xfId="0" applyNumberFormat="1" applyFill="1" applyBorder="1"/>
    <xf numFmtId="2" fontId="0" fillId="6" borderId="5" xfId="0" applyNumberFormat="1" applyFill="1" applyBorder="1"/>
    <xf numFmtId="2" fontId="0" fillId="6" borderId="0" xfId="0" applyNumberFormat="1" applyFill="1"/>
    <xf numFmtId="2" fontId="4" fillId="6" borderId="0" xfId="0" applyNumberFormat="1" applyFont="1" applyFill="1"/>
    <xf numFmtId="10" fontId="0" fillId="6" borderId="4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0" xfId="2" applyNumberFormat="1" applyFont="1" applyFill="1" applyBorder="1" applyAlignment="1">
      <alignment horizontal="center" vertical="center"/>
    </xf>
    <xf numFmtId="10" fontId="4" fillId="6" borderId="0" xfId="2" applyNumberFormat="1" applyFont="1" applyFill="1" applyBorder="1" applyAlignment="1">
      <alignment horizontal="center" vertical="center"/>
    </xf>
    <xf numFmtId="0" fontId="2" fillId="6" borderId="0" xfId="0" applyFont="1" applyFill="1"/>
    <xf numFmtId="10" fontId="2" fillId="6" borderId="0" xfId="0" applyNumberFormat="1" applyFont="1" applyFill="1"/>
    <xf numFmtId="164" fontId="2" fillId="6" borderId="0" xfId="0" applyNumberFormat="1" applyFont="1" applyFill="1"/>
    <xf numFmtId="0" fontId="0" fillId="6" borderId="0" xfId="0" applyFill="1"/>
    <xf numFmtId="164" fontId="0" fillId="6" borderId="0" xfId="0" applyNumberFormat="1" applyFill="1"/>
    <xf numFmtId="164" fontId="0" fillId="6" borderId="0" xfId="1" applyNumberFormat="1" applyFont="1" applyFill="1"/>
    <xf numFmtId="164" fontId="2" fillId="6" borderId="0" xfId="1" applyNumberFormat="1" applyFont="1" applyFill="1"/>
    <xf numFmtId="0" fontId="11" fillId="6" borderId="0" xfId="0" applyFont="1" applyFill="1" applyAlignment="1">
      <alignment horizontal="right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3" borderId="0" xfId="0" applyFont="1" applyFill="1"/>
    <xf numFmtId="0" fontId="10" fillId="3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2" fontId="0" fillId="0" borderId="7" xfId="0" applyNumberFormat="1" applyBorder="1"/>
    <xf numFmtId="0" fontId="0" fillId="7" borderId="7" xfId="0" applyFill="1" applyBorder="1"/>
    <xf numFmtId="0" fontId="2" fillId="7" borderId="7" xfId="0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 vertical="center"/>
    </xf>
    <xf numFmtId="164" fontId="2" fillId="7" borderId="7" xfId="1" applyNumberFormat="1" applyFont="1" applyFill="1" applyBorder="1"/>
    <xf numFmtId="0" fontId="2" fillId="7" borderId="7" xfId="0" applyFont="1" applyFill="1" applyBorder="1"/>
    <xf numFmtId="170" fontId="2" fillId="7" borderId="7" xfId="0" applyNumberFormat="1" applyFont="1" applyFill="1" applyBorder="1"/>
    <xf numFmtId="170" fontId="0" fillId="0" borderId="0" xfId="0" applyNumberFormat="1"/>
    <xf numFmtId="170" fontId="0" fillId="7" borderId="7" xfId="0" applyNumberFormat="1" applyFill="1" applyBorder="1"/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2" fillId="7" borderId="0" xfId="0" applyFont="1" applyFill="1" applyAlignment="1">
      <alignment horizontal="center" vertical="center"/>
    </xf>
    <xf numFmtId="0" fontId="12" fillId="8" borderId="0" xfId="0" applyFont="1" applyFill="1"/>
    <xf numFmtId="0" fontId="0" fillId="8" borderId="0" xfId="0" applyFill="1"/>
    <xf numFmtId="164" fontId="0" fillId="8" borderId="0" xfId="0" applyNumberFormat="1" applyFill="1"/>
    <xf numFmtId="0" fontId="2" fillId="8" borderId="0" xfId="0" applyFont="1" applyFill="1"/>
    <xf numFmtId="164" fontId="2" fillId="8" borderId="0" xfId="0" applyNumberFormat="1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4" borderId="0" xfId="0" applyFont="1" applyFill="1"/>
    <xf numFmtId="0" fontId="13" fillId="4" borderId="0" xfId="0" applyFont="1" applyFill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3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166846</xdr:colOff>
      <xdr:row>4</xdr:row>
      <xdr:rowOff>-1</xdr:rowOff>
    </xdr:from>
    <xdr:to>
      <xdr:col>24</xdr:col>
      <xdr:colOff>437547</xdr:colOff>
      <xdr:row>17</xdr:row>
      <xdr:rowOff>111124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13984-E7B2-5ED6-02DC-32ACFE7EE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6909" y="944562"/>
          <a:ext cx="7604951" cy="2484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9674-2DF8-49A4-82EC-C116ED130362}">
  <dimension ref="B1:S19"/>
  <sheetViews>
    <sheetView showGridLines="0" zoomScale="80" zoomScaleNormal="80" workbookViewId="0">
      <selection activeCell="P21" sqref="P21"/>
    </sheetView>
  </sheetViews>
  <sheetFormatPr defaultRowHeight="14.5" x14ac:dyDescent="0.35"/>
  <cols>
    <col min="1" max="1" width="1.81640625" customWidth="1"/>
  </cols>
  <sheetData>
    <row r="1" spans="2:19" ht="31" x14ac:dyDescent="0.7">
      <c r="B1" s="110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3" spans="2:19" ht="14.5" customHeight="1" x14ac:dyDescent="0.35">
      <c r="B3" s="111" t="s">
        <v>172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07"/>
      <c r="N3" s="107"/>
      <c r="O3" s="107"/>
      <c r="P3" s="107"/>
      <c r="Q3" s="108"/>
      <c r="R3" s="108"/>
      <c r="S3" s="108"/>
    </row>
    <row r="4" spans="2:19" x14ac:dyDescent="0.35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07"/>
      <c r="N4" s="107"/>
      <c r="O4" s="107"/>
      <c r="P4" s="107"/>
      <c r="Q4" s="108"/>
      <c r="R4" s="108"/>
      <c r="S4" s="108"/>
    </row>
    <row r="5" spans="2:19" x14ac:dyDescent="0.35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07"/>
      <c r="N5" s="107"/>
      <c r="O5" s="107"/>
      <c r="P5" s="107"/>
      <c r="Q5" s="108"/>
      <c r="R5" s="108"/>
      <c r="S5" s="108"/>
    </row>
    <row r="6" spans="2:19" ht="14.5" customHeight="1" x14ac:dyDescent="0.35"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07"/>
      <c r="N6" s="107"/>
      <c r="O6" s="107"/>
      <c r="P6" s="107"/>
      <c r="Q6" s="108"/>
      <c r="R6" s="108"/>
      <c r="S6" s="108"/>
    </row>
    <row r="7" spans="2:19" x14ac:dyDescent="0.35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07"/>
      <c r="N7" s="107"/>
      <c r="O7" s="107"/>
      <c r="P7" s="107"/>
      <c r="Q7" s="108"/>
      <c r="R7" s="108"/>
      <c r="S7" s="108"/>
    </row>
    <row r="8" spans="2:19" x14ac:dyDescent="0.35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07"/>
      <c r="N8" s="107"/>
      <c r="O8" s="107"/>
      <c r="P8" s="107"/>
      <c r="Q8" s="107"/>
      <c r="R8" s="107"/>
      <c r="S8" s="107"/>
    </row>
    <row r="9" spans="2:19" x14ac:dyDescent="0.35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07"/>
      <c r="N9" s="107"/>
      <c r="O9" s="107"/>
      <c r="P9" s="107"/>
      <c r="Q9" s="107"/>
      <c r="R9" s="107"/>
      <c r="S9" s="107"/>
    </row>
    <row r="10" spans="2:19" x14ac:dyDescent="0.35"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</row>
    <row r="11" spans="2:19" x14ac:dyDescent="0.35"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</row>
    <row r="12" spans="2:19" x14ac:dyDescent="0.35"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</row>
    <row r="13" spans="2:19" x14ac:dyDescent="0.35"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</row>
    <row r="14" spans="2:19" x14ac:dyDescent="0.35"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</row>
    <row r="15" spans="2:19" x14ac:dyDescent="0.35"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</row>
    <row r="16" spans="2:19" x14ac:dyDescent="0.35"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</row>
    <row r="17" spans="2:12" x14ac:dyDescent="0.35"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</row>
    <row r="18" spans="2:12" x14ac:dyDescent="0.35"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</row>
    <row r="19" spans="2:12" x14ac:dyDescent="0.35"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</row>
  </sheetData>
  <mergeCells count="1">
    <mergeCell ref="B3:L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9"/>
  <sheetViews>
    <sheetView showGridLines="0" tabSelected="1" topLeftCell="A30" zoomScale="80" zoomScaleNormal="80" workbookViewId="0">
      <selection activeCell="G45" sqref="G45"/>
    </sheetView>
  </sheetViews>
  <sheetFormatPr defaultRowHeight="14.5" x14ac:dyDescent="0.35"/>
  <cols>
    <col min="1" max="1" width="1.81640625" customWidth="1"/>
    <col min="2" max="2" width="34.7265625" customWidth="1"/>
    <col min="3" max="3" width="14.1796875" bestFit="1" customWidth="1"/>
    <col min="4" max="4" width="12.1796875" bestFit="1" customWidth="1"/>
    <col min="5" max="5" width="12.26953125" bestFit="1" customWidth="1"/>
    <col min="6" max="6" width="12.81640625" bestFit="1" customWidth="1"/>
    <col min="7" max="7" width="12.26953125" bestFit="1" customWidth="1"/>
    <col min="9" max="9" width="11.6328125" bestFit="1" customWidth="1"/>
    <col min="10" max="13" width="10.54296875" bestFit="1" customWidth="1"/>
  </cols>
  <sheetData>
    <row r="1" spans="2:14" ht="26" x14ac:dyDescent="0.6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2:14" ht="21" x14ac:dyDescent="0.5">
      <c r="B2" s="35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4" x14ac:dyDescent="0.35">
      <c r="B3" s="36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4" x14ac:dyDescent="0.35">
      <c r="B4" s="1"/>
    </row>
    <row r="5" spans="2:14" x14ac:dyDescent="0.35">
      <c r="B5" s="102" t="s">
        <v>45</v>
      </c>
      <c r="C5" s="101">
        <v>1</v>
      </c>
    </row>
    <row r="7" spans="2:14" x14ac:dyDescent="0.35">
      <c r="D7" s="116" t="s">
        <v>3</v>
      </c>
      <c r="E7" s="116"/>
      <c r="F7" s="116"/>
      <c r="G7" s="116"/>
      <c r="H7" s="2" t="s">
        <v>4</v>
      </c>
      <c r="I7" s="116" t="s">
        <v>18</v>
      </c>
      <c r="J7" s="116"/>
      <c r="K7" s="116"/>
      <c r="L7" s="116"/>
      <c r="M7" s="116"/>
      <c r="N7" s="2" t="s">
        <v>4</v>
      </c>
    </row>
    <row r="8" spans="2:14" x14ac:dyDescent="0.35">
      <c r="D8" s="8">
        <v>2021</v>
      </c>
      <c r="E8" s="8">
        <v>2022</v>
      </c>
      <c r="F8" s="8">
        <v>2023</v>
      </c>
      <c r="G8" s="8">
        <v>2024</v>
      </c>
      <c r="H8" s="2" t="s">
        <v>5</v>
      </c>
      <c r="I8" s="3">
        <v>2025</v>
      </c>
      <c r="J8" s="3">
        <f>I8+1</f>
        <v>2026</v>
      </c>
      <c r="K8" s="3">
        <f t="shared" ref="K8:M8" si="0">J8+1</f>
        <v>2027</v>
      </c>
      <c r="L8" s="3">
        <f t="shared" si="0"/>
        <v>2028</v>
      </c>
      <c r="M8" s="3">
        <f t="shared" si="0"/>
        <v>2029</v>
      </c>
      <c r="N8" s="2" t="s">
        <v>68</v>
      </c>
    </row>
    <row r="9" spans="2:14" x14ac:dyDescent="0.35">
      <c r="B9" s="3" t="s">
        <v>6</v>
      </c>
      <c r="D9" s="4">
        <v>1641770</v>
      </c>
      <c r="E9" s="4">
        <v>1917540</v>
      </c>
      <c r="F9" s="4">
        <v>2254580</v>
      </c>
      <c r="G9" s="4">
        <v>2408930</v>
      </c>
      <c r="H9" s="6">
        <f>_xlfn.RRI(3,D9,G9)</f>
        <v>0.13632864555506408</v>
      </c>
      <c r="I9" s="26">
        <f>G9*(1+I51)</f>
        <v>2673912.3000000003</v>
      </c>
      <c r="J9" s="26">
        <f>I9*(1+J51)</f>
        <v>2968042.6530000004</v>
      </c>
      <c r="K9" s="26">
        <f>J9*(1+K51)</f>
        <v>3264846.9183000005</v>
      </c>
      <c r="L9" s="26">
        <f>K9*(1+L51)</f>
        <v>3591331.6101300009</v>
      </c>
      <c r="M9" s="26">
        <f>L9*(1+M51)</f>
        <v>3914551.4550417014</v>
      </c>
      <c r="N9" s="6">
        <f>_xlfn.RRI(5,G9,M9)</f>
        <v>0.10197455133279387</v>
      </c>
    </row>
    <row r="10" spans="2:14" x14ac:dyDescent="0.35">
      <c r="B10" s="1" t="s">
        <v>7</v>
      </c>
      <c r="D10" s="5" t="s">
        <v>8</v>
      </c>
      <c r="E10" s="6">
        <f>E9/D9-1</f>
        <v>0.1679711530847805</v>
      </c>
      <c r="F10" s="6">
        <f t="shared" ref="F10:G10" si="1">F9/E9-1</f>
        <v>0.17576686796624852</v>
      </c>
      <c r="G10" s="6">
        <f t="shared" si="1"/>
        <v>6.8460644554639849E-2</v>
      </c>
      <c r="H10" s="6"/>
      <c r="I10" s="6">
        <f>I9/G9-1</f>
        <v>0.1100000000000001</v>
      </c>
      <c r="J10" s="6">
        <f>J9/I9-1</f>
        <v>0.1100000000000001</v>
      </c>
      <c r="K10" s="6">
        <f t="shared" ref="K10:M10" si="2">K9/J9-1</f>
        <v>0.10000000000000009</v>
      </c>
      <c r="L10" s="6">
        <f t="shared" si="2"/>
        <v>0.10000000000000009</v>
      </c>
      <c r="M10" s="6">
        <f t="shared" si="2"/>
        <v>9.000000000000008E-2</v>
      </c>
    </row>
    <row r="11" spans="2:14" x14ac:dyDescent="0.35">
      <c r="B11" t="s">
        <v>9</v>
      </c>
      <c r="D11" s="4">
        <v>868750</v>
      </c>
      <c r="E11" s="4">
        <v>1002670</v>
      </c>
      <c r="F11" s="4">
        <v>1197590</v>
      </c>
      <c r="G11" s="4">
        <v>1328710</v>
      </c>
      <c r="H11" s="6"/>
      <c r="I11" s="26">
        <f>I9*I52</f>
        <v>1363695.2730000003</v>
      </c>
      <c r="J11" s="26">
        <f>J9*J52</f>
        <v>1513701.7530300003</v>
      </c>
      <c r="K11" s="26">
        <f>K9*K52</f>
        <v>1665071.9283330003</v>
      </c>
      <c r="L11" s="26">
        <f>L9*L52</f>
        <v>1831579.1211663005</v>
      </c>
      <c r="M11" s="26">
        <f>M9*M52</f>
        <v>1996421.2420712677</v>
      </c>
    </row>
    <row r="12" spans="2:14" x14ac:dyDescent="0.35">
      <c r="B12" s="3" t="s">
        <v>10</v>
      </c>
      <c r="D12" s="7">
        <f>D9-D11</f>
        <v>773020</v>
      </c>
      <c r="E12" s="7">
        <f t="shared" ref="E12:G12" si="3">E9-E11</f>
        <v>914870</v>
      </c>
      <c r="F12" s="7">
        <f t="shared" si="3"/>
        <v>1056990</v>
      </c>
      <c r="G12" s="7">
        <f t="shared" si="3"/>
        <v>1080220</v>
      </c>
      <c r="H12" s="6">
        <f>_xlfn.RRI(3,D12,G12)</f>
        <v>0.1179966301311679</v>
      </c>
      <c r="I12" s="7">
        <f>I9-I11</f>
        <v>1310217.027</v>
      </c>
      <c r="J12" s="7">
        <f t="shared" ref="J12:M12" si="4">J9-J11</f>
        <v>1454340.8999700001</v>
      </c>
      <c r="K12" s="7">
        <f t="shared" si="4"/>
        <v>1599774.9899670002</v>
      </c>
      <c r="L12" s="7">
        <f t="shared" si="4"/>
        <v>1759752.4889637004</v>
      </c>
      <c r="M12" s="7">
        <f t="shared" si="4"/>
        <v>1918130.2129704338</v>
      </c>
      <c r="N12" s="28">
        <f>_xlfn.RRI(5,G12,M12)</f>
        <v>0.12169084285787646</v>
      </c>
    </row>
    <row r="13" spans="2:14" x14ac:dyDescent="0.35">
      <c r="B13" s="1" t="s">
        <v>11</v>
      </c>
      <c r="D13" s="6">
        <f>D12/D9</f>
        <v>0.47084548992855274</v>
      </c>
      <c r="E13" s="6">
        <f t="shared" ref="E13:G13" si="5">E12/E9</f>
        <v>0.47710608383658226</v>
      </c>
      <c r="F13" s="6">
        <f t="shared" si="5"/>
        <v>0.46881902616008303</v>
      </c>
      <c r="G13" s="6">
        <f t="shared" si="5"/>
        <v>0.4484231588298539</v>
      </c>
      <c r="I13" s="6">
        <f>I12/I9</f>
        <v>0.48999999999999994</v>
      </c>
      <c r="J13" s="6">
        <f t="shared" ref="J13:M13" si="6">J12/J9</f>
        <v>0.49</v>
      </c>
      <c r="K13" s="6">
        <f t="shared" si="6"/>
        <v>0.49</v>
      </c>
      <c r="L13" s="6">
        <f t="shared" si="6"/>
        <v>0.49</v>
      </c>
      <c r="M13" s="6">
        <f t="shared" si="6"/>
        <v>0.49</v>
      </c>
    </row>
    <row r="14" spans="2:14" x14ac:dyDescent="0.35">
      <c r="B14" t="s">
        <v>12</v>
      </c>
      <c r="D14" s="4">
        <v>215110</v>
      </c>
      <c r="E14" s="4">
        <v>279090</v>
      </c>
      <c r="F14" s="4">
        <v>332270</v>
      </c>
      <c r="G14" s="4">
        <v>290430</v>
      </c>
      <c r="I14" s="26">
        <f>I9*I53</f>
        <v>320869.47600000008</v>
      </c>
      <c r="J14" s="26">
        <f>J9*J53</f>
        <v>356165.11836000008</v>
      </c>
      <c r="K14" s="26">
        <f>K9*K53</f>
        <v>391781.6301960001</v>
      </c>
      <c r="L14" s="26">
        <f>L9*L53</f>
        <v>430959.79321560013</v>
      </c>
      <c r="M14" s="26">
        <f>M9*M53</f>
        <v>469746.1746050042</v>
      </c>
    </row>
    <row r="15" spans="2:14" x14ac:dyDescent="0.35">
      <c r="B15" t="s">
        <v>13</v>
      </c>
      <c r="D15" s="4">
        <v>90440</v>
      </c>
      <c r="E15" s="4">
        <v>103860</v>
      </c>
      <c r="F15" s="4">
        <v>130730</v>
      </c>
      <c r="G15" s="4">
        <v>145690</v>
      </c>
      <c r="I15" s="26">
        <f>I9*I54</f>
        <v>133695.61499999999</v>
      </c>
      <c r="J15" s="26">
        <f>J9*J54</f>
        <v>148402.13265000001</v>
      </c>
      <c r="K15" s="26">
        <f>K9*K54</f>
        <v>163242.34591500001</v>
      </c>
      <c r="L15" s="26">
        <f>L9*L54</f>
        <v>179566.58050650003</v>
      </c>
      <c r="M15" s="26">
        <f>M9*M54</f>
        <v>195727.57275208505</v>
      </c>
    </row>
    <row r="16" spans="2:14" x14ac:dyDescent="0.35">
      <c r="B16" t="s">
        <v>15</v>
      </c>
      <c r="D16" s="4">
        <v>21323</v>
      </c>
      <c r="E16" s="4">
        <v>30136</v>
      </c>
      <c r="F16" s="4">
        <v>24541</v>
      </c>
      <c r="G16" s="4">
        <v>34452</v>
      </c>
      <c r="I16" s="26">
        <f>I9*I55</f>
        <v>41445.640650000001</v>
      </c>
      <c r="J16" s="26">
        <f>J9*J55</f>
        <v>46004.661121500008</v>
      </c>
      <c r="K16" s="26">
        <f>K9*K55</f>
        <v>50605.127233650004</v>
      </c>
      <c r="L16" s="26">
        <f>L9*L55</f>
        <v>55665.63995701501</v>
      </c>
      <c r="M16" s="26">
        <f>M9*M55</f>
        <v>60675.547553146374</v>
      </c>
    </row>
    <row r="17" spans="2:14" x14ac:dyDescent="0.35">
      <c r="B17" s="3" t="s">
        <v>14</v>
      </c>
      <c r="D17" s="7">
        <f>D12-D14-D15+D16</f>
        <v>488793</v>
      </c>
      <c r="E17" s="7">
        <f t="shared" ref="E17:G17" si="7">E12-E14-E15+E16</f>
        <v>562056</v>
      </c>
      <c r="F17" s="7">
        <f t="shared" si="7"/>
        <v>618531</v>
      </c>
      <c r="G17" s="7">
        <f t="shared" si="7"/>
        <v>678552</v>
      </c>
      <c r="H17" s="6">
        <f>_xlfn.RRI(3,D17,G17)</f>
        <v>0.11554232448814261</v>
      </c>
      <c r="I17" s="7">
        <f>I12-I14-I15+I16</f>
        <v>897097.57664999994</v>
      </c>
      <c r="J17" s="7">
        <f t="shared" ref="J17:M17" si="8">J12-J14-J15+J16</f>
        <v>995778.31008149986</v>
      </c>
      <c r="K17" s="7">
        <f t="shared" si="8"/>
        <v>1095356.1410896503</v>
      </c>
      <c r="L17" s="7">
        <f t="shared" si="8"/>
        <v>1204891.7551986151</v>
      </c>
      <c r="M17" s="7">
        <f t="shared" si="8"/>
        <v>1313332.0131664909</v>
      </c>
      <c r="N17" s="28">
        <f>_xlfn.RRI(5,G17,M17)</f>
        <v>0.14119084547858551</v>
      </c>
    </row>
    <row r="18" spans="2:14" x14ac:dyDescent="0.35">
      <c r="B18" s="1" t="s">
        <v>11</v>
      </c>
      <c r="D18" s="6">
        <f>D17/D9</f>
        <v>0.29772318899724076</v>
      </c>
      <c r="E18" s="6">
        <f t="shared" ref="E18:G18" si="9">E17/E9</f>
        <v>0.29311305109671765</v>
      </c>
      <c r="F18" s="6">
        <f t="shared" si="9"/>
        <v>0.27434422375786177</v>
      </c>
      <c r="G18" s="6">
        <f t="shared" si="9"/>
        <v>0.28168190856521358</v>
      </c>
      <c r="I18" s="6">
        <f>I17/I9</f>
        <v>0.33549999999999996</v>
      </c>
      <c r="J18" s="6">
        <f t="shared" ref="J18:M18" si="10">J17/J9</f>
        <v>0.33549999999999991</v>
      </c>
      <c r="K18" s="6">
        <f t="shared" si="10"/>
        <v>0.33550000000000008</v>
      </c>
      <c r="L18" s="6">
        <f t="shared" si="10"/>
        <v>0.33549999999999996</v>
      </c>
      <c r="M18" s="6">
        <f t="shared" si="10"/>
        <v>0.33550000000000002</v>
      </c>
    </row>
    <row r="19" spans="2:14" x14ac:dyDescent="0.35">
      <c r="B19" t="s">
        <v>16</v>
      </c>
      <c r="D19" s="4">
        <v>40650</v>
      </c>
      <c r="E19" s="4">
        <v>46040</v>
      </c>
      <c r="F19" s="4">
        <v>50220</v>
      </c>
      <c r="G19" s="4">
        <v>49850</v>
      </c>
      <c r="I19" s="26">
        <f>I9*I56</f>
        <v>56152.158300000003</v>
      </c>
      <c r="J19" s="26">
        <f>J9*J56</f>
        <v>62328.895713000005</v>
      </c>
      <c r="K19" s="26">
        <f>K9*K56</f>
        <v>68561.7852843</v>
      </c>
      <c r="L19" s="26">
        <f>L9*L56</f>
        <v>75417.963812730013</v>
      </c>
      <c r="M19" s="26">
        <f>M9*M56</f>
        <v>82205.580555875727</v>
      </c>
    </row>
    <row r="20" spans="2:14" x14ac:dyDescent="0.35">
      <c r="B20" s="3" t="s">
        <v>17</v>
      </c>
      <c r="D20" s="7">
        <f>D17-D19</f>
        <v>448143</v>
      </c>
      <c r="E20" s="7">
        <f t="shared" ref="E20:G20" si="11">E17-E19</f>
        <v>516016</v>
      </c>
      <c r="F20" s="7">
        <f t="shared" si="11"/>
        <v>568311</v>
      </c>
      <c r="G20" s="7">
        <f t="shared" si="11"/>
        <v>628702</v>
      </c>
      <c r="H20" s="6">
        <f>_xlfn.RRI(3,D20,G20)</f>
        <v>0.11946213447468934</v>
      </c>
      <c r="I20" s="7">
        <f>I17-I19</f>
        <v>840945.41834999993</v>
      </c>
      <c r="J20" s="7">
        <f t="shared" ref="J20:M20" si="12">J17-J19</f>
        <v>933449.41436849989</v>
      </c>
      <c r="K20" s="7">
        <f t="shared" si="12"/>
        <v>1026794.3558053504</v>
      </c>
      <c r="L20" s="7">
        <f t="shared" si="12"/>
        <v>1129473.7913858851</v>
      </c>
      <c r="M20" s="7">
        <f t="shared" si="12"/>
        <v>1231126.4326106152</v>
      </c>
      <c r="N20" s="28">
        <f>_xlfn.RRI(5,G20,M20)</f>
        <v>0.14385654837680062</v>
      </c>
    </row>
    <row r="21" spans="2:14" x14ac:dyDescent="0.35">
      <c r="B21" t="s">
        <v>11</v>
      </c>
      <c r="D21" s="6">
        <f>D20/D9</f>
        <v>0.27296332616627178</v>
      </c>
      <c r="E21" s="6">
        <f t="shared" ref="E21:G21" si="13">E20/E9</f>
        <v>0.26910312170802175</v>
      </c>
      <c r="F21" s="6">
        <f t="shared" si="13"/>
        <v>0.25206956506311595</v>
      </c>
      <c r="G21" s="6">
        <f t="shared" si="13"/>
        <v>0.26098807354302533</v>
      </c>
      <c r="I21" s="6">
        <f>I20/I9</f>
        <v>0.31449999999999995</v>
      </c>
      <c r="J21" s="6">
        <f t="shared" ref="J21:M21" si="14">J20/J9</f>
        <v>0.31449999999999995</v>
      </c>
      <c r="K21" s="6">
        <f t="shared" si="14"/>
        <v>0.31450000000000006</v>
      </c>
      <c r="L21" s="6">
        <f t="shared" si="14"/>
        <v>0.31449999999999995</v>
      </c>
      <c r="M21" s="6">
        <f t="shared" si="14"/>
        <v>0.3145</v>
      </c>
    </row>
    <row r="22" spans="2:14" x14ac:dyDescent="0.35">
      <c r="B22" t="s">
        <v>62</v>
      </c>
      <c r="D22" s="6">
        <f>IFERROR(D58,0)</f>
        <v>0.25169999999999998</v>
      </c>
      <c r="E22" s="6">
        <f t="shared" ref="E22:G22" si="15">IFERROR(E58,0)</f>
        <v>0.25169999999999998</v>
      </c>
      <c r="F22" s="6">
        <f t="shared" si="15"/>
        <v>0.25169999999999998</v>
      </c>
      <c r="G22" s="6">
        <f t="shared" si="15"/>
        <v>0.25169999999999998</v>
      </c>
      <c r="I22" s="6">
        <f>IFERROR(I58,0)</f>
        <v>0.25169999999999998</v>
      </c>
      <c r="J22" s="6">
        <f t="shared" ref="J22:M22" si="16">IFERROR(J58,0)</f>
        <v>0.25169999999999998</v>
      </c>
      <c r="K22" s="6">
        <f t="shared" si="16"/>
        <v>0.25169999999999998</v>
      </c>
      <c r="L22" s="6">
        <f t="shared" si="16"/>
        <v>0.25169999999999998</v>
      </c>
      <c r="M22" s="6">
        <f t="shared" si="16"/>
        <v>0.25169999999999998</v>
      </c>
    </row>
    <row r="23" spans="2:14" x14ac:dyDescent="0.35">
      <c r="B23" t="s">
        <v>63</v>
      </c>
      <c r="E23" s="26">
        <f>E20*(1-E22)</f>
        <v>386134.77279999998</v>
      </c>
      <c r="F23" s="26">
        <f t="shared" ref="F23:G23" si="17">F20*(1-F22)</f>
        <v>425267.1213</v>
      </c>
      <c r="G23" s="26">
        <f t="shared" si="17"/>
        <v>470457.70659999998</v>
      </c>
      <c r="I23" s="26">
        <f>I20*(1-I22)</f>
        <v>629279.4565513049</v>
      </c>
      <c r="J23" s="26">
        <f t="shared" ref="J23:M23" si="18">J20*(1-J22)</f>
        <v>698500.19677194848</v>
      </c>
      <c r="K23" s="26">
        <f t="shared" si="18"/>
        <v>768350.2164491436</v>
      </c>
      <c r="L23" s="26">
        <f t="shared" si="18"/>
        <v>845185.23809405777</v>
      </c>
      <c r="M23" s="26">
        <f t="shared" si="18"/>
        <v>921251.90952252329</v>
      </c>
    </row>
    <row r="24" spans="2:14" x14ac:dyDescent="0.35">
      <c r="B24" t="s">
        <v>64</v>
      </c>
      <c r="D24" s="27" t="s">
        <v>8</v>
      </c>
      <c r="E24" s="4">
        <f t="shared" ref="E24:G24" si="19">IFERROR(E19,0)</f>
        <v>46040</v>
      </c>
      <c r="F24" s="4">
        <f t="shared" si="19"/>
        <v>50220</v>
      </c>
      <c r="G24" s="4">
        <f t="shared" si="19"/>
        <v>49850</v>
      </c>
      <c r="I24" s="4">
        <f>IFERROR(I19,0)</f>
        <v>56152.158300000003</v>
      </c>
      <c r="J24" s="4">
        <f t="shared" ref="J24:M24" si="20">IFERROR(J19,0)</f>
        <v>62328.895713000005</v>
      </c>
      <c r="K24" s="4">
        <f t="shared" si="20"/>
        <v>68561.7852843</v>
      </c>
      <c r="L24" s="4">
        <f t="shared" si="20"/>
        <v>75417.963812730013</v>
      </c>
      <c r="M24" s="4">
        <f t="shared" si="20"/>
        <v>82205.580555875727</v>
      </c>
    </row>
    <row r="25" spans="2:14" x14ac:dyDescent="0.35">
      <c r="B25" t="s">
        <v>65</v>
      </c>
      <c r="D25" s="27" t="s">
        <v>8</v>
      </c>
      <c r="E25" s="26">
        <f>-E9*E57</f>
        <v>-28763.1</v>
      </c>
      <c r="F25" s="26">
        <f>-F9*F57</f>
        <v>-31564.12</v>
      </c>
      <c r="G25" s="26">
        <f>-G9*G57</f>
        <v>-26498.23</v>
      </c>
      <c r="I25" s="4">
        <f>-I9*I57</f>
        <v>-32086.947600000003</v>
      </c>
      <c r="J25" s="4">
        <f>-J9*J57</f>
        <v>-35616.511836000005</v>
      </c>
      <c r="K25" s="4">
        <f>-K9*K57</f>
        <v>-39178.163019600004</v>
      </c>
      <c r="L25" s="4">
        <f>-L9*L57</f>
        <v>-43095.979321560015</v>
      </c>
      <c r="M25" s="4">
        <f>-M9*M57</f>
        <v>-46974.61746050042</v>
      </c>
    </row>
    <row r="26" spans="2:14" x14ac:dyDescent="0.35">
      <c r="B26" t="s">
        <v>66</v>
      </c>
      <c r="D26" s="27" t="s">
        <v>8</v>
      </c>
      <c r="E26" s="4">
        <f>IFERROR(NWC!E27,0)</f>
        <v>47640</v>
      </c>
      <c r="F26" s="4">
        <f>IFERROR(NWC!F27,0)</f>
        <v>-60940</v>
      </c>
      <c r="G26" s="4">
        <f>IFERROR(NWC!G27,0)</f>
        <v>17240</v>
      </c>
      <c r="I26" s="4">
        <f>IFERROR(NWC!I27,0)</f>
        <v>-221231.30228876742</v>
      </c>
      <c r="J26" s="4">
        <f>IFERROR(NWC!J27,0)</f>
        <v>-87995.743251764332</v>
      </c>
      <c r="K26" s="4">
        <f>IFERROR(NWC!K27,0)</f>
        <v>-88795.70455405314</v>
      </c>
      <c r="L26" s="4">
        <f>IFERROR(NWC!L27,0)</f>
        <v>-97675.275009458652</v>
      </c>
      <c r="M26" s="4">
        <f>IFERROR(NWC!M27,0)</f>
        <v>-96698.522259363905</v>
      </c>
    </row>
    <row r="27" spans="2:14" x14ac:dyDescent="0.35">
      <c r="D27" s="27"/>
      <c r="E27" s="4"/>
      <c r="F27" s="4"/>
      <c r="G27" s="4"/>
    </row>
    <row r="28" spans="2:14" x14ac:dyDescent="0.35">
      <c r="B28" s="105" t="s">
        <v>67</v>
      </c>
      <c r="C28" s="103"/>
      <c r="D28" s="103"/>
      <c r="E28" s="104">
        <f>SUM(E23:E26)</f>
        <v>451051.6728</v>
      </c>
      <c r="F28" s="104">
        <f>SUM(F23:F26)</f>
        <v>382983.0013</v>
      </c>
      <c r="G28" s="104">
        <f>SUM(G23:G26)</f>
        <v>511049.47659999999</v>
      </c>
      <c r="H28" s="103"/>
      <c r="I28" s="104">
        <f>SUM(I23:I26)</f>
        <v>432113.36496253754</v>
      </c>
      <c r="J28" s="104">
        <f>SUM(J23:J26)</f>
        <v>637216.83739718411</v>
      </c>
      <c r="K28" s="104">
        <f>SUM(K23:K26)</f>
        <v>708938.13415979047</v>
      </c>
      <c r="L28" s="104">
        <f>SUM(L23:L26)</f>
        <v>779831.94757576915</v>
      </c>
      <c r="M28" s="104">
        <f>SUM(M23:M26)</f>
        <v>859784.3503585346</v>
      </c>
    </row>
    <row r="30" spans="2:14" x14ac:dyDescent="0.35">
      <c r="B30" t="s">
        <v>119</v>
      </c>
      <c r="C30" s="6">
        <f>IFERROR(WACC!C27,0)</f>
        <v>8.1769666468390734E-2</v>
      </c>
    </row>
    <row r="31" spans="2:14" x14ac:dyDescent="0.35">
      <c r="B31" t="s">
        <v>120</v>
      </c>
      <c r="I31">
        <v>0.5</v>
      </c>
      <c r="J31">
        <v>1</v>
      </c>
      <c r="K31">
        <v>1.5</v>
      </c>
      <c r="L31">
        <v>2</v>
      </c>
      <c r="M31">
        <v>2.5</v>
      </c>
    </row>
    <row r="32" spans="2:14" x14ac:dyDescent="0.35">
      <c r="B32" t="s">
        <v>121</v>
      </c>
      <c r="I32" s="58">
        <f>1/(1+$C$30)^I31</f>
        <v>0.96146305397372445</v>
      </c>
      <c r="J32" s="58">
        <f t="shared" ref="J32:M32" si="21">1/(1+$C$30)^J31</f>
        <v>0.92441120415648115</v>
      </c>
      <c r="K32" s="58">
        <f t="shared" si="21"/>
        <v>0.88878721947581862</v>
      </c>
      <c r="L32" s="58">
        <f t="shared" si="21"/>
        <v>0.85453607437003554</v>
      </c>
      <c r="M32" s="58">
        <f t="shared" si="21"/>
        <v>0.82160486379453213</v>
      </c>
    </row>
    <row r="34" spans="2:13" x14ac:dyDescent="0.35">
      <c r="B34" s="105" t="s">
        <v>122</v>
      </c>
      <c r="C34" s="105"/>
      <c r="D34" s="105"/>
      <c r="E34" s="105"/>
      <c r="F34" s="105"/>
      <c r="G34" s="105"/>
      <c r="H34" s="105"/>
      <c r="I34" s="106">
        <f>I28*I32</f>
        <v>415461.0355397439</v>
      </c>
      <c r="J34" s="106">
        <f>J28*J32</f>
        <v>589050.38396711566</v>
      </c>
      <c r="K34" s="106">
        <f>K28*K32</f>
        <v>630095.15304025507</v>
      </c>
      <c r="L34" s="106">
        <f>L28*L32</f>
        <v>666394.53114973707</v>
      </c>
      <c r="M34" s="106">
        <f>M28*M32</f>
        <v>706403.00406899408</v>
      </c>
    </row>
    <row r="36" spans="2:13" x14ac:dyDescent="0.35">
      <c r="B36" s="115" t="s">
        <v>123</v>
      </c>
      <c r="C36" s="115"/>
      <c r="G36" s="115" t="s">
        <v>133</v>
      </c>
      <c r="H36" s="115"/>
      <c r="I36" s="115"/>
      <c r="J36" s="115"/>
      <c r="K36" s="115"/>
      <c r="L36" s="115"/>
      <c r="M36" s="115"/>
    </row>
    <row r="37" spans="2:13" x14ac:dyDescent="0.35">
      <c r="B37" s="71" t="s">
        <v>124</v>
      </c>
      <c r="C37" s="72">
        <v>0.03</v>
      </c>
      <c r="I37" s="117" t="s">
        <v>134</v>
      </c>
      <c r="J37" s="117"/>
      <c r="K37" s="117"/>
      <c r="L37" s="117"/>
      <c r="M37" s="117"/>
    </row>
    <row r="38" spans="2:13" x14ac:dyDescent="0.35">
      <c r="B38" s="71" t="s">
        <v>125</v>
      </c>
      <c r="C38" s="73">
        <f>M28*(1+C37)/(C30-C37)</f>
        <v>17106115.246270757</v>
      </c>
      <c r="H38" s="14">
        <f>C46</f>
        <v>4730.2674436665466</v>
      </c>
      <c r="I38" s="56">
        <v>6.1499999999999999E-2</v>
      </c>
      <c r="J38" s="56">
        <v>7.1499999999999994E-2</v>
      </c>
      <c r="K38" s="59">
        <v>8.1799999999999998E-2</v>
      </c>
      <c r="L38" s="56">
        <v>9.1499999999999998E-2</v>
      </c>
      <c r="M38" s="56">
        <v>0.10150000000000001</v>
      </c>
    </row>
    <row r="39" spans="2:13" x14ac:dyDescent="0.35">
      <c r="B39" s="74" t="s">
        <v>126</v>
      </c>
      <c r="C39" s="75">
        <f>SUM(I34:M34)</f>
        <v>3007404.1077658455</v>
      </c>
      <c r="G39" s="113" t="s">
        <v>135</v>
      </c>
      <c r="H39" s="55">
        <v>0.01</v>
      </c>
      <c r="I39" s="61">
        <f t="dataTable" ref="I39:M43" dt2D="1" dtr="1" r1="C30" r2="C37"/>
        <v>4885.97001738177</v>
      </c>
      <c r="J39" s="62">
        <v>4142.4409728268001</v>
      </c>
      <c r="K39" s="62">
        <v>3591.9773984172862</v>
      </c>
      <c r="L39" s="62">
        <v>3199.887055728303</v>
      </c>
      <c r="M39" s="62">
        <v>2881.9089421170715</v>
      </c>
    </row>
    <row r="40" spans="2:13" x14ac:dyDescent="0.35">
      <c r="B40" s="74" t="s">
        <v>127</v>
      </c>
      <c r="C40" s="75">
        <f>C38*M32</f>
        <v>14054467.486965856</v>
      </c>
      <c r="G40" s="114"/>
      <c r="H40" s="55">
        <v>0.02</v>
      </c>
      <c r="I40" s="63">
        <v>5902.6286310766609</v>
      </c>
      <c r="J40" s="64">
        <v>4818.8974509931722</v>
      </c>
      <c r="K40" s="64">
        <v>4067.9446615302877</v>
      </c>
      <c r="L40" s="64">
        <v>3557.4983343728263</v>
      </c>
      <c r="M40" s="64">
        <v>3157.5570483088045</v>
      </c>
    </row>
    <row r="41" spans="2:13" x14ac:dyDescent="0.35">
      <c r="B41" s="71" t="s">
        <v>128</v>
      </c>
      <c r="C41" s="73">
        <f>SUM(C39:C40)</f>
        <v>17061871.5947317</v>
      </c>
      <c r="G41" s="114"/>
      <c r="H41" s="60">
        <v>0.03</v>
      </c>
      <c r="I41" s="63">
        <v>7564.7847772762425</v>
      </c>
      <c r="J41" s="64">
        <v>5821.3570511674325</v>
      </c>
      <c r="K41" s="65">
        <v>4727.683068702363</v>
      </c>
      <c r="L41" s="64">
        <v>4031.405963796054</v>
      </c>
      <c r="M41" s="64">
        <v>3510.3095198688529</v>
      </c>
    </row>
    <row r="42" spans="2:13" x14ac:dyDescent="0.35">
      <c r="B42" s="74" t="s">
        <v>129</v>
      </c>
      <c r="C42" s="76">
        <v>132860</v>
      </c>
      <c r="G42" s="114"/>
      <c r="H42" s="55">
        <v>0.04</v>
      </c>
      <c r="I42" s="63">
        <v>10773.132687382413</v>
      </c>
      <c r="J42" s="64">
        <v>7460.2989371666208</v>
      </c>
      <c r="K42" s="64">
        <v>5703.0857855261484</v>
      </c>
      <c r="L42" s="64">
        <v>4689.3553910535466</v>
      </c>
      <c r="M42" s="64">
        <v>3977.7782423427402</v>
      </c>
    </row>
    <row r="43" spans="2:13" x14ac:dyDescent="0.35">
      <c r="B43" s="74" t="s">
        <v>130</v>
      </c>
      <c r="C43" s="76">
        <f>WACC!C5</f>
        <v>80210</v>
      </c>
      <c r="G43" s="114"/>
      <c r="H43" s="55">
        <v>0.05</v>
      </c>
      <c r="I43" s="63">
        <v>19561.216093325405</v>
      </c>
      <c r="J43" s="64">
        <v>10623.837926420869</v>
      </c>
      <c r="K43" s="64">
        <v>7291.9493305409951</v>
      </c>
      <c r="L43" s="64">
        <v>5664.3888796399506</v>
      </c>
      <c r="M43" s="64">
        <v>4626.7882162627957</v>
      </c>
    </row>
    <row r="44" spans="2:13" x14ac:dyDescent="0.35">
      <c r="B44" s="71" t="s">
        <v>131</v>
      </c>
      <c r="C44" s="73">
        <f>C41+C42-C43</f>
        <v>17114521.5947317</v>
      </c>
    </row>
    <row r="45" spans="2:13" x14ac:dyDescent="0.35">
      <c r="B45" s="71" t="s">
        <v>132</v>
      </c>
      <c r="C45" s="71">
        <v>3618.0875179999998</v>
      </c>
    </row>
    <row r="46" spans="2:13" x14ac:dyDescent="0.35">
      <c r="B46" s="71" t="s">
        <v>137</v>
      </c>
      <c r="C46" s="73">
        <f>C44/C45</f>
        <v>4730.2674436665466</v>
      </c>
    </row>
    <row r="47" spans="2:13" x14ac:dyDescent="0.35">
      <c r="B47" s="71" t="s">
        <v>136</v>
      </c>
      <c r="C47" s="77">
        <v>3835</v>
      </c>
    </row>
    <row r="48" spans="2:13" x14ac:dyDescent="0.35">
      <c r="B48" s="71" t="s">
        <v>138</v>
      </c>
      <c r="C48" s="78" t="str">
        <f>IF(C46&gt;C47,"Undervalued","Overvalued")</f>
        <v>Undervalued</v>
      </c>
    </row>
    <row r="50" spans="2:13" x14ac:dyDescent="0.35">
      <c r="B50" s="17" t="s">
        <v>35</v>
      </c>
    </row>
    <row r="51" spans="2:13" x14ac:dyDescent="0.35">
      <c r="B51" s="20" t="s">
        <v>58</v>
      </c>
      <c r="C51" s="20"/>
      <c r="D51" s="29" t="s">
        <v>8</v>
      </c>
      <c r="E51" s="22">
        <f>IFERROR(E10,0)</f>
        <v>0.1679711530847805</v>
      </c>
      <c r="F51" s="22">
        <f t="shared" ref="F51:G51" si="22">IFERROR(F10,0)</f>
        <v>0.17576686796624852</v>
      </c>
      <c r="G51" s="22">
        <f t="shared" si="22"/>
        <v>6.8460644554639849E-2</v>
      </c>
      <c r="H51" s="20"/>
      <c r="I51" s="22">
        <f>IFERROR('AS1'!D7,0)</f>
        <v>0.11</v>
      </c>
      <c r="J51" s="22">
        <f>IFERROR('AS1'!E7,0)</f>
        <v>0.11</v>
      </c>
      <c r="K51" s="22">
        <f>IFERROR('AS1'!F7,0)</f>
        <v>0.1</v>
      </c>
      <c r="L51" s="22">
        <f>IFERROR('AS1'!G7,0)</f>
        <v>0.1</v>
      </c>
      <c r="M51" s="22">
        <f>IFERROR('AS1'!H7,0)</f>
        <v>9.0000000000000011E-2</v>
      </c>
    </row>
    <row r="52" spans="2:13" x14ac:dyDescent="0.35">
      <c r="B52" s="20" t="s">
        <v>59</v>
      </c>
      <c r="C52" s="20"/>
      <c r="D52" s="22">
        <f>D11/D9</f>
        <v>0.52915451007144731</v>
      </c>
      <c r="E52" s="22">
        <f t="shared" ref="E52:G52" si="23">E11/E9</f>
        <v>0.52289391616341774</v>
      </c>
      <c r="F52" s="22">
        <f t="shared" si="23"/>
        <v>0.53118097383991691</v>
      </c>
      <c r="G52" s="22">
        <f t="shared" si="23"/>
        <v>0.55157684117014605</v>
      </c>
      <c r="H52" s="20"/>
      <c r="I52" s="22">
        <f>IFERROR('AS1'!D12,0)</f>
        <v>0.51</v>
      </c>
      <c r="J52" s="22">
        <f>IFERROR('AS1'!E12,0)</f>
        <v>0.51</v>
      </c>
      <c r="K52" s="22">
        <f>IFERROR('AS1'!F12,0)</f>
        <v>0.51</v>
      </c>
      <c r="L52" s="22">
        <f>IFERROR('AS1'!G12,0)</f>
        <v>0.51</v>
      </c>
      <c r="M52" s="22">
        <f>IFERROR('AS1'!H12,0)</f>
        <v>0.51</v>
      </c>
    </row>
    <row r="53" spans="2:13" x14ac:dyDescent="0.35">
      <c r="B53" s="20" t="s">
        <v>52</v>
      </c>
      <c r="C53" s="20"/>
      <c r="D53" s="22">
        <f>D14/D9</f>
        <v>0.13102322493406507</v>
      </c>
      <c r="E53" s="22">
        <f t="shared" ref="E53:G53" si="24">E14/E9</f>
        <v>0.14554585562752276</v>
      </c>
      <c r="F53" s="22">
        <f t="shared" si="24"/>
        <v>0.1473755644066744</v>
      </c>
      <c r="G53" s="22">
        <f t="shared" si="24"/>
        <v>0.12056390181532879</v>
      </c>
      <c r="H53" s="20"/>
      <c r="I53" s="22">
        <f>IFERROR('AS1'!D17,0)</f>
        <v>0.12000000000000001</v>
      </c>
      <c r="J53" s="22">
        <f>IFERROR('AS1'!E17,0)</f>
        <v>0.12000000000000001</v>
      </c>
      <c r="K53" s="22">
        <f>IFERROR('AS1'!F17,0)</f>
        <v>0.12000000000000001</v>
      </c>
      <c r="L53" s="22">
        <f>IFERROR('AS1'!G17,0)</f>
        <v>0.12000000000000001</v>
      </c>
      <c r="M53" s="22">
        <f>IFERROR('AS1'!H17,0)</f>
        <v>0.12000000000000001</v>
      </c>
    </row>
    <row r="54" spans="2:13" x14ac:dyDescent="0.35">
      <c r="B54" s="20" t="s">
        <v>53</v>
      </c>
      <c r="C54" s="20"/>
      <c r="D54" s="22">
        <f>D15/D9</f>
        <v>5.5086887931927127E-2</v>
      </c>
      <c r="E54" s="22">
        <f t="shared" ref="E54:G54" si="25">E15/E9</f>
        <v>5.4163146531493477E-2</v>
      </c>
      <c r="F54" s="22">
        <f t="shared" si="25"/>
        <v>5.7984192177700504E-2</v>
      </c>
      <c r="G54" s="22">
        <f t="shared" si="25"/>
        <v>6.0479133889320157E-2</v>
      </c>
      <c r="H54" s="20"/>
      <c r="I54" s="22">
        <f>IFERROR('AS1'!D22,0)</f>
        <v>4.9999999999999996E-2</v>
      </c>
      <c r="J54" s="22">
        <f>IFERROR('AS1'!E22,0)</f>
        <v>4.9999999999999996E-2</v>
      </c>
      <c r="K54" s="22">
        <f>IFERROR('AS1'!F22,0)</f>
        <v>4.9999999999999996E-2</v>
      </c>
      <c r="L54" s="22">
        <f>IFERROR('AS1'!G22,0)</f>
        <v>4.9999999999999996E-2</v>
      </c>
      <c r="M54" s="22">
        <f>IFERROR('AS1'!H22,0)</f>
        <v>4.9999999999999996E-2</v>
      </c>
    </row>
    <row r="55" spans="2:13" x14ac:dyDescent="0.35">
      <c r="B55" s="20" t="s">
        <v>54</v>
      </c>
      <c r="C55" s="20"/>
      <c r="D55" s="22">
        <f>D16/D9</f>
        <v>1.2987811934680253E-2</v>
      </c>
      <c r="E55" s="22">
        <f t="shared" ref="E55:G55" si="26">E16/E9</f>
        <v>1.5715969419151623E-2</v>
      </c>
      <c r="F55" s="22">
        <f t="shared" si="26"/>
        <v>1.0884954182153661E-2</v>
      </c>
      <c r="G55" s="22">
        <f t="shared" si="26"/>
        <v>1.4301785440008635E-2</v>
      </c>
      <c r="H55" s="20"/>
      <c r="I55" s="22">
        <f>IFERROR('AS1'!D27,0)</f>
        <v>1.55E-2</v>
      </c>
      <c r="J55" s="22">
        <f>IFERROR('AS1'!E27,0)</f>
        <v>1.55E-2</v>
      </c>
      <c r="K55" s="22">
        <f>IFERROR('AS1'!F27,0)</f>
        <v>1.55E-2</v>
      </c>
      <c r="L55" s="22">
        <f>IFERROR('AS1'!G27,0)</f>
        <v>1.55E-2</v>
      </c>
      <c r="M55" s="22">
        <f>IFERROR('AS1'!H27,0)</f>
        <v>1.55E-2</v>
      </c>
    </row>
    <row r="56" spans="2:13" x14ac:dyDescent="0.35">
      <c r="B56" s="20" t="s">
        <v>55</v>
      </c>
      <c r="C56" s="20"/>
      <c r="D56" s="22">
        <f>D19/D9</f>
        <v>2.4759862830969016E-2</v>
      </c>
      <c r="E56" s="22">
        <f t="shared" ref="E56:G56" si="27">E19/E9</f>
        <v>2.4009929388695932E-2</v>
      </c>
      <c r="F56" s="22">
        <f t="shared" si="27"/>
        <v>2.2274658694745805E-2</v>
      </c>
      <c r="G56" s="22">
        <f t="shared" si="27"/>
        <v>2.0693835022188273E-2</v>
      </c>
      <c r="H56" s="20"/>
      <c r="I56" s="22">
        <f>IFERROR('AS1'!D32,0)</f>
        <v>2.0999999999999998E-2</v>
      </c>
      <c r="J56" s="22">
        <f>IFERROR('AS1'!E32,0)</f>
        <v>2.0999999999999998E-2</v>
      </c>
      <c r="K56" s="22">
        <f>IFERROR('AS1'!F32,0)</f>
        <v>2.0999999999999998E-2</v>
      </c>
      <c r="L56" s="22">
        <f>IFERROR('AS1'!G32,0)</f>
        <v>2.0999999999999998E-2</v>
      </c>
      <c r="M56" s="22">
        <f>IFERROR('AS1'!H32,0)</f>
        <v>2.0999999999999998E-2</v>
      </c>
    </row>
    <row r="57" spans="2:13" x14ac:dyDescent="0.35">
      <c r="B57" s="20" t="s">
        <v>57</v>
      </c>
      <c r="C57" s="20"/>
      <c r="D57" s="30">
        <v>1.9E-2</v>
      </c>
      <c r="E57" s="30">
        <v>1.4999999999999999E-2</v>
      </c>
      <c r="F57" s="30">
        <v>1.4E-2</v>
      </c>
      <c r="G57" s="30">
        <v>1.0999999999999999E-2</v>
      </c>
      <c r="H57" s="20"/>
      <c r="I57" s="31">
        <f>IFERROR('AS1'!D38,0)</f>
        <v>1.2E-2</v>
      </c>
      <c r="J57" s="31">
        <f>IFERROR('AS1'!E38,0)</f>
        <v>1.2E-2</v>
      </c>
      <c r="K57" s="31">
        <f>IFERROR('AS1'!F38,0)</f>
        <v>1.2E-2</v>
      </c>
      <c r="L57" s="31">
        <f>IFERROR('AS1'!G38,0)</f>
        <v>1.2E-2</v>
      </c>
      <c r="M57" s="31">
        <f>IFERROR('AS1'!H38,0)</f>
        <v>1.2E-2</v>
      </c>
    </row>
    <row r="58" spans="2:13" x14ac:dyDescent="0.35">
      <c r="B58" s="20" t="s">
        <v>60</v>
      </c>
      <c r="C58" s="20"/>
      <c r="D58" s="30">
        <v>0.25169999999999998</v>
      </c>
      <c r="E58" s="30">
        <v>0.25169999999999998</v>
      </c>
      <c r="F58" s="30">
        <v>0.25169999999999998</v>
      </c>
      <c r="G58" s="30">
        <v>0.25169999999999998</v>
      </c>
      <c r="H58" s="20"/>
      <c r="I58" s="30">
        <v>0.25169999999999998</v>
      </c>
      <c r="J58" s="30">
        <v>0.25169999999999998</v>
      </c>
      <c r="K58" s="30">
        <v>0.25169999999999998</v>
      </c>
      <c r="L58" s="30">
        <v>0.25169999999999998</v>
      </c>
      <c r="M58" s="30">
        <v>0.25169999999999998</v>
      </c>
    </row>
    <row r="59" spans="2:13" x14ac:dyDescent="0.35">
      <c r="B59" s="20" t="s">
        <v>61</v>
      </c>
      <c r="C59" s="20"/>
      <c r="D59" s="22">
        <f>IFERROR(NWC!D24/NWC!D7,0)</f>
        <v>0.35490354921822181</v>
      </c>
      <c r="E59" s="22">
        <f>IFERROR(NWC!E24/NWC!E7,0)</f>
        <v>0.27901895136476945</v>
      </c>
      <c r="F59" s="22">
        <f>IFERROR(NWC!F24/NWC!F7,0)</f>
        <v>0.26433748192568018</v>
      </c>
      <c r="G59" s="22">
        <f>IFERROR(NWC!G24/NWC!G7,0)</f>
        <v>0.24024359362870651</v>
      </c>
      <c r="H59" s="20"/>
      <c r="I59" s="20"/>
      <c r="J59" s="20"/>
      <c r="K59" s="20"/>
      <c r="L59" s="20"/>
      <c r="M59" s="20"/>
    </row>
  </sheetData>
  <mergeCells count="6">
    <mergeCell ref="G39:G43"/>
    <mergeCell ref="G36:M36"/>
    <mergeCell ref="D7:G7"/>
    <mergeCell ref="I7:M7"/>
    <mergeCell ref="B36:C36"/>
    <mergeCell ref="I37:M37"/>
  </mergeCells>
  <dataValidations count="1">
    <dataValidation type="list" allowBlank="1" showInputMessage="1" showErrorMessage="1" sqref="C5" xr:uid="{9E714D27-273C-4B38-B44D-97AB7FE1149E}">
      <formula1>"1,2,3"</formula1>
    </dataValidation>
  </dataValidations>
  <pageMargins left="0.7" right="0.7" top="0.75" bottom="0.75" header="0.3" footer="0.3"/>
  <ignoredErrors>
    <ignoredError sqref="H12 H17 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B612-5ECE-45D3-9261-1E78B1005EF3}">
  <dimension ref="B1:M40"/>
  <sheetViews>
    <sheetView showGridLines="0" topLeftCell="A10" zoomScale="80" zoomScaleNormal="80" workbookViewId="0">
      <selection activeCell="B1" sqref="B1:M3"/>
    </sheetView>
  </sheetViews>
  <sheetFormatPr defaultRowHeight="14.5" x14ac:dyDescent="0.35"/>
  <cols>
    <col min="1" max="1" width="1.81640625" customWidth="1"/>
    <col min="2" max="2" width="31.6328125" customWidth="1"/>
    <col min="3" max="3" width="9.26953125" customWidth="1"/>
    <col min="4" max="7" width="12.1796875" bestFit="1" customWidth="1"/>
    <col min="9" max="13" width="12.6328125" bestFit="1" customWidth="1"/>
  </cols>
  <sheetData>
    <row r="1" spans="2:13" ht="26" x14ac:dyDescent="0.6">
      <c r="B1" s="33" t="s">
        <v>0</v>
      </c>
      <c r="C1" s="34"/>
      <c r="D1" s="34"/>
      <c r="E1" s="34"/>
      <c r="F1" s="34"/>
      <c r="G1" s="34"/>
      <c r="H1" s="32"/>
      <c r="I1" s="32"/>
      <c r="J1" s="32"/>
      <c r="K1" s="32"/>
      <c r="L1" s="32"/>
      <c r="M1" s="32"/>
    </row>
    <row r="2" spans="2:13" ht="21" x14ac:dyDescent="0.5">
      <c r="B2" s="35" t="s">
        <v>19</v>
      </c>
      <c r="C2" s="34"/>
      <c r="D2" s="34"/>
      <c r="E2" s="34"/>
      <c r="F2" s="34"/>
      <c r="G2" s="34"/>
      <c r="H2" s="32"/>
      <c r="I2" s="32"/>
      <c r="J2" s="32"/>
      <c r="K2" s="32"/>
      <c r="L2" s="32"/>
      <c r="M2" s="32"/>
    </row>
    <row r="3" spans="2:13" x14ac:dyDescent="0.35">
      <c r="B3" s="36" t="s">
        <v>2</v>
      </c>
      <c r="C3" s="34"/>
      <c r="D3" s="34"/>
      <c r="E3" s="34"/>
      <c r="F3" s="34"/>
      <c r="G3" s="34"/>
      <c r="H3" s="32"/>
      <c r="I3" s="32"/>
      <c r="J3" s="32"/>
      <c r="K3" s="32"/>
      <c r="L3" s="32"/>
      <c r="M3" s="32"/>
    </row>
    <row r="5" spans="2:13" x14ac:dyDescent="0.35">
      <c r="D5" s="116" t="s">
        <v>3</v>
      </c>
      <c r="E5" s="116"/>
      <c r="F5" s="116"/>
      <c r="G5" s="116"/>
      <c r="I5" s="116" t="s">
        <v>18</v>
      </c>
      <c r="J5" s="116"/>
      <c r="K5" s="116"/>
      <c r="L5" s="116"/>
      <c r="M5" s="116"/>
    </row>
    <row r="6" spans="2:13" x14ac:dyDescent="0.35">
      <c r="D6" s="8">
        <v>2021</v>
      </c>
      <c r="E6" s="8">
        <v>2022</v>
      </c>
      <c r="F6" s="8">
        <v>2023</v>
      </c>
      <c r="G6" s="8">
        <v>2024</v>
      </c>
      <c r="I6" s="8">
        <v>2025</v>
      </c>
      <c r="J6" s="8">
        <f>I6+1</f>
        <v>2026</v>
      </c>
      <c r="K6" s="8">
        <f t="shared" ref="K6:M6" si="0">J6+1</f>
        <v>2027</v>
      </c>
      <c r="L6" s="8">
        <f t="shared" si="0"/>
        <v>2028</v>
      </c>
      <c r="M6" s="8">
        <f t="shared" si="0"/>
        <v>2029</v>
      </c>
    </row>
    <row r="7" spans="2:13" x14ac:dyDescent="0.35">
      <c r="B7" t="s">
        <v>6</v>
      </c>
      <c r="D7" s="4">
        <f>IFERROR(DCF!D9,0)</f>
        <v>1641770</v>
      </c>
      <c r="E7" s="4">
        <f>IFERROR(DCF!E9,0)</f>
        <v>1917540</v>
      </c>
      <c r="F7" s="4">
        <f>IFERROR(DCF!F9,0)</f>
        <v>2254580</v>
      </c>
      <c r="G7" s="4">
        <f>IFERROR(DCF!G9,0)</f>
        <v>2408930</v>
      </c>
      <c r="I7" s="4">
        <f>IFERROR(DCF!I9,0)</f>
        <v>2673912.3000000003</v>
      </c>
      <c r="J7" s="4">
        <f>IFERROR(DCF!J9,0)</f>
        <v>2968042.6530000004</v>
      </c>
      <c r="K7" s="4">
        <f>IFERROR(DCF!K9,0)</f>
        <v>3264846.9183000005</v>
      </c>
      <c r="L7" s="4">
        <f>IFERROR(DCF!L9,0)</f>
        <v>3591331.6101300009</v>
      </c>
      <c r="M7" s="4">
        <f>IFERROR(DCF!M9,0)</f>
        <v>3914551.4550417014</v>
      </c>
    </row>
    <row r="8" spans="2:13" x14ac:dyDescent="0.35">
      <c r="B8" t="s">
        <v>9</v>
      </c>
      <c r="D8" s="4">
        <f>IFERROR(DCF!D11,0)</f>
        <v>868750</v>
      </c>
      <c r="E8" s="4">
        <f>IFERROR(DCF!E11,0)</f>
        <v>1002670</v>
      </c>
      <c r="F8" s="4">
        <f>IFERROR(DCF!F11,0)</f>
        <v>1197590</v>
      </c>
      <c r="G8" s="4">
        <f>IFERROR(DCF!G11,0)</f>
        <v>1328710</v>
      </c>
      <c r="I8" s="4">
        <f>IFERROR(DCF!I11,0)</f>
        <v>1363695.2730000003</v>
      </c>
      <c r="J8" s="4">
        <f>IFERROR(DCF!J11,0)</f>
        <v>1513701.7530300003</v>
      </c>
      <c r="K8" s="4">
        <f>IFERROR(DCF!K11,0)</f>
        <v>1665071.9283330003</v>
      </c>
      <c r="L8" s="4">
        <f>IFERROR(DCF!L11,0)</f>
        <v>1831579.1211663005</v>
      </c>
      <c r="M8" s="4">
        <f>IFERROR(DCF!M11,0)</f>
        <v>1996421.2420712677</v>
      </c>
    </row>
    <row r="10" spans="2:13" x14ac:dyDescent="0.35">
      <c r="B10" s="8" t="s">
        <v>20</v>
      </c>
      <c r="C10" s="9"/>
      <c r="D10" s="9"/>
      <c r="E10" s="9"/>
      <c r="F10" s="9"/>
      <c r="G10" s="9"/>
    </row>
    <row r="11" spans="2:13" x14ac:dyDescent="0.35">
      <c r="B11" t="s">
        <v>30</v>
      </c>
      <c r="D11" s="4">
        <v>300790</v>
      </c>
      <c r="E11" s="4">
        <v>340740</v>
      </c>
      <c r="F11" s="4">
        <v>410490</v>
      </c>
      <c r="G11" s="4">
        <v>444340</v>
      </c>
      <c r="I11" s="7">
        <f>IFERROR(I7/365*I31,0)</f>
        <v>439547.22739726031</v>
      </c>
      <c r="J11" s="7">
        <f t="shared" ref="J11:M11" si="1">IFERROR(J7/365*J31,0)</f>
        <v>487897.42241095897</v>
      </c>
      <c r="K11" s="7">
        <f t="shared" si="1"/>
        <v>536687.1646520549</v>
      </c>
      <c r="L11" s="7">
        <f t="shared" si="1"/>
        <v>590355.88111726043</v>
      </c>
      <c r="M11" s="7">
        <f t="shared" si="1"/>
        <v>643487.91041781392</v>
      </c>
    </row>
    <row r="12" spans="2:13" x14ac:dyDescent="0.35">
      <c r="B12" t="s">
        <v>21</v>
      </c>
      <c r="D12" s="4">
        <v>80</v>
      </c>
      <c r="E12" s="4">
        <v>200</v>
      </c>
      <c r="F12" s="4">
        <v>280</v>
      </c>
      <c r="G12" s="4">
        <v>280</v>
      </c>
      <c r="I12" s="26">
        <f>IFERROR(I8/365*I32,0)</f>
        <v>186.80757164383567</v>
      </c>
      <c r="J12" s="26">
        <f t="shared" ref="J12:M12" si="2">IFERROR(J8/365*J32,0)</f>
        <v>207.35640452465759</v>
      </c>
      <c r="K12" s="26">
        <f t="shared" si="2"/>
        <v>228.09204497712332</v>
      </c>
      <c r="L12" s="26">
        <f t="shared" si="2"/>
        <v>250.90124947483571</v>
      </c>
      <c r="M12" s="26">
        <f t="shared" si="2"/>
        <v>273.48236192757093</v>
      </c>
    </row>
    <row r="13" spans="2:13" x14ac:dyDescent="0.35">
      <c r="B13" t="s">
        <v>22</v>
      </c>
      <c r="D13" s="4">
        <v>315380</v>
      </c>
      <c r="E13" s="4">
        <v>358450</v>
      </c>
      <c r="F13" s="4">
        <v>380080</v>
      </c>
      <c r="G13" s="4">
        <v>347010</v>
      </c>
      <c r="I13" s="26">
        <f>IFERROR(I7*I33,0)</f>
        <v>427825.96800000005</v>
      </c>
      <c r="J13" s="26">
        <f t="shared" ref="J13:M13" si="3">IFERROR(J7*J33,0)</f>
        <v>474886.82448000007</v>
      </c>
      <c r="K13" s="26">
        <f t="shared" si="3"/>
        <v>522375.50692800008</v>
      </c>
      <c r="L13" s="26">
        <f t="shared" si="3"/>
        <v>574613.0576208001</v>
      </c>
      <c r="M13" s="26">
        <f t="shared" si="3"/>
        <v>626328.23280667223</v>
      </c>
    </row>
    <row r="14" spans="2:13" x14ac:dyDescent="0.35">
      <c r="B14" t="s">
        <v>23</v>
      </c>
      <c r="D14" s="4">
        <v>307970</v>
      </c>
      <c r="E14" s="4">
        <v>259150</v>
      </c>
      <c r="F14" s="4">
        <v>240700</v>
      </c>
      <c r="G14" s="4">
        <v>248140</v>
      </c>
      <c r="I14" s="26">
        <f>IFERROR(I7*I34,0)</f>
        <v>320869.47600000008</v>
      </c>
      <c r="J14" s="26">
        <f t="shared" ref="J14:M14" si="4">IFERROR(J7*J34,0)</f>
        <v>356165.11836000008</v>
      </c>
      <c r="K14" s="26">
        <f t="shared" si="4"/>
        <v>391781.6301960001</v>
      </c>
      <c r="L14" s="26">
        <f t="shared" si="4"/>
        <v>430959.79321560013</v>
      </c>
      <c r="M14" s="26">
        <f t="shared" si="4"/>
        <v>469746.1746050042</v>
      </c>
    </row>
    <row r="15" spans="2:13" x14ac:dyDescent="0.35">
      <c r="B15" s="11" t="s">
        <v>24</v>
      </c>
      <c r="C15" s="11"/>
      <c r="D15" s="12">
        <f>SUM(D11:D14)</f>
        <v>924220</v>
      </c>
      <c r="E15" s="12">
        <f t="shared" ref="E15:M15" si="5">SUM(E11:E14)</f>
        <v>958540</v>
      </c>
      <c r="F15" s="12">
        <f t="shared" si="5"/>
        <v>1031550</v>
      </c>
      <c r="G15" s="12">
        <f t="shared" si="5"/>
        <v>1039770</v>
      </c>
      <c r="I15" s="12">
        <f t="shared" si="5"/>
        <v>1188429.4789689044</v>
      </c>
      <c r="J15" s="12">
        <f t="shared" si="5"/>
        <v>1319156.7216554838</v>
      </c>
      <c r="K15" s="12">
        <f t="shared" si="5"/>
        <v>1451072.3938210323</v>
      </c>
      <c r="L15" s="12">
        <f t="shared" si="5"/>
        <v>1596179.6332031356</v>
      </c>
      <c r="M15" s="12">
        <f t="shared" si="5"/>
        <v>1739835.800191418</v>
      </c>
    </row>
    <row r="17" spans="2:13" x14ac:dyDescent="0.35">
      <c r="B17" s="8" t="s">
        <v>25</v>
      </c>
      <c r="C17" s="9"/>
      <c r="D17" s="9"/>
      <c r="E17" s="9"/>
      <c r="F17" s="9"/>
      <c r="G17" s="9"/>
    </row>
    <row r="18" spans="2:13" x14ac:dyDescent="0.35">
      <c r="B18" t="s">
        <v>26</v>
      </c>
      <c r="D18" s="4">
        <v>78600</v>
      </c>
      <c r="E18" s="4">
        <v>80450</v>
      </c>
      <c r="F18" s="4">
        <v>37590</v>
      </c>
      <c r="G18" s="4">
        <v>32360</v>
      </c>
      <c r="I18" s="39">
        <f>IFERROR(I8/365*I37,0)</f>
        <v>26153.060030136992</v>
      </c>
      <c r="J18" s="39">
        <f t="shared" ref="J18:M18" si="6">IFERROR(J8/365*J37,0)</f>
        <v>29029.896633452063</v>
      </c>
      <c r="K18" s="39">
        <f t="shared" si="6"/>
        <v>31932.886296797264</v>
      </c>
      <c r="L18" s="39">
        <f t="shared" si="6"/>
        <v>35126.174926476997</v>
      </c>
      <c r="M18" s="39">
        <f t="shared" si="6"/>
        <v>38287.530669859923</v>
      </c>
    </row>
    <row r="19" spans="2:13" x14ac:dyDescent="0.35">
      <c r="B19" t="s">
        <v>27</v>
      </c>
      <c r="D19" s="4">
        <v>99690</v>
      </c>
      <c r="E19" s="4">
        <v>157450</v>
      </c>
      <c r="F19" s="4">
        <v>134640</v>
      </c>
      <c r="G19" s="4">
        <v>157630</v>
      </c>
      <c r="I19" s="4">
        <f>IFERROR(I7*I38,0)</f>
        <v>133695.61499999999</v>
      </c>
      <c r="J19" s="4">
        <f t="shared" ref="J19:M19" si="7">IFERROR(J7*J38,0)</f>
        <v>148402.13265000001</v>
      </c>
      <c r="K19" s="4">
        <f t="shared" si="7"/>
        <v>163242.34591500001</v>
      </c>
      <c r="L19" s="4">
        <f t="shared" si="7"/>
        <v>179566.58050650003</v>
      </c>
      <c r="M19" s="4">
        <f t="shared" si="7"/>
        <v>195727.57275208505</v>
      </c>
    </row>
    <row r="20" spans="2:13" x14ac:dyDescent="0.35">
      <c r="B20" t="s">
        <v>28</v>
      </c>
      <c r="D20" s="4">
        <v>12920</v>
      </c>
      <c r="E20" s="4">
        <v>14500</v>
      </c>
      <c r="F20" s="4">
        <v>14850</v>
      </c>
      <c r="G20" s="4">
        <v>15050</v>
      </c>
      <c r="I20" s="4">
        <f>IFERROR(I7*I39,0)</f>
        <v>14706.51765</v>
      </c>
      <c r="J20" s="4">
        <f t="shared" ref="J20:M20" si="8">IFERROR(J7*J39,0)</f>
        <v>16324.234591500001</v>
      </c>
      <c r="K20" s="4">
        <f t="shared" si="8"/>
        <v>17956.658050650003</v>
      </c>
      <c r="L20" s="4">
        <f t="shared" si="8"/>
        <v>19752.323855715003</v>
      </c>
      <c r="M20" s="4">
        <f t="shared" si="8"/>
        <v>21530.033002729357</v>
      </c>
    </row>
    <row r="21" spans="2:13" x14ac:dyDescent="0.35">
      <c r="B21" t="s">
        <v>29</v>
      </c>
      <c r="D21" s="4">
        <v>150340</v>
      </c>
      <c r="E21" s="4">
        <v>171110</v>
      </c>
      <c r="F21" s="4">
        <v>248500</v>
      </c>
      <c r="G21" s="4">
        <v>256000</v>
      </c>
      <c r="I21" s="4">
        <f>IFERROR(I7*I40,0)</f>
        <v>213912.98400000003</v>
      </c>
      <c r="J21" s="4">
        <f t="shared" ref="J21:M21" si="9">IFERROR(J7*J40,0)</f>
        <v>237443.41224000003</v>
      </c>
      <c r="K21" s="4">
        <f t="shared" si="9"/>
        <v>261187.75346400004</v>
      </c>
      <c r="L21" s="4">
        <f t="shared" si="9"/>
        <v>287306.52881040005</v>
      </c>
      <c r="M21" s="4">
        <f t="shared" si="9"/>
        <v>313164.11640333611</v>
      </c>
    </row>
    <row r="22" spans="2:13" x14ac:dyDescent="0.35">
      <c r="B22" s="11" t="s">
        <v>31</v>
      </c>
      <c r="C22" s="10"/>
      <c r="D22" s="12">
        <f>SUM(D18:D21)</f>
        <v>341550</v>
      </c>
      <c r="E22" s="12">
        <f t="shared" ref="E22" si="10">SUM(E18:E21)</f>
        <v>423510</v>
      </c>
      <c r="F22" s="12">
        <f t="shared" ref="F22" si="11">SUM(F18:F21)</f>
        <v>435580</v>
      </c>
      <c r="G22" s="12">
        <f t="shared" ref="G22:M22" si="12">SUM(G18:G21)</f>
        <v>461040</v>
      </c>
      <c r="I22" s="12">
        <f t="shared" si="12"/>
        <v>388468.176680137</v>
      </c>
      <c r="J22" s="12">
        <f t="shared" si="12"/>
        <v>431199.67611495208</v>
      </c>
      <c r="K22" s="12">
        <f t="shared" si="12"/>
        <v>474319.64372644731</v>
      </c>
      <c r="L22" s="12">
        <f t="shared" si="12"/>
        <v>521751.60809909209</v>
      </c>
      <c r="M22" s="12">
        <f t="shared" si="12"/>
        <v>568709.25282801047</v>
      </c>
    </row>
    <row r="24" spans="2:13" x14ac:dyDescent="0.35">
      <c r="B24" s="11" t="s">
        <v>32</v>
      </c>
      <c r="C24" s="11"/>
      <c r="D24" s="12">
        <f>D15-D22</f>
        <v>582670</v>
      </c>
      <c r="E24" s="12">
        <f t="shared" ref="E24:G24" si="13">E15-E22</f>
        <v>535030</v>
      </c>
      <c r="F24" s="12">
        <f t="shared" si="13"/>
        <v>595970</v>
      </c>
      <c r="G24" s="12">
        <f t="shared" si="13"/>
        <v>578730</v>
      </c>
      <c r="I24" s="12">
        <f>I15-I22</f>
        <v>799961.30228876742</v>
      </c>
      <c r="J24" s="12">
        <f t="shared" ref="J24:M24" si="14">J15-J22</f>
        <v>887957.04554053175</v>
      </c>
      <c r="K24" s="12">
        <f t="shared" si="14"/>
        <v>976752.75009458489</v>
      </c>
      <c r="L24" s="12">
        <f t="shared" si="14"/>
        <v>1074428.0251040435</v>
      </c>
      <c r="M24" s="12">
        <f t="shared" si="14"/>
        <v>1171126.5473634074</v>
      </c>
    </row>
    <row r="25" spans="2:13" x14ac:dyDescent="0.35">
      <c r="B25" s="1" t="s">
        <v>33</v>
      </c>
      <c r="D25" s="6">
        <f>D24/D7</f>
        <v>0.35490354921822181</v>
      </c>
      <c r="E25" s="6">
        <f t="shared" ref="E25:M25" si="15">E24/E7</f>
        <v>0.27901895136476945</v>
      </c>
      <c r="F25" s="6">
        <f t="shared" si="15"/>
        <v>0.26433748192568018</v>
      </c>
      <c r="G25" s="6">
        <f t="shared" si="15"/>
        <v>0.24024359362870651</v>
      </c>
      <c r="I25" s="6">
        <f t="shared" si="15"/>
        <v>0.29917260273972612</v>
      </c>
      <c r="J25" s="6">
        <f t="shared" si="15"/>
        <v>0.29917260273972607</v>
      </c>
      <c r="K25" s="6">
        <f t="shared" si="15"/>
        <v>0.29917260273972607</v>
      </c>
      <c r="L25" s="6">
        <f t="shared" si="15"/>
        <v>0.29917260273972607</v>
      </c>
      <c r="M25" s="6">
        <f t="shared" si="15"/>
        <v>0.29917260273972601</v>
      </c>
    </row>
    <row r="27" spans="2:13" x14ac:dyDescent="0.35">
      <c r="B27" s="13" t="s">
        <v>34</v>
      </c>
      <c r="C27" s="13"/>
      <c r="D27" s="13"/>
      <c r="E27" s="14">
        <f>+D24-E24</f>
        <v>47640</v>
      </c>
      <c r="F27" s="15">
        <f t="shared" ref="F27:G27" si="16">+E24-F24</f>
        <v>-60940</v>
      </c>
      <c r="G27" s="14">
        <f t="shared" si="16"/>
        <v>17240</v>
      </c>
      <c r="I27" s="14">
        <f>G24-I24</f>
        <v>-221231.30228876742</v>
      </c>
      <c r="J27" s="14">
        <f>I24-J24</f>
        <v>-87995.743251764332</v>
      </c>
      <c r="K27" s="14">
        <f t="shared" ref="K27:M27" si="17">J24-K24</f>
        <v>-88795.70455405314</v>
      </c>
      <c r="L27" s="14">
        <f t="shared" si="17"/>
        <v>-97675.275009458652</v>
      </c>
      <c r="M27" s="14">
        <f t="shared" si="17"/>
        <v>-96698.522259363905</v>
      </c>
    </row>
    <row r="29" spans="2:13" x14ac:dyDescent="0.35">
      <c r="B29" s="17" t="s">
        <v>35</v>
      </c>
    </row>
    <row r="30" spans="2:13" x14ac:dyDescent="0.35">
      <c r="B30" s="18" t="s">
        <v>20</v>
      </c>
      <c r="C30" s="19"/>
      <c r="D30" s="19"/>
      <c r="E30" s="19"/>
      <c r="F30" s="19"/>
      <c r="G30" s="19"/>
      <c r="I30" s="19"/>
      <c r="J30" s="19"/>
      <c r="K30" s="19"/>
      <c r="L30" s="19"/>
      <c r="M30" s="19"/>
    </row>
    <row r="31" spans="2:13" x14ac:dyDescent="0.35">
      <c r="B31" s="20" t="s">
        <v>36</v>
      </c>
      <c r="C31" s="20"/>
      <c r="D31" s="21">
        <f>IFERROR(D11/D7*365,0)</f>
        <v>66.871943085815914</v>
      </c>
      <c r="E31" s="21">
        <f t="shared" ref="E31:G31" si="18">IFERROR(E11/E7*365,0)</f>
        <v>64.859194593072374</v>
      </c>
      <c r="F31" s="21">
        <f t="shared" si="18"/>
        <v>66.455326490965064</v>
      </c>
      <c r="G31" s="21">
        <f t="shared" si="18"/>
        <v>67.326198768747958</v>
      </c>
      <c r="I31" s="20">
        <f>IFERROR('AS2'!D8,0)</f>
        <v>60</v>
      </c>
      <c r="J31" s="20">
        <f>IFERROR('AS2'!E8,0)</f>
        <v>60</v>
      </c>
      <c r="K31" s="20">
        <f>IFERROR('AS2'!F8,0)</f>
        <v>60</v>
      </c>
      <c r="L31" s="20">
        <f>IFERROR('AS2'!G8,0)</f>
        <v>60</v>
      </c>
      <c r="M31" s="20">
        <f>IFERROR('AS2'!H8,0)</f>
        <v>60</v>
      </c>
    </row>
    <row r="32" spans="2:13" x14ac:dyDescent="0.35">
      <c r="B32" s="20" t="s">
        <v>37</v>
      </c>
      <c r="C32" s="20"/>
      <c r="D32" s="37">
        <f>IFERROR(D12/D8*365,0)</f>
        <v>3.3611510791366907E-2</v>
      </c>
      <c r="E32" s="37">
        <f t="shared" ref="E32:G32" si="19">IFERROR(E12/E8*365,0)</f>
        <v>7.2805609023906176E-2</v>
      </c>
      <c r="F32" s="37">
        <f t="shared" si="19"/>
        <v>8.5338053924965976E-2</v>
      </c>
      <c r="G32" s="37">
        <f t="shared" si="19"/>
        <v>7.6916708687373478E-2</v>
      </c>
      <c r="I32" s="21">
        <f>IFERROR('AS2'!D13,0)</f>
        <v>0.05</v>
      </c>
      <c r="J32" s="21">
        <f>IFERROR('AS2'!E13,0)</f>
        <v>0.05</v>
      </c>
      <c r="K32" s="21">
        <f>IFERROR('AS2'!F13,0)</f>
        <v>0.05</v>
      </c>
      <c r="L32" s="21">
        <f>IFERROR('AS2'!G13,0)</f>
        <v>0.05</v>
      </c>
      <c r="M32" s="21">
        <f>IFERROR('AS2'!H13,0)</f>
        <v>0.05</v>
      </c>
    </row>
    <row r="33" spans="2:13" x14ac:dyDescent="0.35">
      <c r="B33" s="20" t="s">
        <v>38</v>
      </c>
      <c r="C33" s="20"/>
      <c r="D33" s="22">
        <f>IFERROR(D13/D7,0)</f>
        <v>0.1920975532504553</v>
      </c>
      <c r="E33" s="22">
        <f t="shared" ref="E33:G33" si="20">IFERROR(E13/E7,0)</f>
        <v>0.18693221523410203</v>
      </c>
      <c r="F33" s="22">
        <f t="shared" si="20"/>
        <v>0.16858128786736332</v>
      </c>
      <c r="G33" s="22">
        <f t="shared" si="20"/>
        <v>0.14405150834602914</v>
      </c>
      <c r="I33" s="22">
        <f>IFERROR('AS2'!D18,0)</f>
        <v>0.16</v>
      </c>
      <c r="J33" s="22">
        <f>IFERROR('AS2'!E18,0)</f>
        <v>0.16</v>
      </c>
      <c r="K33" s="22">
        <f>IFERROR('AS2'!F18,0)</f>
        <v>0.16</v>
      </c>
      <c r="L33" s="22">
        <f>IFERROR('AS2'!G18,0)</f>
        <v>0.16</v>
      </c>
      <c r="M33" s="22">
        <f>IFERROR('AS2'!H18,0)</f>
        <v>0.16</v>
      </c>
    </row>
    <row r="34" spans="2:13" x14ac:dyDescent="0.35">
      <c r="B34" s="20" t="s">
        <v>39</v>
      </c>
      <c r="C34" s="20"/>
      <c r="D34" s="22">
        <f>IFERROR(D14/D7,0)</f>
        <v>0.18758413176023439</v>
      </c>
      <c r="E34" s="22">
        <f t="shared" ref="E34:G34" si="21">IFERROR(E14/E7,0)</f>
        <v>0.13514711557516401</v>
      </c>
      <c r="F34" s="22">
        <f t="shared" si="21"/>
        <v>0.10676046092842126</v>
      </c>
      <c r="G34" s="22">
        <f t="shared" si="21"/>
        <v>0.10300838961696687</v>
      </c>
      <c r="I34" s="22">
        <f>IFERROR('AS2'!D23,0)</f>
        <v>0.12000000000000001</v>
      </c>
      <c r="J34" s="22">
        <f>IFERROR('AS2'!E23,0)</f>
        <v>0.12000000000000001</v>
      </c>
      <c r="K34" s="22">
        <f>IFERROR('AS2'!F23,0)</f>
        <v>0.12000000000000001</v>
      </c>
      <c r="L34" s="22">
        <f>IFERROR('AS2'!G23,0)</f>
        <v>0.12000000000000001</v>
      </c>
      <c r="M34" s="22">
        <f>IFERROR('AS2'!H23,0)</f>
        <v>0.12000000000000001</v>
      </c>
    </row>
    <row r="35" spans="2:13" x14ac:dyDescent="0.35">
      <c r="B35" s="20"/>
      <c r="C35" s="20"/>
      <c r="D35" s="20"/>
      <c r="E35" s="20"/>
      <c r="F35" s="20"/>
      <c r="G35" s="20"/>
      <c r="I35" s="20"/>
      <c r="J35" s="20"/>
      <c r="K35" s="20"/>
      <c r="L35" s="20"/>
      <c r="M35" s="20"/>
    </row>
    <row r="36" spans="2:13" x14ac:dyDescent="0.35">
      <c r="B36" s="18" t="s">
        <v>25</v>
      </c>
      <c r="C36" s="19"/>
      <c r="D36" s="19"/>
      <c r="E36" s="19"/>
      <c r="F36" s="19"/>
      <c r="G36" s="19"/>
      <c r="I36" s="19"/>
      <c r="J36" s="19"/>
      <c r="K36" s="19"/>
      <c r="L36" s="19"/>
      <c r="M36" s="19"/>
    </row>
    <row r="37" spans="2:13" x14ac:dyDescent="0.35">
      <c r="B37" s="20" t="s">
        <v>40</v>
      </c>
      <c r="C37" s="20"/>
      <c r="D37" s="21">
        <f>IFERROR(D18/D8*365,0)</f>
        <v>33.023309352517984</v>
      </c>
      <c r="E37" s="21">
        <f>IFERROR(E18/E8*365,0)</f>
        <v>29.286056229866258</v>
      </c>
      <c r="F37" s="21">
        <f>IFERROR(F18/F8*365,0)</f>
        <v>11.456633739426682</v>
      </c>
      <c r="G37" s="21">
        <f>IFERROR(G18/G8*365,0)</f>
        <v>8.889373904012162</v>
      </c>
      <c r="I37" s="20">
        <f>IFERROR('AS2'!D29,0)</f>
        <v>7</v>
      </c>
      <c r="J37" s="20">
        <f>IFERROR('AS2'!E29,0)</f>
        <v>7</v>
      </c>
      <c r="K37" s="20">
        <f>IFERROR('AS2'!F29,0)</f>
        <v>7</v>
      </c>
      <c r="L37" s="20">
        <f>IFERROR('AS2'!G29,0)</f>
        <v>7</v>
      </c>
      <c r="M37" s="20">
        <f>IFERROR('AS2'!H29,0)</f>
        <v>7</v>
      </c>
    </row>
    <row r="38" spans="2:13" x14ac:dyDescent="0.35">
      <c r="B38" s="20" t="s">
        <v>41</v>
      </c>
      <c r="C38" s="20"/>
      <c r="D38" s="22">
        <f>IFERROR(D19/D7,0)</f>
        <v>6.0721051060745414E-2</v>
      </c>
      <c r="E38" s="22">
        <f t="shared" ref="E38:G38" si="22">IFERROR(E19/E7,0)</f>
        <v>8.2110412299091551E-2</v>
      </c>
      <c r="F38" s="22">
        <f t="shared" si="22"/>
        <v>5.9718439798099869E-2</v>
      </c>
      <c r="G38" s="22">
        <f t="shared" si="22"/>
        <v>6.5435691365045887E-2</v>
      </c>
      <c r="I38" s="22">
        <f>IFERROR('AS2'!D34,0)</f>
        <v>4.9999999999999996E-2</v>
      </c>
      <c r="J38" s="22">
        <f>IFERROR('AS2'!E34,0)</f>
        <v>4.9999999999999996E-2</v>
      </c>
      <c r="K38" s="22">
        <f>IFERROR('AS2'!F34,0)</f>
        <v>4.9999999999999996E-2</v>
      </c>
      <c r="L38" s="22">
        <f>IFERROR('AS2'!G34,0)</f>
        <v>4.9999999999999996E-2</v>
      </c>
      <c r="M38" s="22">
        <f>IFERROR('AS2'!H34,0)</f>
        <v>4.9999999999999996E-2</v>
      </c>
    </row>
    <row r="39" spans="2:13" x14ac:dyDescent="0.35">
      <c r="B39" s="20" t="s">
        <v>42</v>
      </c>
      <c r="C39" s="20"/>
      <c r="D39" s="22">
        <f>IFERROR(D20/D7,0)</f>
        <v>7.8695554188467319E-3</v>
      </c>
      <c r="E39" s="22">
        <f t="shared" ref="E39:G39" si="23">IFERROR(E20/E7,0)</f>
        <v>7.561771853520657E-3</v>
      </c>
      <c r="F39" s="22">
        <f t="shared" si="23"/>
        <v>6.5865926247904265E-3</v>
      </c>
      <c r="G39" s="22">
        <f t="shared" si="23"/>
        <v>6.2475871029876338E-3</v>
      </c>
      <c r="I39" s="22">
        <f>IFERROR('AS2'!D39,0)</f>
        <v>5.4999999999999997E-3</v>
      </c>
      <c r="J39" s="22">
        <f>IFERROR('AS2'!E39,0)</f>
        <v>5.4999999999999997E-3</v>
      </c>
      <c r="K39" s="22">
        <f>IFERROR('AS2'!F39,0)</f>
        <v>5.4999999999999997E-3</v>
      </c>
      <c r="L39" s="22">
        <f>IFERROR('AS2'!G39,0)</f>
        <v>5.4999999999999997E-3</v>
      </c>
      <c r="M39" s="22">
        <f>IFERROR('AS2'!H39,0)</f>
        <v>5.4999999999999997E-3</v>
      </c>
    </row>
    <row r="40" spans="2:13" x14ac:dyDescent="0.35">
      <c r="B40" s="20" t="s">
        <v>43</v>
      </c>
      <c r="C40" s="20"/>
      <c r="D40" s="22">
        <f>IFERROR(D21/D7,0)</f>
        <v>9.1571901058004473E-2</v>
      </c>
      <c r="E40" s="22">
        <f t="shared" ref="E40:G40" si="24">IFERROR(E21/E7,0)</f>
        <v>8.9234122886615141E-2</v>
      </c>
      <c r="F40" s="22">
        <f t="shared" si="24"/>
        <v>0.11022008533740209</v>
      </c>
      <c r="G40" s="22">
        <f t="shared" si="24"/>
        <v>0.10627124906078632</v>
      </c>
      <c r="I40" s="22">
        <f>IFERROR('AS2'!D44,0)</f>
        <v>0.08</v>
      </c>
      <c r="J40" s="22">
        <f>IFERROR('AS2'!E44,0)</f>
        <v>0.08</v>
      </c>
      <c r="K40" s="22">
        <f>IFERROR('AS2'!F44,0)</f>
        <v>0.08</v>
      </c>
      <c r="L40" s="22">
        <f>IFERROR('AS2'!G44,0)</f>
        <v>0.08</v>
      </c>
      <c r="M40" s="22">
        <f>IFERROR('AS2'!H44,0)</f>
        <v>0.08</v>
      </c>
    </row>
  </sheetData>
  <mergeCells count="2">
    <mergeCell ref="D5:G5"/>
    <mergeCell ref="I5:M5"/>
  </mergeCells>
  <pageMargins left="0.7" right="0.7" top="0.75" bottom="0.75" header="0.3" footer="0.3"/>
  <ignoredErrors>
    <ignoredError sqref="D39:G3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DA85-2216-4E91-B521-8168DB227819}">
  <dimension ref="B1:M36"/>
  <sheetViews>
    <sheetView showGridLines="0" topLeftCell="A10" zoomScale="80" zoomScaleNormal="80" workbookViewId="0">
      <selection activeCell="C23" sqref="C23"/>
    </sheetView>
  </sheetViews>
  <sheetFormatPr defaultRowHeight="14.5" x14ac:dyDescent="0.35"/>
  <cols>
    <col min="1" max="1" width="1.81640625" customWidth="1"/>
    <col min="2" max="2" width="24.6328125" customWidth="1"/>
    <col min="3" max="3" width="11.453125" bestFit="1" customWidth="1"/>
    <col min="5" max="5" width="15.81640625" bestFit="1" customWidth="1"/>
    <col min="6" max="6" width="11.90625" bestFit="1" customWidth="1"/>
    <col min="7" max="7" width="20.08984375" customWidth="1"/>
    <col min="8" max="11" width="18.1796875" customWidth="1"/>
  </cols>
  <sheetData>
    <row r="1" spans="2:13" ht="26" x14ac:dyDescent="0.6">
      <c r="B1" s="33" t="s">
        <v>0</v>
      </c>
      <c r="C1" s="34"/>
      <c r="D1" s="34"/>
      <c r="E1" s="34"/>
      <c r="F1" s="34"/>
      <c r="G1" s="34"/>
      <c r="H1" s="32"/>
      <c r="I1" s="32"/>
      <c r="J1" s="32"/>
      <c r="K1" s="32"/>
      <c r="L1" s="43"/>
      <c r="M1" s="43"/>
    </row>
    <row r="2" spans="2:13" ht="21" x14ac:dyDescent="0.5">
      <c r="B2" s="35" t="s">
        <v>78</v>
      </c>
      <c r="C2" s="34"/>
      <c r="D2" s="34"/>
      <c r="E2" s="34"/>
      <c r="F2" s="34"/>
      <c r="G2" s="34"/>
      <c r="H2" s="32"/>
      <c r="I2" s="32"/>
      <c r="J2" s="32"/>
      <c r="K2" s="32"/>
      <c r="L2" s="43"/>
      <c r="M2" s="43"/>
    </row>
    <row r="3" spans="2:13" x14ac:dyDescent="0.35">
      <c r="B3" s="36" t="s">
        <v>2</v>
      </c>
      <c r="C3" s="34"/>
      <c r="D3" s="34"/>
      <c r="E3" s="34"/>
      <c r="F3" s="34"/>
      <c r="G3" s="34"/>
      <c r="H3" s="32"/>
      <c r="I3" s="32"/>
      <c r="J3" s="32"/>
      <c r="K3" s="32"/>
      <c r="L3" s="43"/>
      <c r="M3" s="43"/>
    </row>
    <row r="5" spans="2:13" x14ac:dyDescent="0.35">
      <c r="B5" t="s">
        <v>79</v>
      </c>
      <c r="C5" s="4">
        <v>80210</v>
      </c>
      <c r="E5" s="115" t="s">
        <v>115</v>
      </c>
      <c r="F5" s="115"/>
      <c r="G5" s="115"/>
      <c r="H5" s="115"/>
      <c r="I5" s="115"/>
      <c r="J5" s="115"/>
      <c r="K5" s="115"/>
    </row>
    <row r="6" spans="2:13" ht="15.5" customHeight="1" x14ac:dyDescent="0.35">
      <c r="B6" t="s">
        <v>80</v>
      </c>
      <c r="C6" s="4">
        <v>13945900</v>
      </c>
      <c r="E6" s="118" t="s">
        <v>96</v>
      </c>
      <c r="F6" s="119" t="s">
        <v>97</v>
      </c>
      <c r="G6" s="119" t="s">
        <v>98</v>
      </c>
      <c r="H6" s="119" t="s">
        <v>99</v>
      </c>
      <c r="I6" s="119" t="s">
        <v>100</v>
      </c>
      <c r="J6" s="119" t="s">
        <v>101</v>
      </c>
      <c r="K6" s="119" t="s">
        <v>102</v>
      </c>
    </row>
    <row r="7" spans="2:13" x14ac:dyDescent="0.35">
      <c r="B7" s="10" t="s">
        <v>81</v>
      </c>
      <c r="C7" s="7">
        <f>SUM(C5:C6)</f>
        <v>14026110</v>
      </c>
      <c r="E7" s="118"/>
      <c r="F7" s="119"/>
      <c r="G7" s="119"/>
      <c r="H7" s="119"/>
      <c r="I7" s="118"/>
      <c r="J7" s="118"/>
      <c r="K7" s="118"/>
    </row>
    <row r="8" spans="2:13" x14ac:dyDescent="0.35">
      <c r="E8" s="23" t="s">
        <v>103</v>
      </c>
      <c r="F8" s="23">
        <v>0.81</v>
      </c>
      <c r="G8" s="44">
        <v>83590</v>
      </c>
      <c r="H8" s="44">
        <v>6209074</v>
      </c>
      <c r="I8" s="46">
        <f>G8/H8</f>
        <v>1.3462554963912493E-2</v>
      </c>
      <c r="J8" s="48">
        <v>0.25169999999999998</v>
      </c>
      <c r="K8" s="47">
        <f>F8/(1+I8*(1-J8))</f>
        <v>0.80192141965736419</v>
      </c>
    </row>
    <row r="9" spans="2:13" x14ac:dyDescent="0.35">
      <c r="B9" s="115" t="s">
        <v>82</v>
      </c>
      <c r="C9" s="115"/>
      <c r="E9" s="23" t="s">
        <v>104</v>
      </c>
      <c r="F9" s="23">
        <v>0.64</v>
      </c>
      <c r="G9" s="45">
        <v>57560</v>
      </c>
      <c r="H9" s="45">
        <v>3877968</v>
      </c>
      <c r="I9" s="46">
        <f t="shared" ref="I9:I12" si="0">G9/H9</f>
        <v>1.4842824902113685E-2</v>
      </c>
      <c r="J9" s="48">
        <v>0.25169999999999998</v>
      </c>
      <c r="K9" s="47">
        <f t="shared" ref="K9:K12" si="1">F9/(1+I9*(1-J9))</f>
        <v>0.63296967802432214</v>
      </c>
    </row>
    <row r="10" spans="2:13" x14ac:dyDescent="0.35">
      <c r="B10" t="s">
        <v>83</v>
      </c>
      <c r="C10" s="6">
        <f>C5/C7</f>
        <v>5.7186204870773149E-3</v>
      </c>
      <c r="E10" s="23" t="s">
        <v>105</v>
      </c>
      <c r="F10" s="23">
        <v>0.99</v>
      </c>
      <c r="G10" s="45">
        <v>164649</v>
      </c>
      <c r="H10" s="45">
        <v>2490164</v>
      </c>
      <c r="I10" s="46">
        <f t="shared" si="0"/>
        <v>6.6119741511000876E-2</v>
      </c>
      <c r="J10" s="48">
        <v>0.25169999999999998</v>
      </c>
      <c r="K10" s="47">
        <f t="shared" si="1"/>
        <v>0.94332664769448171</v>
      </c>
    </row>
    <row r="11" spans="2:13" x14ac:dyDescent="0.35">
      <c r="B11" t="s">
        <v>84</v>
      </c>
      <c r="C11" s="6">
        <f>C6/C7</f>
        <v>0.99428137951292273</v>
      </c>
      <c r="E11" s="23" t="s">
        <v>106</v>
      </c>
      <c r="F11" s="23">
        <v>0.64</v>
      </c>
      <c r="G11" s="45">
        <v>20706</v>
      </c>
      <c r="H11" s="45">
        <v>1451733</v>
      </c>
      <c r="I11" s="46">
        <f t="shared" si="0"/>
        <v>1.4262953311662682E-2</v>
      </c>
      <c r="J11" s="48">
        <v>0.25169999999999998</v>
      </c>
      <c r="K11" s="47">
        <f t="shared" si="1"/>
        <v>0.63324143445712078</v>
      </c>
    </row>
    <row r="12" spans="2:13" x14ac:dyDescent="0.35">
      <c r="E12" s="23" t="s">
        <v>107</v>
      </c>
      <c r="F12" s="23">
        <v>0.88</v>
      </c>
      <c r="G12" s="45">
        <v>25367</v>
      </c>
      <c r="H12" s="45">
        <v>1318607</v>
      </c>
      <c r="I12" s="46">
        <f t="shared" si="0"/>
        <v>1.9237725872833983E-2</v>
      </c>
      <c r="J12" s="48">
        <v>0.25169999999999998</v>
      </c>
      <c r="K12" s="47">
        <f t="shared" si="1"/>
        <v>0.86751165762187044</v>
      </c>
    </row>
    <row r="13" spans="2:13" x14ac:dyDescent="0.35">
      <c r="E13" s="23"/>
      <c r="F13" s="23"/>
      <c r="G13" s="45"/>
      <c r="H13" s="45"/>
      <c r="I13" s="46"/>
      <c r="J13" s="48"/>
      <c r="K13" s="47"/>
    </row>
    <row r="14" spans="2:13" x14ac:dyDescent="0.35">
      <c r="B14" s="115" t="s">
        <v>85</v>
      </c>
      <c r="C14" s="115"/>
      <c r="E14" s="23" t="s">
        <v>108</v>
      </c>
      <c r="F14" s="50">
        <f>AVERAGE(F8:F12)</f>
        <v>0.79200000000000004</v>
      </c>
      <c r="I14" s="49">
        <f>AVERAGE(I8:I12)</f>
        <v>2.5585160112304738E-2</v>
      </c>
      <c r="K14" s="50">
        <f>AVERAGE(K8:K12)</f>
        <v>0.77579416749103181</v>
      </c>
    </row>
    <row r="15" spans="2:13" x14ac:dyDescent="0.35">
      <c r="B15" t="s">
        <v>86</v>
      </c>
      <c r="C15" s="6">
        <f>7780/C5</f>
        <v>9.6995387108839301E-2</v>
      </c>
      <c r="D15" t="s">
        <v>87</v>
      </c>
      <c r="E15" s="23" t="s">
        <v>109</v>
      </c>
      <c r="F15" s="23">
        <f>MEDIAN(F8:F12)</f>
        <v>0.81</v>
      </c>
      <c r="I15" s="49">
        <f>MEDIAN(I8:I12)</f>
        <v>1.4842824902113685E-2</v>
      </c>
      <c r="K15" s="50">
        <f>MEDIAN(K8:K12)</f>
        <v>0.80192141965736419</v>
      </c>
    </row>
    <row r="16" spans="2:13" x14ac:dyDescent="0.35">
      <c r="B16" t="s">
        <v>88</v>
      </c>
      <c r="C16" s="24">
        <v>0.25169999999999998</v>
      </c>
    </row>
    <row r="17" spans="2:11" x14ac:dyDescent="0.35">
      <c r="B17" s="3" t="s">
        <v>89</v>
      </c>
      <c r="C17" s="41">
        <f>C15*(1-C16)</f>
        <v>7.2581648173544441E-2</v>
      </c>
    </row>
    <row r="18" spans="2:11" x14ac:dyDescent="0.35">
      <c r="E18" s="115" t="s">
        <v>114</v>
      </c>
      <c r="F18" s="115"/>
      <c r="G18" s="115"/>
      <c r="H18" s="115"/>
      <c r="I18" s="115"/>
      <c r="J18" s="115"/>
      <c r="K18" s="115"/>
    </row>
    <row r="19" spans="2:11" ht="29" x14ac:dyDescent="0.35">
      <c r="H19" s="42" t="s">
        <v>113</v>
      </c>
      <c r="I19" s="42" t="s">
        <v>112</v>
      </c>
      <c r="J19" s="42" t="s">
        <v>101</v>
      </c>
      <c r="K19" s="42" t="s">
        <v>111</v>
      </c>
    </row>
    <row r="20" spans="2:11" x14ac:dyDescent="0.35">
      <c r="B20" s="115" t="s">
        <v>90</v>
      </c>
      <c r="C20" s="115"/>
      <c r="E20" t="s">
        <v>110</v>
      </c>
      <c r="H20" s="50">
        <f>K14</f>
        <v>0.77579416749103181</v>
      </c>
      <c r="I20" s="49">
        <f>I14</f>
        <v>2.5585160112304738E-2</v>
      </c>
      <c r="J20" s="51">
        <v>0.25169999999999998</v>
      </c>
      <c r="K20" s="50">
        <f>H20*(1+(I20)*(1-J20))</f>
        <v>0.79064703799253744</v>
      </c>
    </row>
    <row r="21" spans="2:11" x14ac:dyDescent="0.35">
      <c r="B21" t="s">
        <v>91</v>
      </c>
      <c r="C21" s="24">
        <v>7.0199999999999999E-2</v>
      </c>
      <c r="D21" t="s">
        <v>93</v>
      </c>
    </row>
    <row r="22" spans="2:11" x14ac:dyDescent="0.35">
      <c r="B22" t="s">
        <v>92</v>
      </c>
      <c r="C22" s="24">
        <v>1.47E-2</v>
      </c>
      <c r="D22" t="s">
        <v>94</v>
      </c>
    </row>
    <row r="23" spans="2:11" x14ac:dyDescent="0.35">
      <c r="B23" t="s">
        <v>95</v>
      </c>
      <c r="C23" s="40">
        <f>K20</f>
        <v>0.79064703799253744</v>
      </c>
      <c r="E23" s="115" t="s">
        <v>116</v>
      </c>
      <c r="F23" s="115"/>
      <c r="G23" s="115"/>
      <c r="H23" s="115"/>
      <c r="I23" s="115"/>
      <c r="J23" s="115"/>
      <c r="K23" s="115"/>
    </row>
    <row r="24" spans="2:11" x14ac:dyDescent="0.35">
      <c r="B24" s="3" t="s">
        <v>90</v>
      </c>
      <c r="C24" s="52">
        <f>C21+C22*C23</f>
        <v>8.1822511458490302E-2</v>
      </c>
      <c r="G24" s="117" t="s">
        <v>117</v>
      </c>
      <c r="H24" s="117"/>
      <c r="I24" s="117"/>
      <c r="J24" s="117"/>
      <c r="K24" s="117"/>
    </row>
    <row r="25" spans="2:11" x14ac:dyDescent="0.35">
      <c r="F25" s="57">
        <f>C27</f>
        <v>8.1769666468390734E-2</v>
      </c>
      <c r="G25" s="53">
        <f>H25-0.005</f>
        <v>-0.01</v>
      </c>
      <c r="H25" s="53">
        <f>I25-0.005</f>
        <v>-5.0000000000000001E-3</v>
      </c>
      <c r="I25" s="54">
        <v>0</v>
      </c>
      <c r="J25" s="53">
        <f>I25+0.005</f>
        <v>5.0000000000000001E-3</v>
      </c>
      <c r="K25" s="53">
        <f>J25+0.005</f>
        <v>0.01</v>
      </c>
    </row>
    <row r="26" spans="2:11" x14ac:dyDescent="0.35">
      <c r="E26" s="113" t="s">
        <v>118</v>
      </c>
      <c r="F26" s="55">
        <f>F27-0.1</f>
        <v>-0.2</v>
      </c>
      <c r="G26" s="66">
        <f t="dataTable" ref="G26:K30" dt2D="1" dtr="1" r1="C19" r2="C10"/>
        <v>6.6838269933450767E-2</v>
      </c>
      <c r="H26" s="67">
        <v>6.6838269933450767E-2</v>
      </c>
      <c r="I26" s="67">
        <v>6.6838269933450767E-2</v>
      </c>
      <c r="J26" s="67">
        <v>6.6838269933450767E-2</v>
      </c>
      <c r="K26" s="67">
        <v>6.6838269933450767E-2</v>
      </c>
    </row>
    <row r="27" spans="2:11" x14ac:dyDescent="0.35">
      <c r="B27" s="3" t="s">
        <v>119</v>
      </c>
      <c r="C27" s="52">
        <f>(C10*C17)+(C11*C24)</f>
        <v>8.1769666468390734E-2</v>
      </c>
      <c r="E27" s="114"/>
      <c r="F27" s="55">
        <f>F28-0.1</f>
        <v>-0.1</v>
      </c>
      <c r="G27" s="68">
        <v>7.4096434750805212E-2</v>
      </c>
      <c r="H27" s="69">
        <v>7.4096434750805212E-2</v>
      </c>
      <c r="I27" s="69">
        <v>7.4096434750805212E-2</v>
      </c>
      <c r="J27" s="69">
        <v>7.4096434750805212E-2</v>
      </c>
      <c r="K27" s="69">
        <v>7.4096434750805212E-2</v>
      </c>
    </row>
    <row r="28" spans="2:11" x14ac:dyDescent="0.35">
      <c r="E28" s="114"/>
      <c r="F28" s="55">
        <v>0</v>
      </c>
      <c r="G28" s="68">
        <v>8.1354599568159658E-2</v>
      </c>
      <c r="H28" s="69">
        <v>8.1354599568159658E-2</v>
      </c>
      <c r="I28" s="70">
        <v>8.1354599568159658E-2</v>
      </c>
      <c r="J28" s="69">
        <v>8.1354599568159658E-2</v>
      </c>
      <c r="K28" s="69">
        <v>8.1354599568159658E-2</v>
      </c>
    </row>
    <row r="29" spans="2:11" x14ac:dyDescent="0.35">
      <c r="E29" s="114"/>
      <c r="F29" s="55">
        <f>F28+0.1</f>
        <v>0.1</v>
      </c>
      <c r="G29" s="68">
        <v>8.8612764385514103E-2</v>
      </c>
      <c r="H29" s="69">
        <v>8.8612764385514103E-2</v>
      </c>
      <c r="I29" s="69">
        <v>8.8612764385514103E-2</v>
      </c>
      <c r="J29" s="69">
        <v>8.8612764385514103E-2</v>
      </c>
      <c r="K29" s="69">
        <v>8.8612764385514103E-2</v>
      </c>
    </row>
    <row r="30" spans="2:11" x14ac:dyDescent="0.35">
      <c r="E30" s="114"/>
      <c r="F30" s="55">
        <f>F29+0.1</f>
        <v>0.2</v>
      </c>
      <c r="G30" s="68">
        <v>9.5870929202868549E-2</v>
      </c>
      <c r="H30" s="69">
        <v>9.5870929202868549E-2</v>
      </c>
      <c r="I30" s="69">
        <v>9.5870929202868549E-2</v>
      </c>
      <c r="J30" s="69">
        <v>9.5870929202868549E-2</v>
      </c>
      <c r="K30" s="69">
        <v>9.5870929202868549E-2</v>
      </c>
    </row>
    <row r="33" spans="2:2" x14ac:dyDescent="0.35">
      <c r="B33" s="17" t="s">
        <v>173</v>
      </c>
    </row>
    <row r="34" spans="2:2" x14ac:dyDescent="0.35">
      <c r="B34" t="s">
        <v>174</v>
      </c>
    </row>
    <row r="35" spans="2:2" x14ac:dyDescent="0.35">
      <c r="B35" t="s">
        <v>175</v>
      </c>
    </row>
    <row r="36" spans="2:2" x14ac:dyDescent="0.35">
      <c r="B36" t="s">
        <v>176</v>
      </c>
    </row>
  </sheetData>
  <mergeCells count="15">
    <mergeCell ref="G24:K24"/>
    <mergeCell ref="E26:E30"/>
    <mergeCell ref="E23:K23"/>
    <mergeCell ref="E5:K5"/>
    <mergeCell ref="B9:C9"/>
    <mergeCell ref="B14:C14"/>
    <mergeCell ref="B20:C20"/>
    <mergeCell ref="E6:E7"/>
    <mergeCell ref="F6:F7"/>
    <mergeCell ref="G6:G7"/>
    <mergeCell ref="H6:H7"/>
    <mergeCell ref="I6:I7"/>
    <mergeCell ref="J6:J7"/>
    <mergeCell ref="K6:K7"/>
    <mergeCell ref="E18:K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5F18-65F6-44C8-9B67-D2F1EF86BCB4}">
  <dimension ref="B1:I41"/>
  <sheetViews>
    <sheetView showGridLines="0" topLeftCell="A8" zoomScale="80" zoomScaleNormal="80" workbookViewId="0">
      <selection activeCell="K22" sqref="K22"/>
    </sheetView>
  </sheetViews>
  <sheetFormatPr defaultRowHeight="14.5" x14ac:dyDescent="0.35"/>
  <cols>
    <col min="1" max="1" width="1.81640625" customWidth="1"/>
    <col min="2" max="2" width="42.08984375" customWidth="1"/>
  </cols>
  <sheetData>
    <row r="1" spans="2:8" ht="26" x14ac:dyDescent="0.6">
      <c r="B1" s="33" t="s">
        <v>0</v>
      </c>
      <c r="C1" s="32"/>
      <c r="D1" s="32"/>
      <c r="E1" s="32"/>
      <c r="F1" s="32"/>
      <c r="G1" s="32"/>
      <c r="H1" s="32"/>
    </row>
    <row r="2" spans="2:8" ht="21" x14ac:dyDescent="0.5">
      <c r="B2" s="35" t="s">
        <v>44</v>
      </c>
      <c r="C2" s="32"/>
      <c r="D2" s="32"/>
      <c r="E2" s="32"/>
      <c r="F2" s="32"/>
      <c r="G2" s="32"/>
      <c r="H2" s="32"/>
    </row>
    <row r="4" spans="2:8" x14ac:dyDescent="0.35">
      <c r="D4" s="116" t="s">
        <v>18</v>
      </c>
      <c r="E4" s="116"/>
      <c r="F4" s="116"/>
      <c r="G4" s="116"/>
      <c r="H4" s="116"/>
    </row>
    <row r="5" spans="2:8" x14ac:dyDescent="0.35">
      <c r="D5" s="3">
        <f>DCF!I8</f>
        <v>2025</v>
      </c>
      <c r="E5" s="3">
        <f>DCF!J8</f>
        <v>2026</v>
      </c>
      <c r="F5" s="3">
        <f>DCF!K8</f>
        <v>2027</v>
      </c>
      <c r="G5" s="3">
        <f>DCF!L8</f>
        <v>2028</v>
      </c>
      <c r="H5" s="3">
        <f>DCF!M8</f>
        <v>2029</v>
      </c>
    </row>
    <row r="6" spans="2:8" x14ac:dyDescent="0.35">
      <c r="B6" s="3" t="s">
        <v>46</v>
      </c>
    </row>
    <row r="7" spans="2:8" x14ac:dyDescent="0.35">
      <c r="B7" t="s">
        <v>47</v>
      </c>
      <c r="D7" s="25">
        <f>CHOOSE(DCF!$C$5,'AS1'!D8,'AS1'!D9,'AS1'!D10)</f>
        <v>0.11</v>
      </c>
      <c r="E7" s="25">
        <f>CHOOSE(DCF!$C$5,'AS1'!E8,'AS1'!E9,'AS1'!E10)</f>
        <v>0.11</v>
      </c>
      <c r="F7" s="25">
        <f>CHOOSE(DCF!$C$5,'AS1'!F8,'AS1'!F9,'AS1'!F10)</f>
        <v>0.1</v>
      </c>
      <c r="G7" s="25">
        <f>CHOOSE(DCF!$C$5,'AS1'!G8,'AS1'!G9,'AS1'!G10)</f>
        <v>0.1</v>
      </c>
      <c r="H7" s="25">
        <f>CHOOSE(DCF!$C$5,'AS1'!H8,'AS1'!H9,'AS1'!H10)</f>
        <v>9.0000000000000011E-2</v>
      </c>
    </row>
    <row r="8" spans="2:8" x14ac:dyDescent="0.35">
      <c r="B8" t="s">
        <v>48</v>
      </c>
      <c r="C8" s="23">
        <v>1</v>
      </c>
      <c r="D8" s="24">
        <f>D9+0.02</f>
        <v>0.11</v>
      </c>
      <c r="E8" s="24">
        <f t="shared" ref="E8:H8" si="0">E9+0.02</f>
        <v>0.11</v>
      </c>
      <c r="F8" s="24">
        <f t="shared" si="0"/>
        <v>0.1</v>
      </c>
      <c r="G8" s="24">
        <f t="shared" si="0"/>
        <v>0.1</v>
      </c>
      <c r="H8" s="24">
        <f t="shared" si="0"/>
        <v>9.0000000000000011E-2</v>
      </c>
    </row>
    <row r="9" spans="2:8" x14ac:dyDescent="0.35">
      <c r="B9" t="s">
        <v>49</v>
      </c>
      <c r="C9" s="23">
        <v>2</v>
      </c>
      <c r="D9" s="24">
        <v>0.09</v>
      </c>
      <c r="E9" s="24">
        <v>0.09</v>
      </c>
      <c r="F9" s="24">
        <v>0.08</v>
      </c>
      <c r="G9" s="24">
        <v>0.08</v>
      </c>
      <c r="H9" s="24">
        <v>7.0000000000000007E-2</v>
      </c>
    </row>
    <row r="10" spans="2:8" x14ac:dyDescent="0.35">
      <c r="B10" t="s">
        <v>50</v>
      </c>
      <c r="C10" s="23">
        <v>3</v>
      </c>
      <c r="D10" s="24">
        <f>D9-0.02</f>
        <v>6.9999999999999993E-2</v>
      </c>
      <c r="E10" s="24">
        <f t="shared" ref="E10:H10" si="1">E9-0.02</f>
        <v>6.9999999999999993E-2</v>
      </c>
      <c r="F10" s="24">
        <f t="shared" si="1"/>
        <v>0.06</v>
      </c>
      <c r="G10" s="24">
        <f t="shared" si="1"/>
        <v>0.06</v>
      </c>
      <c r="H10" s="24">
        <f t="shared" si="1"/>
        <v>0.05</v>
      </c>
    </row>
    <row r="12" spans="2:8" x14ac:dyDescent="0.35">
      <c r="B12" t="s">
        <v>51</v>
      </c>
      <c r="D12" s="25">
        <f>CHOOSE(DCF!$C$5,'AS1'!D13,'AS1'!D14,'AS1'!D15)</f>
        <v>0.51</v>
      </c>
      <c r="E12" s="25">
        <f>CHOOSE(DCF!$C$5,'AS1'!E13,'AS1'!E14,'AS1'!E15)</f>
        <v>0.51</v>
      </c>
      <c r="F12" s="25">
        <f>CHOOSE(DCF!$C$5,'AS1'!F13,'AS1'!F14,'AS1'!F15)</f>
        <v>0.51</v>
      </c>
      <c r="G12" s="25">
        <f>CHOOSE(DCF!$C$5,'AS1'!G13,'AS1'!G14,'AS1'!G15)</f>
        <v>0.51</v>
      </c>
      <c r="H12" s="25">
        <f>CHOOSE(DCF!$C$5,'AS1'!H13,'AS1'!H14,'AS1'!H15)</f>
        <v>0.51</v>
      </c>
    </row>
    <row r="13" spans="2:8" x14ac:dyDescent="0.35">
      <c r="B13" t="s">
        <v>48</v>
      </c>
      <c r="C13" s="23">
        <v>1</v>
      </c>
      <c r="D13" s="24">
        <f>D14-0.02</f>
        <v>0.51</v>
      </c>
      <c r="E13" s="24">
        <f t="shared" ref="E13:H13" si="2">E14-0.02</f>
        <v>0.51</v>
      </c>
      <c r="F13" s="24">
        <f t="shared" si="2"/>
        <v>0.51</v>
      </c>
      <c r="G13" s="24">
        <f t="shared" si="2"/>
        <v>0.51</v>
      </c>
      <c r="H13" s="24">
        <f t="shared" si="2"/>
        <v>0.51</v>
      </c>
    </row>
    <row r="14" spans="2:8" x14ac:dyDescent="0.35">
      <c r="B14" t="s">
        <v>49</v>
      </c>
      <c r="C14" s="23">
        <v>2</v>
      </c>
      <c r="D14" s="24">
        <v>0.53</v>
      </c>
      <c r="E14" s="24">
        <v>0.53</v>
      </c>
      <c r="F14" s="24">
        <v>0.53</v>
      </c>
      <c r="G14" s="24">
        <v>0.53</v>
      </c>
      <c r="H14" s="24">
        <v>0.53</v>
      </c>
    </row>
    <row r="15" spans="2:8" x14ac:dyDescent="0.35">
      <c r="B15" t="s">
        <v>50</v>
      </c>
      <c r="C15" s="23">
        <v>3</v>
      </c>
      <c r="D15" s="24">
        <f>D14+0.02</f>
        <v>0.55000000000000004</v>
      </c>
      <c r="E15" s="24">
        <f t="shared" ref="E15:H15" si="3">E14+0.02</f>
        <v>0.55000000000000004</v>
      </c>
      <c r="F15" s="24">
        <f t="shared" si="3"/>
        <v>0.55000000000000004</v>
      </c>
      <c r="G15" s="24">
        <f t="shared" si="3"/>
        <v>0.55000000000000004</v>
      </c>
      <c r="H15" s="24">
        <f t="shared" si="3"/>
        <v>0.55000000000000004</v>
      </c>
    </row>
    <row r="17" spans="2:9" x14ac:dyDescent="0.35">
      <c r="B17" t="s">
        <v>52</v>
      </c>
      <c r="D17" s="25">
        <f>CHOOSE(DCF!$C$5,'AS1'!D18,'AS1'!D19,'AS1'!D20)</f>
        <v>0.12000000000000001</v>
      </c>
      <c r="E17" s="25">
        <f>CHOOSE(DCF!$C$5,'AS1'!E18,'AS1'!E19,'AS1'!E20)</f>
        <v>0.12000000000000001</v>
      </c>
      <c r="F17" s="25">
        <f>CHOOSE(DCF!$C$5,'AS1'!F18,'AS1'!F19,'AS1'!F20)</f>
        <v>0.12000000000000001</v>
      </c>
      <c r="G17" s="25">
        <f>CHOOSE(DCF!$C$5,'AS1'!G18,'AS1'!G19,'AS1'!G20)</f>
        <v>0.12000000000000001</v>
      </c>
      <c r="H17" s="25">
        <f>CHOOSE(DCF!$C$5,'AS1'!H18,'AS1'!H19,'AS1'!H20)</f>
        <v>0.12000000000000001</v>
      </c>
    </row>
    <row r="18" spans="2:9" x14ac:dyDescent="0.35">
      <c r="B18" t="s">
        <v>48</v>
      </c>
      <c r="C18" s="23">
        <v>1</v>
      </c>
      <c r="D18" s="24">
        <f>D19-0.02</f>
        <v>0.12000000000000001</v>
      </c>
      <c r="E18" s="24">
        <f t="shared" ref="E18:H18" si="4">E19-0.02</f>
        <v>0.12000000000000001</v>
      </c>
      <c r="F18" s="24">
        <f t="shared" si="4"/>
        <v>0.12000000000000001</v>
      </c>
      <c r="G18" s="24">
        <f t="shared" si="4"/>
        <v>0.12000000000000001</v>
      </c>
      <c r="H18" s="24">
        <f t="shared" si="4"/>
        <v>0.12000000000000001</v>
      </c>
    </row>
    <row r="19" spans="2:9" x14ac:dyDescent="0.35">
      <c r="B19" t="s">
        <v>49</v>
      </c>
      <c r="C19" s="23">
        <v>2</v>
      </c>
      <c r="D19" s="24">
        <v>0.14000000000000001</v>
      </c>
      <c r="E19" s="24">
        <v>0.14000000000000001</v>
      </c>
      <c r="F19" s="24">
        <v>0.14000000000000001</v>
      </c>
      <c r="G19" s="24">
        <v>0.14000000000000001</v>
      </c>
      <c r="H19" s="24">
        <v>0.14000000000000001</v>
      </c>
    </row>
    <row r="20" spans="2:9" x14ac:dyDescent="0.35">
      <c r="B20" t="s">
        <v>50</v>
      </c>
      <c r="C20" s="23">
        <v>3</v>
      </c>
      <c r="D20" s="24">
        <f>D19+0.02</f>
        <v>0.16</v>
      </c>
      <c r="E20" s="24">
        <f t="shared" ref="E20:H20" si="5">E19+0.02</f>
        <v>0.16</v>
      </c>
      <c r="F20" s="24">
        <f t="shared" si="5"/>
        <v>0.16</v>
      </c>
      <c r="G20" s="24">
        <f t="shared" si="5"/>
        <v>0.16</v>
      </c>
      <c r="H20" s="24">
        <f t="shared" si="5"/>
        <v>0.16</v>
      </c>
    </row>
    <row r="22" spans="2:9" x14ac:dyDescent="0.35">
      <c r="B22" t="s">
        <v>53</v>
      </c>
      <c r="D22" s="25">
        <f>CHOOSE(DCF!$C$5,'AS1'!D23,'AS1'!D24,'AS1'!D25)</f>
        <v>4.9999999999999996E-2</v>
      </c>
      <c r="E22" s="25">
        <f>CHOOSE(DCF!$C$5,'AS1'!E23,'AS1'!E24,'AS1'!E25)</f>
        <v>4.9999999999999996E-2</v>
      </c>
      <c r="F22" s="25">
        <f>CHOOSE(DCF!$C$5,'AS1'!F23,'AS1'!F24,'AS1'!F25)</f>
        <v>4.9999999999999996E-2</v>
      </c>
      <c r="G22" s="25">
        <f>CHOOSE(DCF!$C$5,'AS1'!G23,'AS1'!G24,'AS1'!G25)</f>
        <v>4.9999999999999996E-2</v>
      </c>
      <c r="H22" s="25">
        <f>CHOOSE(DCF!$C$5,'AS1'!H23,'AS1'!H24,'AS1'!H25)</f>
        <v>4.9999999999999996E-2</v>
      </c>
    </row>
    <row r="23" spans="2:9" x14ac:dyDescent="0.35">
      <c r="B23" t="s">
        <v>48</v>
      </c>
      <c r="C23" s="23">
        <v>1</v>
      </c>
      <c r="D23" s="24">
        <f>D24-0.01</f>
        <v>4.9999999999999996E-2</v>
      </c>
      <c r="E23" s="24">
        <f t="shared" ref="E23:H23" si="6">E24-0.01</f>
        <v>4.9999999999999996E-2</v>
      </c>
      <c r="F23" s="24">
        <f t="shared" si="6"/>
        <v>4.9999999999999996E-2</v>
      </c>
      <c r="G23" s="24">
        <f t="shared" si="6"/>
        <v>4.9999999999999996E-2</v>
      </c>
      <c r="H23" s="24">
        <f t="shared" si="6"/>
        <v>4.9999999999999996E-2</v>
      </c>
    </row>
    <row r="24" spans="2:9" x14ac:dyDescent="0.35">
      <c r="B24" t="s">
        <v>49</v>
      </c>
      <c r="C24" s="23">
        <v>2</v>
      </c>
      <c r="D24" s="24">
        <v>0.06</v>
      </c>
      <c r="E24" s="24">
        <v>0.06</v>
      </c>
      <c r="F24" s="24">
        <v>0.06</v>
      </c>
      <c r="G24" s="24">
        <v>0.06</v>
      </c>
      <c r="H24" s="24">
        <v>0.06</v>
      </c>
    </row>
    <row r="25" spans="2:9" x14ac:dyDescent="0.35">
      <c r="B25" t="s">
        <v>50</v>
      </c>
      <c r="C25" s="23">
        <v>3</v>
      </c>
      <c r="D25" s="24">
        <f>D24+0.01</f>
        <v>6.9999999999999993E-2</v>
      </c>
      <c r="E25" s="24">
        <f t="shared" ref="E25:H25" si="7">E24+0.01</f>
        <v>6.9999999999999993E-2</v>
      </c>
      <c r="F25" s="24">
        <f t="shared" si="7"/>
        <v>6.9999999999999993E-2</v>
      </c>
      <c r="G25" s="24">
        <f t="shared" si="7"/>
        <v>6.9999999999999993E-2</v>
      </c>
      <c r="H25" s="24">
        <f t="shared" si="7"/>
        <v>6.9999999999999993E-2</v>
      </c>
    </row>
    <row r="27" spans="2:9" x14ac:dyDescent="0.35">
      <c r="B27" t="s">
        <v>54</v>
      </c>
      <c r="D27" s="25">
        <f>CHOOSE(DCF!$C$5,'AS1'!D28,'AS1'!D29,'AS1'!D30)</f>
        <v>1.55E-2</v>
      </c>
      <c r="E27" s="25">
        <f>CHOOSE(DCF!$C$5,'AS1'!E28,'AS1'!E29,'AS1'!E30)</f>
        <v>1.55E-2</v>
      </c>
      <c r="F27" s="25">
        <f>CHOOSE(DCF!$C$5,'AS1'!F28,'AS1'!F29,'AS1'!F30)</f>
        <v>1.55E-2</v>
      </c>
      <c r="G27" s="25">
        <f>CHOOSE(DCF!$C$5,'AS1'!G28,'AS1'!G29,'AS1'!G30)</f>
        <v>1.55E-2</v>
      </c>
      <c r="H27" s="25">
        <f>CHOOSE(DCF!$C$5,'AS1'!H28,'AS1'!H29,'AS1'!H30)</f>
        <v>1.55E-2</v>
      </c>
    </row>
    <row r="28" spans="2:9" x14ac:dyDescent="0.35">
      <c r="B28" t="s">
        <v>48</v>
      </c>
      <c r="C28" s="23">
        <v>1</v>
      </c>
      <c r="D28" s="24">
        <f>D29+0.002</f>
        <v>1.55E-2</v>
      </c>
      <c r="E28" s="24">
        <f t="shared" ref="E28:H28" si="8">E29+0.002</f>
        <v>1.55E-2</v>
      </c>
      <c r="F28" s="24">
        <f t="shared" si="8"/>
        <v>1.55E-2</v>
      </c>
      <c r="G28" s="24">
        <f t="shared" si="8"/>
        <v>1.55E-2</v>
      </c>
      <c r="H28" s="24">
        <f t="shared" si="8"/>
        <v>1.55E-2</v>
      </c>
    </row>
    <row r="29" spans="2:9" x14ac:dyDescent="0.35">
      <c r="B29" t="s">
        <v>49</v>
      </c>
      <c r="C29" s="23">
        <v>2</v>
      </c>
      <c r="D29" s="24">
        <v>1.35E-2</v>
      </c>
      <c r="E29" s="24">
        <v>1.35E-2</v>
      </c>
      <c r="F29" s="24">
        <v>1.35E-2</v>
      </c>
      <c r="G29" s="24">
        <v>1.35E-2</v>
      </c>
      <c r="H29" s="24">
        <v>1.35E-2</v>
      </c>
      <c r="I29" s="24"/>
    </row>
    <row r="30" spans="2:9" x14ac:dyDescent="0.35">
      <c r="B30" t="s">
        <v>50</v>
      </c>
      <c r="C30" s="23">
        <v>3</v>
      </c>
      <c r="D30" s="24">
        <f>D29-0.002</f>
        <v>1.15E-2</v>
      </c>
      <c r="E30" s="24">
        <f t="shared" ref="E30:H30" si="9">E29-0.002</f>
        <v>1.15E-2</v>
      </c>
      <c r="F30" s="24">
        <f t="shared" si="9"/>
        <v>1.15E-2</v>
      </c>
      <c r="G30" s="24">
        <f t="shared" si="9"/>
        <v>1.15E-2</v>
      </c>
      <c r="H30" s="24">
        <f t="shared" si="9"/>
        <v>1.15E-2</v>
      </c>
    </row>
    <row r="32" spans="2:9" x14ac:dyDescent="0.35">
      <c r="B32" t="s">
        <v>55</v>
      </c>
      <c r="D32" s="25">
        <f>CHOOSE(DCF!$C$5,'AS1'!D33,'AS1'!D34,'AS1'!D35)</f>
        <v>2.0999999999999998E-2</v>
      </c>
      <c r="E32" s="25">
        <f>CHOOSE(DCF!$C$5,'AS1'!E33,'AS1'!E34,'AS1'!E35)</f>
        <v>2.0999999999999998E-2</v>
      </c>
      <c r="F32" s="25">
        <f>CHOOSE(DCF!$C$5,'AS1'!F33,'AS1'!F34,'AS1'!F35)</f>
        <v>2.0999999999999998E-2</v>
      </c>
      <c r="G32" s="25">
        <f>CHOOSE(DCF!$C$5,'AS1'!G33,'AS1'!G34,'AS1'!G35)</f>
        <v>2.0999999999999998E-2</v>
      </c>
      <c r="H32" s="25">
        <f>CHOOSE(DCF!$C$5,'AS1'!H33,'AS1'!H34,'AS1'!H35)</f>
        <v>2.0999999999999998E-2</v>
      </c>
    </row>
    <row r="33" spans="2:8" x14ac:dyDescent="0.35">
      <c r="B33" t="s">
        <v>48</v>
      </c>
      <c r="C33" s="23">
        <v>1</v>
      </c>
      <c r="D33" s="24">
        <f>D34-0.002</f>
        <v>2.0999999999999998E-2</v>
      </c>
      <c r="E33" s="24">
        <f t="shared" ref="E33:H33" si="10">E34-0.002</f>
        <v>2.0999999999999998E-2</v>
      </c>
      <c r="F33" s="24">
        <f t="shared" si="10"/>
        <v>2.0999999999999998E-2</v>
      </c>
      <c r="G33" s="24">
        <f t="shared" si="10"/>
        <v>2.0999999999999998E-2</v>
      </c>
      <c r="H33" s="24">
        <f t="shared" si="10"/>
        <v>2.0999999999999998E-2</v>
      </c>
    </row>
    <row r="34" spans="2:8" x14ac:dyDescent="0.35">
      <c r="B34" t="s">
        <v>49</v>
      </c>
      <c r="C34" s="23">
        <v>2</v>
      </c>
      <c r="D34" s="24">
        <v>2.3E-2</v>
      </c>
      <c r="E34" s="24">
        <v>2.3E-2</v>
      </c>
      <c r="F34" s="24">
        <v>2.3E-2</v>
      </c>
      <c r="G34" s="24">
        <v>2.3E-2</v>
      </c>
      <c r="H34" s="24">
        <v>2.3E-2</v>
      </c>
    </row>
    <row r="35" spans="2:8" x14ac:dyDescent="0.35">
      <c r="B35" t="s">
        <v>50</v>
      </c>
      <c r="C35" s="23">
        <v>3</v>
      </c>
      <c r="D35" s="24">
        <f>D34+0.002</f>
        <v>2.5000000000000001E-2</v>
      </c>
      <c r="E35" s="24">
        <f t="shared" ref="E35:H35" si="11">E34+0.002</f>
        <v>2.5000000000000001E-2</v>
      </c>
      <c r="F35" s="24">
        <f t="shared" si="11"/>
        <v>2.5000000000000001E-2</v>
      </c>
      <c r="G35" s="24">
        <f t="shared" si="11"/>
        <v>2.5000000000000001E-2</v>
      </c>
      <c r="H35" s="24">
        <f t="shared" si="11"/>
        <v>2.5000000000000001E-2</v>
      </c>
    </row>
    <row r="37" spans="2:8" x14ac:dyDescent="0.35">
      <c r="B37" s="3" t="s">
        <v>56</v>
      </c>
    </row>
    <row r="38" spans="2:8" x14ac:dyDescent="0.35">
      <c r="B38" t="s">
        <v>57</v>
      </c>
      <c r="D38" s="25">
        <f>CHOOSE(DCF!$C$5,'AS1'!D39,'AS1'!D40,'AS1'!D41)</f>
        <v>1.2E-2</v>
      </c>
      <c r="E38" s="25">
        <f>CHOOSE(DCF!$C$5,'AS1'!E39,'AS1'!E40,'AS1'!E41)</f>
        <v>1.2E-2</v>
      </c>
      <c r="F38" s="25">
        <f>CHOOSE(DCF!$C$5,'AS1'!F39,'AS1'!F40,'AS1'!F41)</f>
        <v>1.2E-2</v>
      </c>
      <c r="G38" s="25">
        <f>CHOOSE(DCF!$C$5,'AS1'!G39,'AS1'!G40,'AS1'!G41)</f>
        <v>1.2E-2</v>
      </c>
      <c r="H38" s="25">
        <f>CHOOSE(DCF!$C$5,'AS1'!H39,'AS1'!H40,'AS1'!H41)</f>
        <v>1.2E-2</v>
      </c>
    </row>
    <row r="39" spans="2:8" x14ac:dyDescent="0.35">
      <c r="B39" t="s">
        <v>48</v>
      </c>
      <c r="C39" s="23">
        <v>1</v>
      </c>
      <c r="D39" s="24">
        <f>D40-0.002</f>
        <v>1.2E-2</v>
      </c>
      <c r="E39" s="24">
        <f t="shared" ref="E39:H39" si="12">E40-0.002</f>
        <v>1.2E-2</v>
      </c>
      <c r="F39" s="24">
        <f t="shared" si="12"/>
        <v>1.2E-2</v>
      </c>
      <c r="G39" s="24">
        <f t="shared" si="12"/>
        <v>1.2E-2</v>
      </c>
      <c r="H39" s="24">
        <f t="shared" si="12"/>
        <v>1.2E-2</v>
      </c>
    </row>
    <row r="40" spans="2:8" x14ac:dyDescent="0.35">
      <c r="B40" t="s">
        <v>49</v>
      </c>
      <c r="C40" s="23">
        <v>2</v>
      </c>
      <c r="D40" s="24">
        <v>1.4E-2</v>
      </c>
      <c r="E40" s="24">
        <v>1.4E-2</v>
      </c>
      <c r="F40" s="24">
        <v>1.4E-2</v>
      </c>
      <c r="G40" s="24">
        <v>1.4E-2</v>
      </c>
      <c r="H40" s="24">
        <v>1.4E-2</v>
      </c>
    </row>
    <row r="41" spans="2:8" x14ac:dyDescent="0.35">
      <c r="B41" t="s">
        <v>50</v>
      </c>
      <c r="C41" s="23">
        <v>3</v>
      </c>
      <c r="D41" s="24">
        <f>D40+0.002</f>
        <v>1.6E-2</v>
      </c>
      <c r="E41" s="24">
        <f t="shared" ref="E41:H41" si="13">E40+0.002</f>
        <v>1.6E-2</v>
      </c>
      <c r="F41" s="24">
        <f t="shared" si="13"/>
        <v>1.6E-2</v>
      </c>
      <c r="G41" s="24">
        <f t="shared" si="13"/>
        <v>1.6E-2</v>
      </c>
      <c r="H41" s="24">
        <f t="shared" si="13"/>
        <v>1.6E-2</v>
      </c>
    </row>
  </sheetData>
  <mergeCells count="1">
    <mergeCell ref="D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368A-4484-4211-83B2-D759EDD91B33}">
  <dimension ref="B1:H47"/>
  <sheetViews>
    <sheetView showGridLines="0" topLeftCell="A27" zoomScale="80" zoomScaleNormal="80" workbookViewId="0">
      <selection activeCell="N42" sqref="N42"/>
    </sheetView>
  </sheetViews>
  <sheetFormatPr defaultRowHeight="14.5" x14ac:dyDescent="0.35"/>
  <cols>
    <col min="1" max="1" width="1.81640625" customWidth="1"/>
    <col min="2" max="2" width="40.90625" customWidth="1"/>
  </cols>
  <sheetData>
    <row r="1" spans="2:8" ht="26" x14ac:dyDescent="0.6">
      <c r="B1" s="33" t="s">
        <v>0</v>
      </c>
      <c r="C1" s="32"/>
      <c r="D1" s="32"/>
      <c r="E1" s="32"/>
      <c r="F1" s="32"/>
      <c r="G1" s="32"/>
      <c r="H1" s="32"/>
    </row>
    <row r="2" spans="2:8" ht="21" x14ac:dyDescent="0.5">
      <c r="B2" s="35" t="s">
        <v>70</v>
      </c>
      <c r="C2" s="32"/>
      <c r="D2" s="32"/>
      <c r="E2" s="32"/>
      <c r="F2" s="32"/>
      <c r="G2" s="32"/>
      <c r="H2" s="32"/>
    </row>
    <row r="4" spans="2:8" x14ac:dyDescent="0.35">
      <c r="D4" s="116" t="s">
        <v>18</v>
      </c>
      <c r="E4" s="116"/>
      <c r="F4" s="116"/>
      <c r="G4" s="116"/>
      <c r="H4" s="116"/>
    </row>
    <row r="5" spans="2:8" x14ac:dyDescent="0.35">
      <c r="D5" s="3">
        <f>DCF!I8</f>
        <v>2025</v>
      </c>
      <c r="E5" s="3">
        <f>DCF!J8</f>
        <v>2026</v>
      </c>
      <c r="F5" s="3">
        <f>DCF!K8</f>
        <v>2027</v>
      </c>
      <c r="G5" s="3">
        <f>DCF!L8</f>
        <v>2028</v>
      </c>
      <c r="H5" s="3">
        <f>DCF!M8</f>
        <v>2029</v>
      </c>
    </row>
    <row r="6" spans="2:8" x14ac:dyDescent="0.35">
      <c r="B6" s="3" t="s">
        <v>69</v>
      </c>
    </row>
    <row r="7" spans="2:8" x14ac:dyDescent="0.35">
      <c r="B7" s="3" t="s">
        <v>20</v>
      </c>
    </row>
    <row r="8" spans="2:8" x14ac:dyDescent="0.35">
      <c r="B8" t="s">
        <v>71</v>
      </c>
      <c r="D8" s="10">
        <f>CHOOSE(DCF!$C$5,'AS2'!D9,'AS2'!D10,'AS2'!D11)</f>
        <v>60</v>
      </c>
      <c r="E8" s="10">
        <f>CHOOSE(DCF!$C$5,'AS2'!E9,'AS2'!E10,'AS2'!E11)</f>
        <v>60</v>
      </c>
      <c r="F8" s="10">
        <f>CHOOSE(DCF!$C$5,'AS2'!F9,'AS2'!F10,'AS2'!F11)</f>
        <v>60</v>
      </c>
      <c r="G8" s="10">
        <f>CHOOSE(DCF!$C$5,'AS2'!G9,'AS2'!G10,'AS2'!G11)</f>
        <v>60</v>
      </c>
      <c r="H8" s="10">
        <f>CHOOSE(DCF!$C$5,'AS2'!H9,'AS2'!H10,'AS2'!H11)</f>
        <v>60</v>
      </c>
    </row>
    <row r="9" spans="2:8" x14ac:dyDescent="0.35">
      <c r="B9" t="s">
        <v>48</v>
      </c>
      <c r="C9" s="23">
        <v>1</v>
      </c>
      <c r="D9">
        <f>D10-5</f>
        <v>60</v>
      </c>
      <c r="E9">
        <f t="shared" ref="E9:H9" si="0">E10-5</f>
        <v>60</v>
      </c>
      <c r="F9">
        <f t="shared" si="0"/>
        <v>60</v>
      </c>
      <c r="G9">
        <f t="shared" si="0"/>
        <v>60</v>
      </c>
      <c r="H9">
        <f t="shared" si="0"/>
        <v>60</v>
      </c>
    </row>
    <row r="10" spans="2:8" x14ac:dyDescent="0.35">
      <c r="B10" t="s">
        <v>49</v>
      </c>
      <c r="C10" s="23">
        <v>2</v>
      </c>
      <c r="D10">
        <v>65</v>
      </c>
      <c r="E10">
        <v>65</v>
      </c>
      <c r="F10">
        <v>65</v>
      </c>
      <c r="G10">
        <v>65</v>
      </c>
      <c r="H10">
        <v>65</v>
      </c>
    </row>
    <row r="11" spans="2:8" x14ac:dyDescent="0.35">
      <c r="B11" t="s">
        <v>50</v>
      </c>
      <c r="C11" s="23">
        <v>3</v>
      </c>
      <c r="D11">
        <f>D10+5</f>
        <v>70</v>
      </c>
      <c r="E11">
        <f t="shared" ref="E11:H11" si="1">E10+5</f>
        <v>70</v>
      </c>
      <c r="F11">
        <f t="shared" si="1"/>
        <v>70</v>
      </c>
      <c r="G11">
        <f t="shared" si="1"/>
        <v>70</v>
      </c>
      <c r="H11">
        <f t="shared" si="1"/>
        <v>70</v>
      </c>
    </row>
    <row r="13" spans="2:8" x14ac:dyDescent="0.35">
      <c r="B13" t="s">
        <v>72</v>
      </c>
      <c r="D13" s="38">
        <f>CHOOSE(DCF!$C$5,'AS2'!D14,'AS2'!D15,'AS2'!D16)</f>
        <v>0.05</v>
      </c>
      <c r="E13" s="38">
        <f>CHOOSE(DCF!$C$5,'AS2'!E14,'AS2'!E15,'AS2'!E16)</f>
        <v>0.05</v>
      </c>
      <c r="F13" s="38">
        <f>CHOOSE(DCF!$C$5,'AS2'!F14,'AS2'!F15,'AS2'!F16)</f>
        <v>0.05</v>
      </c>
      <c r="G13" s="38">
        <f>CHOOSE(DCF!$C$5,'AS2'!G14,'AS2'!G15,'AS2'!G16)</f>
        <v>0.05</v>
      </c>
      <c r="H13" s="38">
        <f>CHOOSE(DCF!$C$5,'AS2'!H14,'AS2'!H15,'AS2'!H16)</f>
        <v>0.05</v>
      </c>
    </row>
    <row r="14" spans="2:8" x14ac:dyDescent="0.35">
      <c r="B14" t="s">
        <v>48</v>
      </c>
      <c r="C14" s="23">
        <v>1</v>
      </c>
      <c r="D14" s="16">
        <f>D15-0.02</f>
        <v>0.05</v>
      </c>
      <c r="E14" s="16">
        <f t="shared" ref="E14:H14" si="2">E15-0.02</f>
        <v>0.05</v>
      </c>
      <c r="F14" s="16">
        <f t="shared" si="2"/>
        <v>0.05</v>
      </c>
      <c r="G14" s="16">
        <f t="shared" si="2"/>
        <v>0.05</v>
      </c>
      <c r="H14" s="16">
        <f t="shared" si="2"/>
        <v>0.05</v>
      </c>
    </row>
    <row r="15" spans="2:8" x14ac:dyDescent="0.35">
      <c r="B15" t="s">
        <v>49</v>
      </c>
      <c r="C15" s="23">
        <v>2</v>
      </c>
      <c r="D15" s="16">
        <v>7.0000000000000007E-2</v>
      </c>
      <c r="E15" s="16">
        <v>7.0000000000000007E-2</v>
      </c>
      <c r="F15" s="16">
        <v>7.0000000000000007E-2</v>
      </c>
      <c r="G15" s="16">
        <v>7.0000000000000007E-2</v>
      </c>
      <c r="H15" s="16">
        <v>7.0000000000000007E-2</v>
      </c>
    </row>
    <row r="16" spans="2:8" x14ac:dyDescent="0.35">
      <c r="B16" t="s">
        <v>50</v>
      </c>
      <c r="C16" s="23">
        <v>3</v>
      </c>
      <c r="D16" s="16">
        <f>D15+0.02</f>
        <v>9.0000000000000011E-2</v>
      </c>
      <c r="E16" s="16">
        <f t="shared" ref="E16:H16" si="3">E15+0.02</f>
        <v>9.0000000000000011E-2</v>
      </c>
      <c r="F16" s="16">
        <f t="shared" si="3"/>
        <v>9.0000000000000011E-2</v>
      </c>
      <c r="G16" s="16">
        <f t="shared" si="3"/>
        <v>9.0000000000000011E-2</v>
      </c>
      <c r="H16" s="16">
        <f t="shared" si="3"/>
        <v>9.0000000000000011E-2</v>
      </c>
    </row>
    <row r="18" spans="2:8" x14ac:dyDescent="0.35">
      <c r="B18" t="s">
        <v>73</v>
      </c>
      <c r="D18" s="25">
        <f>CHOOSE(DCF!$C$5,'AS2'!D19,'AS2'!D20,'AS2'!D21)</f>
        <v>0.16</v>
      </c>
      <c r="E18" s="25">
        <f>CHOOSE(DCF!$C$5,'AS2'!E19,'AS2'!E20,'AS2'!E21)</f>
        <v>0.16</v>
      </c>
      <c r="F18" s="25">
        <f>CHOOSE(DCF!$C$5,'AS2'!F19,'AS2'!F20,'AS2'!F21)</f>
        <v>0.16</v>
      </c>
      <c r="G18" s="25">
        <f>CHOOSE(DCF!$C$5,'AS2'!G19,'AS2'!G20,'AS2'!G21)</f>
        <v>0.16</v>
      </c>
      <c r="H18" s="25">
        <f>CHOOSE(DCF!$C$5,'AS2'!H19,'AS2'!H20,'AS2'!H21)</f>
        <v>0.16</v>
      </c>
    </row>
    <row r="19" spans="2:8" x14ac:dyDescent="0.35">
      <c r="B19" t="s">
        <v>48</v>
      </c>
      <c r="C19" s="23">
        <v>1</v>
      </c>
      <c r="D19" s="24">
        <f>D20+0.02</f>
        <v>0.16</v>
      </c>
      <c r="E19" s="24">
        <f t="shared" ref="E19:H19" si="4">E20+0.02</f>
        <v>0.16</v>
      </c>
      <c r="F19" s="24">
        <f t="shared" si="4"/>
        <v>0.16</v>
      </c>
      <c r="G19" s="24">
        <f t="shared" si="4"/>
        <v>0.16</v>
      </c>
      <c r="H19" s="24">
        <f t="shared" si="4"/>
        <v>0.16</v>
      </c>
    </row>
    <row r="20" spans="2:8" x14ac:dyDescent="0.35">
      <c r="B20" t="s">
        <v>49</v>
      </c>
      <c r="C20" s="23">
        <v>2</v>
      </c>
      <c r="D20" s="24">
        <v>0.14000000000000001</v>
      </c>
      <c r="E20" s="24">
        <v>0.14000000000000001</v>
      </c>
      <c r="F20" s="24">
        <v>0.14000000000000001</v>
      </c>
      <c r="G20" s="24">
        <v>0.14000000000000001</v>
      </c>
      <c r="H20" s="24">
        <v>0.14000000000000001</v>
      </c>
    </row>
    <row r="21" spans="2:8" x14ac:dyDescent="0.35">
      <c r="B21" t="s">
        <v>50</v>
      </c>
      <c r="C21" s="23">
        <v>3</v>
      </c>
      <c r="D21" s="24">
        <f>D20-0.02</f>
        <v>0.12000000000000001</v>
      </c>
      <c r="E21" s="24">
        <f t="shared" ref="E21:H21" si="5">E20-0.02</f>
        <v>0.12000000000000001</v>
      </c>
      <c r="F21" s="24">
        <f t="shared" si="5"/>
        <v>0.12000000000000001</v>
      </c>
      <c r="G21" s="24">
        <f t="shared" si="5"/>
        <v>0.12000000000000001</v>
      </c>
      <c r="H21" s="24">
        <f t="shared" si="5"/>
        <v>0.12000000000000001</v>
      </c>
    </row>
    <row r="23" spans="2:8" x14ac:dyDescent="0.35">
      <c r="B23" t="s">
        <v>74</v>
      </c>
      <c r="D23" s="25">
        <f>CHOOSE(DCF!$C$5,'AS2'!D24,'AS2'!D25,'AS2'!D26)</f>
        <v>0.12000000000000001</v>
      </c>
      <c r="E23" s="25">
        <f>CHOOSE(DCF!$C$5,'AS2'!E24,'AS2'!E25,'AS2'!E26)</f>
        <v>0.12000000000000001</v>
      </c>
      <c r="F23" s="25">
        <f>CHOOSE(DCF!$C$5,'AS2'!F24,'AS2'!F25,'AS2'!F26)</f>
        <v>0.12000000000000001</v>
      </c>
      <c r="G23" s="25">
        <f>CHOOSE(DCF!$C$5,'AS2'!G24,'AS2'!G25,'AS2'!G26)</f>
        <v>0.12000000000000001</v>
      </c>
      <c r="H23" s="25">
        <f>CHOOSE(DCF!$C$5,'AS2'!H24,'AS2'!H25,'AS2'!H26)</f>
        <v>0.12000000000000001</v>
      </c>
    </row>
    <row r="24" spans="2:8" x14ac:dyDescent="0.35">
      <c r="B24" t="s">
        <v>48</v>
      </c>
      <c r="C24" s="23">
        <v>1</v>
      </c>
      <c r="D24" s="24">
        <f>D25+0.02</f>
        <v>0.12000000000000001</v>
      </c>
      <c r="E24" s="24">
        <f t="shared" ref="E24:H24" si="6">E25+0.02</f>
        <v>0.12000000000000001</v>
      </c>
      <c r="F24" s="24">
        <f t="shared" si="6"/>
        <v>0.12000000000000001</v>
      </c>
      <c r="G24" s="24">
        <f t="shared" si="6"/>
        <v>0.12000000000000001</v>
      </c>
      <c r="H24" s="24">
        <f t="shared" si="6"/>
        <v>0.12000000000000001</v>
      </c>
    </row>
    <row r="25" spans="2:8" x14ac:dyDescent="0.35">
      <c r="B25" t="s">
        <v>49</v>
      </c>
      <c r="C25" s="23">
        <v>2</v>
      </c>
      <c r="D25" s="24">
        <v>0.1</v>
      </c>
      <c r="E25" s="24">
        <v>0.1</v>
      </c>
      <c r="F25" s="24">
        <v>0.1</v>
      </c>
      <c r="G25" s="24">
        <v>0.1</v>
      </c>
      <c r="H25" s="24">
        <v>0.1</v>
      </c>
    </row>
    <row r="26" spans="2:8" x14ac:dyDescent="0.35">
      <c r="B26" t="s">
        <v>50</v>
      </c>
      <c r="C26" s="23">
        <v>3</v>
      </c>
      <c r="D26" s="24">
        <f>D25-0.02</f>
        <v>0.08</v>
      </c>
      <c r="E26" s="24">
        <f t="shared" ref="E26:H26" si="7">E25-0.02</f>
        <v>0.08</v>
      </c>
      <c r="F26" s="24">
        <f t="shared" si="7"/>
        <v>0.08</v>
      </c>
      <c r="G26" s="24">
        <f t="shared" si="7"/>
        <v>0.08</v>
      </c>
      <c r="H26" s="24">
        <f t="shared" si="7"/>
        <v>0.08</v>
      </c>
    </row>
    <row r="28" spans="2:8" x14ac:dyDescent="0.35">
      <c r="B28" s="3" t="s">
        <v>25</v>
      </c>
    </row>
    <row r="29" spans="2:8" x14ac:dyDescent="0.35">
      <c r="B29" t="s">
        <v>75</v>
      </c>
      <c r="D29" s="10">
        <f>CHOOSE(DCF!$C$5,'AS2'!D30,'AS2'!D31,'AS2'!D32)</f>
        <v>7</v>
      </c>
      <c r="E29" s="10">
        <f>CHOOSE(DCF!$C$5,'AS2'!E30,'AS2'!E31,'AS2'!E32)</f>
        <v>7</v>
      </c>
      <c r="F29" s="10">
        <f>CHOOSE(DCF!$C$5,'AS2'!F30,'AS2'!F31,'AS2'!F32)</f>
        <v>7</v>
      </c>
      <c r="G29" s="10">
        <f>CHOOSE(DCF!$C$5,'AS2'!G30,'AS2'!G31,'AS2'!G32)</f>
        <v>7</v>
      </c>
      <c r="H29" s="10">
        <f>CHOOSE(DCF!$C$5,'AS2'!H30,'AS2'!H31,'AS2'!H32)</f>
        <v>7</v>
      </c>
    </row>
    <row r="30" spans="2:8" x14ac:dyDescent="0.35">
      <c r="B30" t="s">
        <v>48</v>
      </c>
      <c r="C30" s="23">
        <v>1</v>
      </c>
      <c r="D30">
        <f>D31-3</f>
        <v>7</v>
      </c>
      <c r="E30">
        <f t="shared" ref="E30:H30" si="8">E31-3</f>
        <v>7</v>
      </c>
      <c r="F30">
        <f t="shared" si="8"/>
        <v>7</v>
      </c>
      <c r="G30">
        <f t="shared" si="8"/>
        <v>7</v>
      </c>
      <c r="H30">
        <f t="shared" si="8"/>
        <v>7</v>
      </c>
    </row>
    <row r="31" spans="2:8" x14ac:dyDescent="0.35">
      <c r="B31" t="s">
        <v>49</v>
      </c>
      <c r="C31" s="23">
        <v>2</v>
      </c>
      <c r="D31">
        <v>10</v>
      </c>
      <c r="E31">
        <v>10</v>
      </c>
      <c r="F31">
        <v>10</v>
      </c>
      <c r="G31">
        <v>10</v>
      </c>
      <c r="H31">
        <v>10</v>
      </c>
    </row>
    <row r="32" spans="2:8" x14ac:dyDescent="0.35">
      <c r="B32" t="s">
        <v>50</v>
      </c>
      <c r="C32" s="23">
        <v>3</v>
      </c>
      <c r="D32">
        <f>D31+3</f>
        <v>13</v>
      </c>
      <c r="E32">
        <f t="shared" ref="E32:H32" si="9">E31+3</f>
        <v>13</v>
      </c>
      <c r="F32">
        <f t="shared" si="9"/>
        <v>13</v>
      </c>
      <c r="G32">
        <f t="shared" si="9"/>
        <v>13</v>
      </c>
      <c r="H32">
        <f t="shared" si="9"/>
        <v>13</v>
      </c>
    </row>
    <row r="34" spans="2:8" x14ac:dyDescent="0.35">
      <c r="B34" t="s">
        <v>41</v>
      </c>
      <c r="D34" s="25">
        <f>CHOOSE(DCF!$C$5,'AS2'!D35,'AS2'!D36,'AS2'!D37)</f>
        <v>4.9999999999999996E-2</v>
      </c>
      <c r="E34" s="25">
        <f>CHOOSE(DCF!$C$5,'AS2'!E35,'AS2'!E36,'AS2'!E37)</f>
        <v>4.9999999999999996E-2</v>
      </c>
      <c r="F34" s="25">
        <f>CHOOSE(DCF!$C$5,'AS2'!F35,'AS2'!F36,'AS2'!F37)</f>
        <v>4.9999999999999996E-2</v>
      </c>
      <c r="G34" s="25">
        <f>CHOOSE(DCF!$C$5,'AS2'!G35,'AS2'!G36,'AS2'!G37)</f>
        <v>4.9999999999999996E-2</v>
      </c>
      <c r="H34" s="25">
        <f>CHOOSE(DCF!$C$5,'AS2'!H35,'AS2'!H36,'AS2'!H37)</f>
        <v>4.9999999999999996E-2</v>
      </c>
    </row>
    <row r="35" spans="2:8" x14ac:dyDescent="0.35">
      <c r="B35" t="s">
        <v>48</v>
      </c>
      <c r="C35" s="23">
        <v>1</v>
      </c>
      <c r="D35" s="24">
        <f>D36-0.01</f>
        <v>4.9999999999999996E-2</v>
      </c>
      <c r="E35" s="24">
        <f t="shared" ref="E35:H35" si="10">E36-0.01</f>
        <v>4.9999999999999996E-2</v>
      </c>
      <c r="F35" s="24">
        <f t="shared" si="10"/>
        <v>4.9999999999999996E-2</v>
      </c>
      <c r="G35" s="24">
        <f t="shared" si="10"/>
        <v>4.9999999999999996E-2</v>
      </c>
      <c r="H35" s="24">
        <f t="shared" si="10"/>
        <v>4.9999999999999996E-2</v>
      </c>
    </row>
    <row r="36" spans="2:8" x14ac:dyDescent="0.35">
      <c r="B36" t="s">
        <v>49</v>
      </c>
      <c r="C36" s="23">
        <v>2</v>
      </c>
      <c r="D36" s="24">
        <v>0.06</v>
      </c>
      <c r="E36" s="24">
        <v>0.06</v>
      </c>
      <c r="F36" s="24">
        <v>0.06</v>
      </c>
      <c r="G36" s="24">
        <v>0.06</v>
      </c>
      <c r="H36" s="24">
        <v>0.06</v>
      </c>
    </row>
    <row r="37" spans="2:8" x14ac:dyDescent="0.35">
      <c r="B37" t="s">
        <v>50</v>
      </c>
      <c r="C37" s="23">
        <v>3</v>
      </c>
      <c r="D37" s="24">
        <f>D36+0.01</f>
        <v>6.9999999999999993E-2</v>
      </c>
      <c r="E37" s="24">
        <f t="shared" ref="E37:H37" si="11">E36+0.01</f>
        <v>6.9999999999999993E-2</v>
      </c>
      <c r="F37" s="24">
        <f t="shared" si="11"/>
        <v>6.9999999999999993E-2</v>
      </c>
      <c r="G37" s="24">
        <f t="shared" si="11"/>
        <v>6.9999999999999993E-2</v>
      </c>
      <c r="H37" s="24">
        <f t="shared" si="11"/>
        <v>6.9999999999999993E-2</v>
      </c>
    </row>
    <row r="39" spans="2:8" x14ac:dyDescent="0.35">
      <c r="B39" t="s">
        <v>77</v>
      </c>
      <c r="D39" s="25">
        <f>CHOOSE(DCF!$C$5,'AS2'!D40,'AS2'!D41,'AS2'!D42)</f>
        <v>5.4999999999999997E-3</v>
      </c>
      <c r="E39" s="25">
        <f>CHOOSE(DCF!$C$5,'AS2'!E40,'AS2'!E41,'AS2'!E42)</f>
        <v>5.4999999999999997E-3</v>
      </c>
      <c r="F39" s="25">
        <f>CHOOSE(DCF!$C$5,'AS2'!F40,'AS2'!F41,'AS2'!F42)</f>
        <v>5.4999999999999997E-3</v>
      </c>
      <c r="G39" s="25">
        <f>CHOOSE(DCF!$C$5,'AS2'!G40,'AS2'!G41,'AS2'!G42)</f>
        <v>5.4999999999999997E-3</v>
      </c>
      <c r="H39" s="25">
        <f>CHOOSE(DCF!$C$5,'AS2'!H40,'AS2'!H41,'AS2'!H42)</f>
        <v>5.4999999999999997E-3</v>
      </c>
    </row>
    <row r="40" spans="2:8" x14ac:dyDescent="0.35">
      <c r="B40" t="s">
        <v>48</v>
      </c>
      <c r="C40" s="23">
        <v>1</v>
      </c>
      <c r="D40" s="24">
        <f>D41-0.0005</f>
        <v>5.4999999999999997E-3</v>
      </c>
      <c r="E40" s="24">
        <f t="shared" ref="E40:H40" si="12">E41-0.0005</f>
        <v>5.4999999999999997E-3</v>
      </c>
      <c r="F40" s="24">
        <f t="shared" si="12"/>
        <v>5.4999999999999997E-3</v>
      </c>
      <c r="G40" s="24">
        <f t="shared" si="12"/>
        <v>5.4999999999999997E-3</v>
      </c>
      <c r="H40" s="24">
        <f t="shared" si="12"/>
        <v>5.4999999999999997E-3</v>
      </c>
    </row>
    <row r="41" spans="2:8" x14ac:dyDescent="0.35">
      <c r="B41" t="s">
        <v>49</v>
      </c>
      <c r="C41" s="23">
        <v>2</v>
      </c>
      <c r="D41" s="24">
        <v>6.0000000000000001E-3</v>
      </c>
      <c r="E41" s="24">
        <v>6.0000000000000001E-3</v>
      </c>
      <c r="F41" s="24">
        <v>6.0000000000000001E-3</v>
      </c>
      <c r="G41" s="24">
        <v>6.0000000000000001E-3</v>
      </c>
      <c r="H41" s="24">
        <v>6.0000000000000001E-3</v>
      </c>
    </row>
    <row r="42" spans="2:8" x14ac:dyDescent="0.35">
      <c r="B42" t="s">
        <v>50</v>
      </c>
      <c r="C42" s="23">
        <v>3</v>
      </c>
      <c r="D42" s="24">
        <f>D41+0.0005</f>
        <v>6.5000000000000006E-3</v>
      </c>
      <c r="E42" s="24">
        <f t="shared" ref="E42:H42" si="13">E41+0.0005</f>
        <v>6.5000000000000006E-3</v>
      </c>
      <c r="F42" s="24">
        <f t="shared" si="13"/>
        <v>6.5000000000000006E-3</v>
      </c>
      <c r="G42" s="24">
        <f t="shared" si="13"/>
        <v>6.5000000000000006E-3</v>
      </c>
      <c r="H42" s="24">
        <f t="shared" si="13"/>
        <v>6.5000000000000006E-3</v>
      </c>
    </row>
    <row r="44" spans="2:8" x14ac:dyDescent="0.35">
      <c r="B44" t="s">
        <v>76</v>
      </c>
      <c r="D44" s="25">
        <f>CHOOSE(DCF!$C$5,'AS2'!D45,'AS2'!D46,'AS2'!D47)</f>
        <v>0.08</v>
      </c>
      <c r="E44" s="25">
        <f>CHOOSE(DCF!$C$5,'AS2'!E45,'AS2'!E46,'AS2'!E47)</f>
        <v>0.08</v>
      </c>
      <c r="F44" s="25">
        <f>CHOOSE(DCF!$C$5,'AS2'!F45,'AS2'!F46,'AS2'!F47)</f>
        <v>0.08</v>
      </c>
      <c r="G44" s="25">
        <f>CHOOSE(DCF!$C$5,'AS2'!G45,'AS2'!G46,'AS2'!G47)</f>
        <v>0.08</v>
      </c>
      <c r="H44" s="25">
        <f>CHOOSE(DCF!$C$5,'AS2'!H45,'AS2'!H46,'AS2'!H47)</f>
        <v>0.08</v>
      </c>
    </row>
    <row r="45" spans="2:8" x14ac:dyDescent="0.35">
      <c r="B45" t="s">
        <v>48</v>
      </c>
      <c r="C45" s="23">
        <v>1</v>
      </c>
      <c r="D45" s="24">
        <f>D46-0.02</f>
        <v>0.08</v>
      </c>
      <c r="E45" s="24">
        <f t="shared" ref="E45:H45" si="14">E46-0.02</f>
        <v>0.08</v>
      </c>
      <c r="F45" s="24">
        <f t="shared" si="14"/>
        <v>0.08</v>
      </c>
      <c r="G45" s="24">
        <f t="shared" si="14"/>
        <v>0.08</v>
      </c>
      <c r="H45" s="24">
        <f t="shared" si="14"/>
        <v>0.08</v>
      </c>
    </row>
    <row r="46" spans="2:8" x14ac:dyDescent="0.35">
      <c r="B46" t="s">
        <v>49</v>
      </c>
      <c r="C46" s="23">
        <v>2</v>
      </c>
      <c r="D46" s="24">
        <v>0.1</v>
      </c>
      <c r="E46" s="24">
        <v>0.1</v>
      </c>
      <c r="F46" s="24">
        <v>0.1</v>
      </c>
      <c r="G46" s="24">
        <v>0.1</v>
      </c>
      <c r="H46" s="24">
        <v>0.1</v>
      </c>
    </row>
    <row r="47" spans="2:8" x14ac:dyDescent="0.35">
      <c r="B47" t="s">
        <v>50</v>
      </c>
      <c r="C47" s="23">
        <v>3</v>
      </c>
      <c r="D47" s="24">
        <f>D46+0.02</f>
        <v>0.12000000000000001</v>
      </c>
      <c r="E47" s="24">
        <f t="shared" ref="E47:H47" si="15">E46+0.02</f>
        <v>0.12000000000000001</v>
      </c>
      <c r="F47" s="24">
        <f t="shared" si="15"/>
        <v>0.12000000000000001</v>
      </c>
      <c r="G47" s="24">
        <f t="shared" si="15"/>
        <v>0.12000000000000001</v>
      </c>
      <c r="H47" s="24">
        <f t="shared" si="15"/>
        <v>0.12000000000000001</v>
      </c>
    </row>
  </sheetData>
  <mergeCells count="1">
    <mergeCell ref="D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DA73-08F4-443E-8319-488AA2485E9E}">
  <dimension ref="B1:Q32"/>
  <sheetViews>
    <sheetView showGridLines="0" topLeftCell="A16" zoomScale="80" zoomScaleNormal="80" workbookViewId="0">
      <selection activeCell="K36" sqref="K36"/>
    </sheetView>
  </sheetViews>
  <sheetFormatPr defaultRowHeight="14.5" x14ac:dyDescent="0.35"/>
  <cols>
    <col min="1" max="1" width="1.81640625" customWidth="1"/>
    <col min="2" max="2" width="21.54296875" customWidth="1"/>
    <col min="3" max="3" width="17.6328125" bestFit="1" customWidth="1"/>
    <col min="4" max="4" width="10.08984375" bestFit="1" customWidth="1"/>
    <col min="5" max="5" width="11.6328125" bestFit="1" customWidth="1"/>
    <col min="6" max="6" width="14.1796875" bestFit="1" customWidth="1"/>
    <col min="7" max="7" width="9" bestFit="1" customWidth="1"/>
    <col min="8" max="8" width="11.54296875" bestFit="1" customWidth="1"/>
    <col min="9" max="9" width="11.81640625" bestFit="1" customWidth="1"/>
    <col min="11" max="11" width="12.6328125" bestFit="1" customWidth="1"/>
    <col min="12" max="13" width="9.1796875" bestFit="1" customWidth="1"/>
    <col min="15" max="15" width="12.6328125" bestFit="1" customWidth="1"/>
    <col min="16" max="17" width="14.1796875" bestFit="1" customWidth="1"/>
  </cols>
  <sheetData>
    <row r="1" spans="2:17" ht="26" x14ac:dyDescent="0.6">
      <c r="B1" s="33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2"/>
      <c r="O1" s="32"/>
      <c r="P1" s="32"/>
      <c r="Q1" s="32"/>
    </row>
    <row r="2" spans="2:17" ht="21" x14ac:dyDescent="0.5">
      <c r="B2" s="35" t="s">
        <v>139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2"/>
      <c r="O2" s="32"/>
      <c r="P2" s="32"/>
      <c r="Q2" s="32"/>
    </row>
    <row r="3" spans="2:17" x14ac:dyDescent="0.35">
      <c r="B3" s="36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2"/>
      <c r="O3" s="32"/>
      <c r="P3" s="32"/>
      <c r="Q3" s="32"/>
    </row>
    <row r="5" spans="2:17" x14ac:dyDescent="0.35">
      <c r="B5" s="81"/>
      <c r="C5" s="81"/>
      <c r="D5" s="120" t="s">
        <v>161</v>
      </c>
      <c r="E5" s="120"/>
      <c r="F5" s="120"/>
      <c r="G5" s="120"/>
      <c r="H5" s="120"/>
      <c r="I5" s="120"/>
      <c r="J5" s="81"/>
      <c r="K5" s="81"/>
      <c r="L5" s="81"/>
      <c r="M5" s="81"/>
      <c r="N5" s="81"/>
      <c r="O5" s="81"/>
      <c r="P5" s="81"/>
      <c r="Q5" s="81"/>
    </row>
    <row r="6" spans="2:17" ht="29" x14ac:dyDescent="0.35">
      <c r="B6" s="79" t="s">
        <v>159</v>
      </c>
      <c r="C6" s="79" t="s">
        <v>142</v>
      </c>
      <c r="D6" s="82" t="s">
        <v>150</v>
      </c>
      <c r="E6" s="82" t="s">
        <v>152</v>
      </c>
      <c r="F6" s="82" t="s">
        <v>151</v>
      </c>
      <c r="G6" s="82" t="s">
        <v>79</v>
      </c>
      <c r="H6" s="82" t="s">
        <v>160</v>
      </c>
      <c r="I6" s="82" t="s">
        <v>153</v>
      </c>
      <c r="J6" s="81"/>
      <c r="K6" s="82" t="s">
        <v>154</v>
      </c>
      <c r="L6" s="82" t="s">
        <v>14</v>
      </c>
      <c r="M6" s="82" t="s">
        <v>155</v>
      </c>
      <c r="N6" s="81"/>
      <c r="O6" s="82" t="s">
        <v>156</v>
      </c>
      <c r="P6" s="82" t="s">
        <v>157</v>
      </c>
      <c r="Q6" s="82" t="s">
        <v>158</v>
      </c>
    </row>
    <row r="7" spans="2:17" x14ac:dyDescent="0.35">
      <c r="B7" s="83"/>
      <c r="C7" s="83"/>
      <c r="D7" s="84"/>
      <c r="E7" s="84"/>
      <c r="F7" s="84"/>
      <c r="G7" s="84"/>
      <c r="H7" s="84"/>
      <c r="I7" s="84"/>
      <c r="J7" s="85"/>
      <c r="K7" s="84"/>
      <c r="L7" s="84"/>
      <c r="M7" s="84"/>
      <c r="N7" s="85"/>
      <c r="O7" s="84"/>
      <c r="P7" s="84"/>
      <c r="Q7" s="84"/>
    </row>
    <row r="8" spans="2:17" x14ac:dyDescent="0.35">
      <c r="B8" s="90" t="s">
        <v>140</v>
      </c>
      <c r="C8" s="90" t="s">
        <v>143</v>
      </c>
      <c r="D8" s="91">
        <v>3832</v>
      </c>
      <c r="E8" s="91">
        <v>3618.1</v>
      </c>
      <c r="F8" s="91">
        <v>13864692.300000001</v>
      </c>
      <c r="G8" s="91">
        <v>80210</v>
      </c>
      <c r="H8" s="91">
        <v>132860</v>
      </c>
      <c r="I8" s="92">
        <f>F8+G8-H8</f>
        <v>13812042.300000001</v>
      </c>
      <c r="J8" s="93"/>
      <c r="K8" s="91">
        <v>2408930</v>
      </c>
      <c r="L8" s="93">
        <v>687000</v>
      </c>
      <c r="M8" s="93">
        <v>460990</v>
      </c>
      <c r="N8" s="94"/>
      <c r="O8" s="95">
        <f t="shared" ref="O8:O14" si="0">I8/K8</f>
        <v>5.7336835441461567</v>
      </c>
      <c r="P8" s="95">
        <f t="shared" ref="P8:P14" si="1">I8/L8</f>
        <v>20.104865065502185</v>
      </c>
      <c r="Q8" s="95">
        <f t="shared" ref="Q8:Q14" si="2">F8/M8</f>
        <v>30.075906852643225</v>
      </c>
    </row>
    <row r="9" spans="2:17" x14ac:dyDescent="0.35">
      <c r="B9" s="80" t="s">
        <v>103</v>
      </c>
      <c r="C9" s="80" t="s">
        <v>144</v>
      </c>
      <c r="D9" s="86">
        <v>1488</v>
      </c>
      <c r="E9" s="86">
        <v>4151.8999999999996</v>
      </c>
      <c r="F9" s="86">
        <v>6181756.9000000004</v>
      </c>
      <c r="G9" s="86">
        <v>83590</v>
      </c>
      <c r="H9" s="86">
        <v>147860</v>
      </c>
      <c r="I9" s="87">
        <f t="shared" ref="I9:I14" si="3">F9+G9-H9</f>
        <v>6117486.9000000004</v>
      </c>
      <c r="J9" s="4"/>
      <c r="K9" s="86">
        <v>1536700</v>
      </c>
      <c r="L9" s="4">
        <v>408510</v>
      </c>
      <c r="M9" s="4">
        <v>262480</v>
      </c>
      <c r="O9" s="96">
        <f t="shared" si="0"/>
        <v>3.9809246437170565</v>
      </c>
      <c r="P9" s="96">
        <f t="shared" si="1"/>
        <v>14.975121539252406</v>
      </c>
      <c r="Q9" s="96">
        <f t="shared" si="2"/>
        <v>23.551344483389212</v>
      </c>
    </row>
    <row r="10" spans="2:17" x14ac:dyDescent="0.35">
      <c r="B10" s="80" t="s">
        <v>104</v>
      </c>
      <c r="C10" s="80" t="s">
        <v>145</v>
      </c>
      <c r="D10" s="86">
        <v>1431</v>
      </c>
      <c r="E10" s="86">
        <v>2713.7</v>
      </c>
      <c r="F10" s="86">
        <v>3883390.4</v>
      </c>
      <c r="G10" s="86">
        <v>57560</v>
      </c>
      <c r="H10" s="86">
        <v>201500</v>
      </c>
      <c r="I10" s="87">
        <f t="shared" si="3"/>
        <v>3739450.4</v>
      </c>
      <c r="J10" s="4"/>
      <c r="K10" s="86">
        <v>1099130</v>
      </c>
      <c r="L10" s="4">
        <v>256930</v>
      </c>
      <c r="M10" s="4">
        <v>157100</v>
      </c>
      <c r="O10" s="96">
        <f t="shared" si="0"/>
        <v>3.4021911875756281</v>
      </c>
      <c r="P10" s="96">
        <f t="shared" si="1"/>
        <v>14.554354882652863</v>
      </c>
      <c r="Q10" s="96">
        <f t="shared" si="2"/>
        <v>24.719225970719286</v>
      </c>
    </row>
    <row r="11" spans="2:17" x14ac:dyDescent="0.35">
      <c r="B11" s="80" t="s">
        <v>105</v>
      </c>
      <c r="C11" s="80" t="s">
        <v>146</v>
      </c>
      <c r="D11" s="86">
        <v>477</v>
      </c>
      <c r="E11" s="86">
        <v>5229.8999999999996</v>
      </c>
      <c r="F11" s="86">
        <v>2497298.2999999998</v>
      </c>
      <c r="G11" s="86">
        <v>164649</v>
      </c>
      <c r="H11" s="86">
        <v>96953</v>
      </c>
      <c r="I11" s="87">
        <f t="shared" si="3"/>
        <v>2564994.2999999998</v>
      </c>
      <c r="J11" s="4"/>
      <c r="K11" s="86">
        <v>897603</v>
      </c>
      <c r="L11" s="4">
        <v>193833</v>
      </c>
      <c r="M11" s="4">
        <v>111121</v>
      </c>
      <c r="O11" s="96">
        <f t="shared" si="0"/>
        <v>2.8576044197713242</v>
      </c>
      <c r="P11" s="96">
        <f t="shared" si="1"/>
        <v>13.233011406726408</v>
      </c>
      <c r="Q11" s="96">
        <f t="shared" si="2"/>
        <v>22.473684542075752</v>
      </c>
    </row>
    <row r="12" spans="2:17" x14ac:dyDescent="0.35">
      <c r="B12" s="80" t="s">
        <v>106</v>
      </c>
      <c r="C12" s="80" t="s">
        <v>147</v>
      </c>
      <c r="D12" s="86">
        <v>5025</v>
      </c>
      <c r="E12" s="86">
        <v>296.2</v>
      </c>
      <c r="F12" s="86">
        <v>1490457</v>
      </c>
      <c r="G12" s="86">
        <v>20706</v>
      </c>
      <c r="H12" s="86">
        <v>28160</v>
      </c>
      <c r="I12" s="87">
        <f t="shared" si="3"/>
        <v>1483003</v>
      </c>
      <c r="J12" s="4"/>
      <c r="K12" s="86">
        <v>355170</v>
      </c>
      <c r="L12" s="4">
        <v>70893</v>
      </c>
      <c r="M12" s="4">
        <v>45846</v>
      </c>
      <c r="O12" s="96">
        <f t="shared" si="0"/>
        <v>4.175473716811668</v>
      </c>
      <c r="P12" s="96">
        <f t="shared" si="1"/>
        <v>20.918891851099545</v>
      </c>
      <c r="Q12" s="96">
        <f t="shared" si="2"/>
        <v>32.510077215024211</v>
      </c>
    </row>
    <row r="13" spans="2:17" x14ac:dyDescent="0.35">
      <c r="B13" s="80" t="s">
        <v>107</v>
      </c>
      <c r="C13" s="80" t="s">
        <v>148</v>
      </c>
      <c r="D13" s="86">
        <v>1372</v>
      </c>
      <c r="E13" s="86">
        <v>976.9</v>
      </c>
      <c r="F13" s="86">
        <v>1339804.3</v>
      </c>
      <c r="G13" s="86">
        <v>25367</v>
      </c>
      <c r="H13" s="86">
        <v>47355</v>
      </c>
      <c r="I13" s="87">
        <f t="shared" si="3"/>
        <v>1317816.3</v>
      </c>
      <c r="J13" s="4"/>
      <c r="K13" s="86">
        <v>519955</v>
      </c>
      <c r="L13" s="4">
        <v>54337</v>
      </c>
      <c r="M13" s="4">
        <v>23968</v>
      </c>
      <c r="O13" s="96">
        <f t="shared" si="0"/>
        <v>2.5344814455097078</v>
      </c>
      <c r="P13" s="96">
        <f t="shared" si="1"/>
        <v>24.252651048088779</v>
      </c>
      <c r="Q13" s="96">
        <f t="shared" si="2"/>
        <v>55.899712116154873</v>
      </c>
    </row>
    <row r="14" spans="2:17" x14ac:dyDescent="0.35">
      <c r="B14" s="80" t="s">
        <v>141</v>
      </c>
      <c r="C14" s="80" t="s">
        <v>149</v>
      </c>
      <c r="D14" s="86">
        <v>3769</v>
      </c>
      <c r="E14" s="86">
        <v>154</v>
      </c>
      <c r="F14" s="86">
        <v>581199.80000000005</v>
      </c>
      <c r="G14" s="86">
        <v>4511.3</v>
      </c>
      <c r="H14" s="86">
        <v>10228.9</v>
      </c>
      <c r="I14" s="87">
        <f t="shared" si="3"/>
        <v>575482.20000000007</v>
      </c>
      <c r="J14" s="4"/>
      <c r="K14" s="86">
        <v>98215.9</v>
      </c>
      <c r="L14" s="4">
        <v>18037.099999999999</v>
      </c>
      <c r="M14" s="4">
        <v>10934</v>
      </c>
      <c r="O14" s="96">
        <f t="shared" si="0"/>
        <v>5.859358820720475</v>
      </c>
      <c r="P14" s="96">
        <f t="shared" si="1"/>
        <v>31.905472609233197</v>
      </c>
      <c r="Q14" s="96">
        <f t="shared" si="2"/>
        <v>53.15527711724895</v>
      </c>
    </row>
    <row r="15" spans="2:17" x14ac:dyDescent="0.35">
      <c r="O15" s="96"/>
      <c r="P15" s="96"/>
      <c r="Q15" s="96"/>
    </row>
    <row r="16" spans="2:17" x14ac:dyDescent="0.35">
      <c r="B16" s="90" t="s">
        <v>163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97">
        <f>MAX(O8:O14)</f>
        <v>5.859358820720475</v>
      </c>
      <c r="P16" s="97">
        <f t="shared" ref="P16:Q16" si="4">MAX(P8:P14)</f>
        <v>31.905472609233197</v>
      </c>
      <c r="Q16" s="97">
        <f t="shared" si="4"/>
        <v>55.899712116154873</v>
      </c>
    </row>
    <row r="17" spans="2:17" x14ac:dyDescent="0.35">
      <c r="B17" s="90" t="s">
        <v>164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97">
        <f>QUARTILE(O8:O14,3)</f>
        <v>4.9545786304789123</v>
      </c>
      <c r="P17" s="97">
        <f t="shared" ref="P17:Q17" si="5">QUARTILE(P8:P14,3)</f>
        <v>22.585771449594162</v>
      </c>
      <c r="Q17" s="97">
        <f t="shared" si="5"/>
        <v>42.832677166136577</v>
      </c>
    </row>
    <row r="18" spans="2:17" x14ac:dyDescent="0.35">
      <c r="B18" s="90" t="s">
        <v>162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95">
        <f>AVERAGE(O8:O14)</f>
        <v>4.0776739683217169</v>
      </c>
      <c r="P18" s="95">
        <f t="shared" ref="P18:Q18" si="6">AVERAGE(P8:P14)</f>
        <v>19.992052628936481</v>
      </c>
      <c r="Q18" s="95">
        <f t="shared" si="6"/>
        <v>34.626461185322214</v>
      </c>
    </row>
    <row r="19" spans="2:17" x14ac:dyDescent="0.35">
      <c r="B19" s="90" t="s">
        <v>109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95">
        <f>MEDIAN(O8:O14)</f>
        <v>3.9809246437170565</v>
      </c>
      <c r="P19" s="95">
        <f t="shared" ref="P19:Q19" si="7">MEDIAN(P8:P14)</f>
        <v>20.104865065502185</v>
      </c>
      <c r="Q19" s="95">
        <f t="shared" si="7"/>
        <v>30.075906852643225</v>
      </c>
    </row>
    <row r="20" spans="2:17" x14ac:dyDescent="0.35">
      <c r="B20" s="90" t="s">
        <v>165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97">
        <f>QUARTILE(O8:O14,1)</f>
        <v>3.1298978036734759</v>
      </c>
      <c r="P20" s="97">
        <f>QUARTILE(P8:P14,1)</f>
        <v>14.764738210952634</v>
      </c>
      <c r="Q20" s="97">
        <f>QUARTILE(Q8:Q14,1)</f>
        <v>24.135285227054247</v>
      </c>
    </row>
    <row r="21" spans="2:17" x14ac:dyDescent="0.35">
      <c r="B21" s="90" t="s">
        <v>166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97">
        <f>MIN(O8:O14)</f>
        <v>2.5344814455097078</v>
      </c>
      <c r="P21" s="97">
        <f>MIN(P8:P14)</f>
        <v>13.233011406726408</v>
      </c>
      <c r="Q21" s="97">
        <f>MIN(Q8:Q14)</f>
        <v>22.473684542075752</v>
      </c>
    </row>
    <row r="24" spans="2:17" x14ac:dyDescent="0.35">
      <c r="B24" s="115" t="s">
        <v>167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</row>
    <row r="26" spans="2:17" x14ac:dyDescent="0.35">
      <c r="B26" s="99" t="s">
        <v>168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88">
        <f>O$19*K$8</f>
        <v>9589768.8019893281</v>
      </c>
      <c r="P26" s="88">
        <f>P$19*L$8</f>
        <v>13812042.300000001</v>
      </c>
      <c r="Q26" s="88">
        <f>Q29+Q28-Q27</f>
        <v>13917342.300000001</v>
      </c>
    </row>
    <row r="27" spans="2:17" x14ac:dyDescent="0.35">
      <c r="B27" s="99" t="s">
        <v>79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88">
        <f>$G$8</f>
        <v>80210</v>
      </c>
      <c r="P27" s="88">
        <f>$G$8</f>
        <v>80210</v>
      </c>
      <c r="Q27" s="88">
        <f>$G$8</f>
        <v>80210</v>
      </c>
    </row>
    <row r="28" spans="2:17" x14ac:dyDescent="0.35">
      <c r="B28" s="99" t="s">
        <v>160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88">
        <f>$H$8</f>
        <v>132860</v>
      </c>
      <c r="P28" s="88">
        <f>$H$8</f>
        <v>132860</v>
      </c>
      <c r="Q28" s="88">
        <f>$H$8</f>
        <v>132860</v>
      </c>
    </row>
    <row r="29" spans="2:17" x14ac:dyDescent="0.35">
      <c r="B29" s="99" t="s">
        <v>169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88">
        <f>O26+O27-O28</f>
        <v>9537118.8019893281</v>
      </c>
      <c r="P29" s="88">
        <f>P26+P27-P28</f>
        <v>13759392.300000001</v>
      </c>
      <c r="Q29" s="88">
        <f>Q19*M8</f>
        <v>13864692.300000001</v>
      </c>
    </row>
    <row r="30" spans="2:17" x14ac:dyDescent="0.35">
      <c r="B30" s="99" t="s">
        <v>170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88">
        <f>$E$8</f>
        <v>3618.1</v>
      </c>
      <c r="P30" s="88">
        <f t="shared" ref="P30:Q30" si="8">$E$8</f>
        <v>3618.1</v>
      </c>
      <c r="Q30" s="88">
        <f t="shared" si="8"/>
        <v>3618.1</v>
      </c>
    </row>
    <row r="31" spans="2:17" x14ac:dyDescent="0.35">
      <c r="B31" s="99" t="s">
        <v>171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88">
        <f>O29/$E$8</f>
        <v>2635.9467129126692</v>
      </c>
      <c r="P31" s="88">
        <f>P29/$E$8</f>
        <v>3802.933114065394</v>
      </c>
      <c r="Q31" s="88">
        <f>Q29/$E$8</f>
        <v>3832.036787264034</v>
      </c>
    </row>
    <row r="32" spans="2:17" x14ac:dyDescent="0.35">
      <c r="O32" s="98" t="str">
        <f>IF($D$8&gt;O31,"Over Valued",IF($D$8&lt;O31,"Under Valued","Fairly Valued"))</f>
        <v>Over Valued</v>
      </c>
      <c r="P32" s="98" t="str">
        <f t="shared" ref="P32:Q32" si="9">IF($D$8&gt;P31,"Over Valued",IF($D$8&lt;P31,"Under Valued","Fairly Valued"))</f>
        <v>Over Valued</v>
      </c>
      <c r="Q32" s="98" t="str">
        <f t="shared" si="9"/>
        <v>Under Valued</v>
      </c>
    </row>
  </sheetData>
  <mergeCells count="2">
    <mergeCell ref="D5:I5"/>
    <mergeCell ref="B24:Q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DCF</vt:lpstr>
      <vt:lpstr>NWC</vt:lpstr>
      <vt:lpstr>WACC</vt:lpstr>
      <vt:lpstr>AS1</vt:lpstr>
      <vt:lpstr>AS2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Panchpor</dc:creator>
  <cp:lastModifiedBy>Ameya Panchpor</cp:lastModifiedBy>
  <dcterms:created xsi:type="dcterms:W3CDTF">2015-06-05T18:17:20Z</dcterms:created>
  <dcterms:modified xsi:type="dcterms:W3CDTF">2024-06-30T06:50:27Z</dcterms:modified>
</cp:coreProperties>
</file>