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orningstaronline-my.sharepoint.com/personal/ameya_panchpor_morningstar_com/Documents/Desktop/"/>
    </mc:Choice>
  </mc:AlternateContent>
  <xr:revisionPtr revIDLastSave="1130" documentId="8_{3A026F3D-1050-4A1B-A8E0-CC84BA23E568}" xr6:coauthVersionLast="47" xr6:coauthVersionMax="47" xr10:uidLastSave="{2539F91C-E89C-4222-BB40-1F4E4F3EF2A9}"/>
  <bookViews>
    <workbookView xWindow="-110" yWindow="-110" windowWidth="19420" windowHeight="10300" xr2:uid="{707A119A-BF74-4C36-81DC-C0DF39E44807}"/>
  </bookViews>
  <sheets>
    <sheet name="Drivers" sheetId="1" r:id="rId1"/>
    <sheet name="Savings Forecast" sheetId="3" r:id="rId2"/>
    <sheet name="Fixed Asset Rollover" sheetId="4" r:id="rId3"/>
    <sheet name="Working Capital" sheetId="5" r:id="rId4"/>
    <sheet name="Debt Financing" sheetId="6" r:id="rId5"/>
    <sheet name="P&amp;L" sheetId="7" r:id="rId6"/>
    <sheet name="Cash Flow" sheetId="8" r:id="rId7"/>
    <sheet name="WACC" sheetId="9" r:id="rId8"/>
    <sheet name="DCF" sheetId="10" r:id="rId9"/>
  </sheet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0" l="1"/>
  <c r="D28" i="9"/>
  <c r="E28" i="9"/>
  <c r="F28" i="9"/>
  <c r="G28" i="9"/>
  <c r="H28" i="9"/>
  <c r="I28" i="9"/>
  <c r="J28" i="9"/>
  <c r="K28" i="9"/>
  <c r="L28" i="9"/>
  <c r="M28" i="9"/>
  <c r="C28" i="9"/>
  <c r="C24" i="9"/>
  <c r="C23" i="9"/>
  <c r="D14" i="9"/>
  <c r="E14" i="9"/>
  <c r="F14" i="9"/>
  <c r="G14" i="9"/>
  <c r="H14" i="9"/>
  <c r="I14" i="9"/>
  <c r="J14" i="9"/>
  <c r="K14" i="9"/>
  <c r="L14" i="9"/>
  <c r="M14" i="9"/>
  <c r="C14" i="9"/>
  <c r="D10" i="9" l="1"/>
  <c r="D11" i="9"/>
  <c r="D9" i="9"/>
  <c r="C10" i="9"/>
  <c r="C11" i="9"/>
  <c r="C9" i="9"/>
  <c r="C6" i="9"/>
  <c r="C5" i="9"/>
  <c r="C4" i="9"/>
  <c r="C3" i="9"/>
  <c r="C13" i="8"/>
  <c r="D12" i="8"/>
  <c r="E12" i="8"/>
  <c r="F12" i="8"/>
  <c r="G12" i="8"/>
  <c r="H12" i="8"/>
  <c r="I12" i="8"/>
  <c r="J12" i="8"/>
  <c r="K12" i="8"/>
  <c r="L12" i="8"/>
  <c r="M12" i="8"/>
  <c r="C12" i="8"/>
  <c r="D11" i="8"/>
  <c r="E11" i="8"/>
  <c r="F11" i="8"/>
  <c r="G11" i="8"/>
  <c r="H11" i="8"/>
  <c r="I11" i="8"/>
  <c r="J11" i="8"/>
  <c r="K11" i="8"/>
  <c r="L11" i="8"/>
  <c r="M11" i="8"/>
  <c r="C11" i="8"/>
  <c r="D8" i="7"/>
  <c r="E8" i="7"/>
  <c r="F8" i="7"/>
  <c r="G8" i="7"/>
  <c r="H8" i="7"/>
  <c r="I8" i="7"/>
  <c r="J8" i="7"/>
  <c r="K8" i="7"/>
  <c r="L8" i="7"/>
  <c r="C8" i="7"/>
  <c r="C20" i="6"/>
  <c r="C19" i="6"/>
  <c r="D12" i="6"/>
  <c r="E12" i="6"/>
  <c r="F12" i="6"/>
  <c r="G12" i="6"/>
  <c r="H12" i="6"/>
  <c r="I12" i="6"/>
  <c r="J12" i="6"/>
  <c r="K12" i="6"/>
  <c r="L12" i="6"/>
  <c r="M12" i="6"/>
  <c r="C12" i="6"/>
  <c r="C16" i="6"/>
  <c r="C14" i="6" l="1"/>
  <c r="D11" i="6" s="1"/>
  <c r="D13" i="6"/>
  <c r="E13" i="6"/>
  <c r="F13" i="6"/>
  <c r="G13" i="6"/>
  <c r="H13" i="6"/>
  <c r="I13" i="6"/>
  <c r="J13" i="6"/>
  <c r="K13" i="6"/>
  <c r="L13" i="6"/>
  <c r="M13" i="6"/>
  <c r="C13" i="6"/>
  <c r="C11" i="6"/>
  <c r="C7" i="6"/>
  <c r="C8" i="6"/>
  <c r="C6" i="6"/>
  <c r="C10" i="5"/>
  <c r="C9" i="5"/>
  <c r="C11" i="5" s="1"/>
  <c r="C6" i="5"/>
  <c r="C5" i="5"/>
  <c r="C4" i="5"/>
  <c r="L26" i="4"/>
  <c r="D15" i="4"/>
  <c r="E8" i="8" s="1"/>
  <c r="E15" i="4"/>
  <c r="F15" i="4"/>
  <c r="G8" i="8" s="1"/>
  <c r="G15" i="4"/>
  <c r="K25" i="4" s="1"/>
  <c r="H15" i="4"/>
  <c r="I8" i="8" s="1"/>
  <c r="I15" i="4"/>
  <c r="J15" i="4"/>
  <c r="K15" i="4"/>
  <c r="L8" i="8" s="1"/>
  <c r="L15" i="4"/>
  <c r="M8" i="8" s="1"/>
  <c r="C15" i="4"/>
  <c r="E21" i="4" s="1"/>
  <c r="C14" i="4"/>
  <c r="E20" i="4" s="1"/>
  <c r="C8" i="4"/>
  <c r="C5" i="4"/>
  <c r="C6" i="4"/>
  <c r="C4" i="4"/>
  <c r="D30" i="3"/>
  <c r="D5" i="7" s="1"/>
  <c r="E30" i="3"/>
  <c r="E5" i="7" s="1"/>
  <c r="F30" i="3"/>
  <c r="F5" i="7" s="1"/>
  <c r="G30" i="3"/>
  <c r="G5" i="7" s="1"/>
  <c r="H30" i="3"/>
  <c r="H5" i="7" s="1"/>
  <c r="I30" i="3"/>
  <c r="I5" i="7" s="1"/>
  <c r="J30" i="3"/>
  <c r="J5" i="7" s="1"/>
  <c r="K30" i="3"/>
  <c r="K5" i="7" s="1"/>
  <c r="L30" i="3"/>
  <c r="L5" i="7" s="1"/>
  <c r="C30" i="3"/>
  <c r="C5" i="7" s="1"/>
  <c r="D29" i="3"/>
  <c r="E29" i="3"/>
  <c r="F29" i="3"/>
  <c r="G29" i="3"/>
  <c r="H29" i="3"/>
  <c r="I29" i="3"/>
  <c r="J29" i="3"/>
  <c r="K29" i="3"/>
  <c r="L29" i="3"/>
  <c r="C29" i="3"/>
  <c r="D28" i="3"/>
  <c r="E28" i="3"/>
  <c r="F28" i="3"/>
  <c r="G28" i="3"/>
  <c r="H28" i="3"/>
  <c r="I28" i="3"/>
  <c r="J28" i="3"/>
  <c r="K28" i="3"/>
  <c r="L28" i="3"/>
  <c r="C28" i="3"/>
  <c r="D27" i="3"/>
  <c r="E27" i="3"/>
  <c r="F27" i="3"/>
  <c r="G27" i="3"/>
  <c r="H27" i="3"/>
  <c r="I27" i="3"/>
  <c r="J27" i="3"/>
  <c r="K27" i="3"/>
  <c r="L27" i="3"/>
  <c r="C27" i="3"/>
  <c r="D24" i="3"/>
  <c r="E24" i="3"/>
  <c r="F24" i="3"/>
  <c r="G24" i="3"/>
  <c r="H24" i="3"/>
  <c r="I24" i="3"/>
  <c r="J24" i="3"/>
  <c r="K24" i="3"/>
  <c r="L24" i="3"/>
  <c r="C24" i="3"/>
  <c r="E23" i="3"/>
  <c r="F23" i="3" s="1"/>
  <c r="G23" i="3" s="1"/>
  <c r="H23" i="3" s="1"/>
  <c r="I23" i="3" s="1"/>
  <c r="J23" i="3" s="1"/>
  <c r="K23" i="3" s="1"/>
  <c r="L23" i="3" s="1"/>
  <c r="D23" i="3"/>
  <c r="D22" i="3"/>
  <c r="E22" i="3" s="1"/>
  <c r="F22" i="3" s="1"/>
  <c r="G22" i="3" s="1"/>
  <c r="H22" i="3" s="1"/>
  <c r="I22" i="3" s="1"/>
  <c r="J22" i="3" s="1"/>
  <c r="K22" i="3" s="1"/>
  <c r="L22" i="3" s="1"/>
  <c r="C23" i="3"/>
  <c r="C22" i="3"/>
  <c r="C19" i="3"/>
  <c r="C18" i="3"/>
  <c r="D11" i="3"/>
  <c r="E11" i="3"/>
  <c r="F11" i="3"/>
  <c r="G18" i="6" s="1"/>
  <c r="G19" i="6" s="1"/>
  <c r="G20" i="6" s="1"/>
  <c r="G11" i="3"/>
  <c r="H18" i="6" s="1"/>
  <c r="H19" i="6" s="1"/>
  <c r="H20" i="6" s="1"/>
  <c r="H11" i="3"/>
  <c r="I18" i="6" s="1"/>
  <c r="I19" i="6" s="1"/>
  <c r="I20" i="6" s="1"/>
  <c r="I11" i="3"/>
  <c r="J18" i="6" s="1"/>
  <c r="J19" i="6" s="1"/>
  <c r="J20" i="6" s="1"/>
  <c r="J11" i="3"/>
  <c r="K11" i="3"/>
  <c r="L11" i="3"/>
  <c r="C11" i="3"/>
  <c r="D10" i="3"/>
  <c r="E10" i="3"/>
  <c r="F10" i="3"/>
  <c r="G10" i="3"/>
  <c r="H10" i="3"/>
  <c r="I10" i="3"/>
  <c r="J10" i="3"/>
  <c r="K10" i="3"/>
  <c r="L10" i="3"/>
  <c r="C10" i="3"/>
  <c r="D9" i="3"/>
  <c r="E9" i="3"/>
  <c r="F9" i="3"/>
  <c r="G9" i="3"/>
  <c r="H9" i="3"/>
  <c r="I9" i="3"/>
  <c r="J9" i="3"/>
  <c r="K9" i="3"/>
  <c r="L9" i="3"/>
  <c r="C9" i="3"/>
  <c r="D8" i="3"/>
  <c r="E8" i="3"/>
  <c r="F8" i="3"/>
  <c r="G8" i="3"/>
  <c r="H8" i="3"/>
  <c r="I8" i="3"/>
  <c r="J8" i="3"/>
  <c r="K8" i="3"/>
  <c r="L8" i="3"/>
  <c r="C8" i="3"/>
  <c r="C32" i="1"/>
  <c r="I26" i="4" l="1"/>
  <c r="K26" i="4"/>
  <c r="J26" i="4"/>
  <c r="G14" i="5"/>
  <c r="I24" i="4"/>
  <c r="H24" i="4"/>
  <c r="M5" i="8"/>
  <c r="L23" i="4"/>
  <c r="F8" i="8"/>
  <c r="L25" i="4"/>
  <c r="E14" i="5"/>
  <c r="F18" i="6"/>
  <c r="F19" i="6" s="1"/>
  <c r="F20" i="6" s="1"/>
  <c r="D14" i="5"/>
  <c r="E18" i="6"/>
  <c r="E19" i="6" s="1"/>
  <c r="E20" i="6" s="1"/>
  <c r="H25" i="4"/>
  <c r="H8" i="8"/>
  <c r="C14" i="5"/>
  <c r="D18" i="6"/>
  <c r="D19" i="6" s="1"/>
  <c r="D20" i="6" s="1"/>
  <c r="K5" i="8"/>
  <c r="F21" i="4"/>
  <c r="J25" i="4"/>
  <c r="F20" i="4"/>
  <c r="C8" i="8"/>
  <c r="C9" i="8" s="1"/>
  <c r="C15" i="8" s="1"/>
  <c r="C22" i="6" s="1"/>
  <c r="C23" i="6" s="1"/>
  <c r="C6" i="10" s="1"/>
  <c r="C9" i="10" s="1"/>
  <c r="C11" i="10" s="1"/>
  <c r="L14" i="5"/>
  <c r="M18" i="6"/>
  <c r="M19" i="6" s="1"/>
  <c r="M20" i="6" s="1"/>
  <c r="J5" i="8"/>
  <c r="D20" i="4"/>
  <c r="I25" i="4"/>
  <c r="I14" i="5"/>
  <c r="I5" i="8"/>
  <c r="G21" i="4"/>
  <c r="D8" i="8"/>
  <c r="E22" i="4"/>
  <c r="H14" i="5"/>
  <c r="H16" i="5" s="1"/>
  <c r="L5" i="8"/>
  <c r="C3" i="6"/>
  <c r="D5" i="8"/>
  <c r="G5" i="8"/>
  <c r="G24" i="4"/>
  <c r="F14" i="5"/>
  <c r="K14" i="5"/>
  <c r="L18" i="6"/>
  <c r="L19" i="6" s="1"/>
  <c r="L20" i="6" s="1"/>
  <c r="F5" i="8"/>
  <c r="K28" i="4"/>
  <c r="K8" i="8"/>
  <c r="L24" i="4"/>
  <c r="J14" i="5"/>
  <c r="K18" i="6"/>
  <c r="K19" i="6" s="1"/>
  <c r="K20" i="6" s="1"/>
  <c r="J13" i="8"/>
  <c r="I9" i="7"/>
  <c r="G9" i="7"/>
  <c r="H13" i="8"/>
  <c r="E5" i="8"/>
  <c r="K27" i="4"/>
  <c r="J8" i="8"/>
  <c r="K24" i="4"/>
  <c r="L28" i="4"/>
  <c r="H5" i="8"/>
  <c r="L22" i="4"/>
  <c r="I13" i="8"/>
  <c r="H9" i="7"/>
  <c r="F9" i="7"/>
  <c r="G13" i="8"/>
  <c r="J24" i="4"/>
  <c r="L29" i="4"/>
  <c r="D16" i="6"/>
  <c r="D14" i="6"/>
  <c r="E11" i="6" s="1"/>
  <c r="H15" i="5"/>
  <c r="I15" i="5"/>
  <c r="J15" i="5"/>
  <c r="K15" i="5"/>
  <c r="L15" i="5"/>
  <c r="L16" i="5" s="1"/>
  <c r="C15" i="5"/>
  <c r="D15" i="5"/>
  <c r="E15" i="5"/>
  <c r="F15" i="5"/>
  <c r="G15" i="5"/>
  <c r="K23" i="4"/>
  <c r="J23" i="4"/>
  <c r="I23" i="4"/>
  <c r="H23" i="4"/>
  <c r="C20" i="4"/>
  <c r="C30" i="4" s="1"/>
  <c r="K22" i="4"/>
  <c r="G23" i="4"/>
  <c r="L20" i="4"/>
  <c r="D21" i="4"/>
  <c r="J22" i="4"/>
  <c r="K20" i="4"/>
  <c r="L21" i="4"/>
  <c r="I22" i="4"/>
  <c r="J20" i="4"/>
  <c r="K21" i="4"/>
  <c r="H22" i="4"/>
  <c r="I20" i="4"/>
  <c r="J21" i="4"/>
  <c r="G22" i="4"/>
  <c r="J27" i="4"/>
  <c r="H20" i="4"/>
  <c r="I21" i="4"/>
  <c r="F22" i="4"/>
  <c r="L27" i="4"/>
  <c r="G20" i="4"/>
  <c r="H21" i="4"/>
  <c r="F23" i="4"/>
  <c r="E30" i="4"/>
  <c r="K30" i="4" l="1"/>
  <c r="G16" i="5"/>
  <c r="G17" i="5" s="1"/>
  <c r="H7" i="8" s="1"/>
  <c r="F16" i="5"/>
  <c r="K16" i="5"/>
  <c r="I16" i="5"/>
  <c r="I17" i="5" s="1"/>
  <c r="J7" i="8" s="1"/>
  <c r="D23" i="6"/>
  <c r="D15" i="9" s="1"/>
  <c r="C15" i="9"/>
  <c r="J16" i="5"/>
  <c r="J17" i="5" s="1"/>
  <c r="K7" i="8" s="1"/>
  <c r="J30" i="4"/>
  <c r="J16" i="4" s="1"/>
  <c r="H30" i="4"/>
  <c r="H16" i="4" s="1"/>
  <c r="L30" i="4"/>
  <c r="L16" i="4" s="1"/>
  <c r="K16" i="4"/>
  <c r="K6" i="7"/>
  <c r="K7" i="7" s="1"/>
  <c r="M13" i="8"/>
  <c r="L9" i="7"/>
  <c r="D9" i="7"/>
  <c r="E13" i="8"/>
  <c r="D14" i="8"/>
  <c r="E9" i="7"/>
  <c r="F13" i="8"/>
  <c r="D30" i="4"/>
  <c r="C16" i="4"/>
  <c r="C17" i="4" s="1"/>
  <c r="D14" i="4" s="1"/>
  <c r="C6" i="7"/>
  <c r="C7" i="7" s="1"/>
  <c r="E16" i="4"/>
  <c r="E6" i="7"/>
  <c r="E7" i="7" s="1"/>
  <c r="L13" i="8"/>
  <c r="K9" i="7"/>
  <c r="C16" i="5"/>
  <c r="C17" i="5" s="1"/>
  <c r="D7" i="8" s="1"/>
  <c r="L17" i="5"/>
  <c r="M7" i="8" s="1"/>
  <c r="I30" i="4"/>
  <c r="K13" i="8"/>
  <c r="J9" i="7"/>
  <c r="F30" i="4"/>
  <c r="D13" i="8"/>
  <c r="C9" i="7"/>
  <c r="E16" i="6"/>
  <c r="E14" i="6"/>
  <c r="F11" i="6" s="1"/>
  <c r="G30" i="4"/>
  <c r="D16" i="5"/>
  <c r="E16" i="5"/>
  <c r="H17" i="5" l="1"/>
  <c r="I7" i="8" s="1"/>
  <c r="H6" i="7"/>
  <c r="H7" i="7" s="1"/>
  <c r="H10" i="7" s="1"/>
  <c r="H11" i="7" s="1"/>
  <c r="I6" i="8" s="1"/>
  <c r="I9" i="8" s="1"/>
  <c r="L6" i="7"/>
  <c r="L7" i="7" s="1"/>
  <c r="L10" i="7" s="1"/>
  <c r="J6" i="7"/>
  <c r="J7" i="7" s="1"/>
  <c r="J10" i="7" s="1"/>
  <c r="K17" i="5"/>
  <c r="L7" i="8" s="1"/>
  <c r="E17" i="5"/>
  <c r="F7" i="8" s="1"/>
  <c r="E23" i="6"/>
  <c r="E15" i="9" s="1"/>
  <c r="F17" i="5"/>
  <c r="G7" i="8" s="1"/>
  <c r="C16" i="9"/>
  <c r="C18" i="9" s="1"/>
  <c r="D16" i="9"/>
  <c r="D18" i="9" s="1"/>
  <c r="D19" i="9"/>
  <c r="D20" i="9" s="1"/>
  <c r="G16" i="4"/>
  <c r="G6" i="7"/>
  <c r="G7" i="7" s="1"/>
  <c r="G10" i="7" s="1"/>
  <c r="I16" i="4"/>
  <c r="I6" i="7"/>
  <c r="I7" i="7" s="1"/>
  <c r="I10" i="7" s="1"/>
  <c r="J11" i="7"/>
  <c r="K6" i="8" s="1"/>
  <c r="K9" i="8" s="1"/>
  <c r="E10" i="7"/>
  <c r="D16" i="4"/>
  <c r="D17" i="4" s="1"/>
  <c r="E14" i="4" s="1"/>
  <c r="E17" i="4" s="1"/>
  <c r="F14" i="4" s="1"/>
  <c r="D6" i="7"/>
  <c r="D7" i="7" s="1"/>
  <c r="D10" i="7" s="1"/>
  <c r="K10" i="7"/>
  <c r="F16" i="4"/>
  <c r="F6" i="7"/>
  <c r="F7" i="7" s="1"/>
  <c r="F10" i="7" s="1"/>
  <c r="D17" i="5"/>
  <c r="E7" i="8" s="1"/>
  <c r="C10" i="7"/>
  <c r="F16" i="6"/>
  <c r="F14" i="6"/>
  <c r="G11" i="6" s="1"/>
  <c r="F23" i="6" l="1"/>
  <c r="F15" i="9" s="1"/>
  <c r="F16" i="9" s="1"/>
  <c r="F18" i="9" s="1"/>
  <c r="E14" i="8"/>
  <c r="E16" i="9"/>
  <c r="E18" i="9" s="1"/>
  <c r="J12" i="7"/>
  <c r="D27" i="9"/>
  <c r="D29" i="9" s="1"/>
  <c r="D31" i="9" s="1"/>
  <c r="C19" i="9"/>
  <c r="C27" i="9" s="1"/>
  <c r="C29" i="9" s="1"/>
  <c r="C31" i="9" s="1"/>
  <c r="F17" i="4"/>
  <c r="G14" i="4" s="1"/>
  <c r="G17" i="4" s="1"/>
  <c r="H14" i="4" s="1"/>
  <c r="H17" i="4" s="1"/>
  <c r="I14" i="4" s="1"/>
  <c r="I17" i="4" s="1"/>
  <c r="J14" i="4" s="1"/>
  <c r="J17" i="4" s="1"/>
  <c r="K14" i="4" s="1"/>
  <c r="K17" i="4" s="1"/>
  <c r="L14" i="4" s="1"/>
  <c r="L17" i="4" s="1"/>
  <c r="H12" i="7"/>
  <c r="D11" i="7"/>
  <c r="E6" i="8" s="1"/>
  <c r="E9" i="8" s="1"/>
  <c r="E11" i="7"/>
  <c r="F6" i="8" s="1"/>
  <c r="F9" i="8" s="1"/>
  <c r="C11" i="7"/>
  <c r="D6" i="8" s="1"/>
  <c r="D9" i="8" s="1"/>
  <c r="D15" i="8" s="1"/>
  <c r="G23" i="6"/>
  <c r="G15" i="9" s="1"/>
  <c r="L11" i="7"/>
  <c r="M6" i="8" s="1"/>
  <c r="M9" i="8" s="1"/>
  <c r="F11" i="7"/>
  <c r="G6" i="8" s="1"/>
  <c r="G9" i="8" s="1"/>
  <c r="I11" i="7"/>
  <c r="J6" i="8" s="1"/>
  <c r="J9" i="8" s="1"/>
  <c r="K11" i="7"/>
  <c r="L6" i="8" s="1"/>
  <c r="L9" i="8" s="1"/>
  <c r="K12" i="7"/>
  <c r="G11" i="7"/>
  <c r="H6" i="8" s="1"/>
  <c r="H9" i="8" s="1"/>
  <c r="G16" i="6"/>
  <c r="G14" i="6"/>
  <c r="H11" i="6" s="1"/>
  <c r="F19" i="9" l="1"/>
  <c r="F27" i="9" s="1"/>
  <c r="F29" i="9" s="1"/>
  <c r="F31" i="9" s="1"/>
  <c r="F14" i="8"/>
  <c r="F15" i="8" s="1"/>
  <c r="E15" i="8"/>
  <c r="E22" i="6" s="1"/>
  <c r="D22" i="6"/>
  <c r="D6" i="10"/>
  <c r="E6" i="10"/>
  <c r="E19" i="9"/>
  <c r="E27" i="9" s="1"/>
  <c r="E29" i="9" s="1"/>
  <c r="E31" i="9" s="1"/>
  <c r="C33" i="9"/>
  <c r="D8" i="10"/>
  <c r="D33" i="9"/>
  <c r="E8" i="10"/>
  <c r="G16" i="9"/>
  <c r="G18" i="9" s="1"/>
  <c r="C20" i="9"/>
  <c r="F12" i="7"/>
  <c r="I12" i="7"/>
  <c r="L12" i="7"/>
  <c r="H23" i="6"/>
  <c r="H15" i="9" s="1"/>
  <c r="G14" i="8"/>
  <c r="G15" i="8" s="1"/>
  <c r="C12" i="7"/>
  <c r="E12" i="7"/>
  <c r="G12" i="7"/>
  <c r="D12" i="7"/>
  <c r="H16" i="6"/>
  <c r="H14" i="6"/>
  <c r="I11" i="6" s="1"/>
  <c r="F6" i="10" l="1"/>
  <c r="F22" i="6"/>
  <c r="F20" i="9"/>
  <c r="E9" i="10"/>
  <c r="E11" i="10" s="1"/>
  <c r="E33" i="9"/>
  <c r="F8" i="10"/>
  <c r="E20" i="9"/>
  <c r="G22" i="6"/>
  <c r="G6" i="10"/>
  <c r="D9" i="10"/>
  <c r="D11" i="10" s="1"/>
  <c r="F33" i="9"/>
  <c r="G8" i="10"/>
  <c r="H16" i="9"/>
  <c r="H18" i="9" s="1"/>
  <c r="G19" i="9"/>
  <c r="G27" i="9" s="1"/>
  <c r="G29" i="9" s="1"/>
  <c r="G31" i="9" s="1"/>
  <c r="I23" i="6"/>
  <c r="I15" i="9" s="1"/>
  <c r="H14" i="8"/>
  <c r="H15" i="8" s="1"/>
  <c r="I16" i="6"/>
  <c r="I14" i="6"/>
  <c r="J11" i="6" s="1"/>
  <c r="F9" i="10" l="1"/>
  <c r="F11" i="10" s="1"/>
  <c r="G9" i="10"/>
  <c r="G11" i="10" s="1"/>
  <c r="G33" i="9"/>
  <c r="H8" i="10"/>
  <c r="H22" i="6"/>
  <c r="H6" i="10"/>
  <c r="I16" i="9"/>
  <c r="I18" i="9" s="1"/>
  <c r="G20" i="9"/>
  <c r="H19" i="9"/>
  <c r="H27" i="9" s="1"/>
  <c r="H29" i="9" s="1"/>
  <c r="H31" i="9" s="1"/>
  <c r="J23" i="6"/>
  <c r="J15" i="9" s="1"/>
  <c r="I14" i="8"/>
  <c r="I15" i="8" s="1"/>
  <c r="J16" i="6"/>
  <c r="J14" i="6"/>
  <c r="K11" i="6" s="1"/>
  <c r="H9" i="10" l="1"/>
  <c r="H11" i="10" s="1"/>
  <c r="H33" i="9"/>
  <c r="I8" i="10"/>
  <c r="H20" i="9"/>
  <c r="I22" i="6"/>
  <c r="I6" i="10"/>
  <c r="J16" i="9"/>
  <c r="J18" i="9" s="1"/>
  <c r="I19" i="9"/>
  <c r="I20" i="9" s="1"/>
  <c r="K23" i="6"/>
  <c r="K15" i="9" s="1"/>
  <c r="J14" i="8"/>
  <c r="J15" i="8" s="1"/>
  <c r="K16" i="6"/>
  <c r="K14" i="6"/>
  <c r="L11" i="6" s="1"/>
  <c r="I9" i="10" l="1"/>
  <c r="I11" i="10" s="1"/>
  <c r="J22" i="6"/>
  <c r="J6" i="10"/>
  <c r="I27" i="9"/>
  <c r="I29" i="9" s="1"/>
  <c r="I31" i="9" s="1"/>
  <c r="K16" i="9"/>
  <c r="K18" i="9" s="1"/>
  <c r="J19" i="9"/>
  <c r="J27" i="9" s="1"/>
  <c r="J29" i="9" s="1"/>
  <c r="J31" i="9" s="1"/>
  <c r="L23" i="6"/>
  <c r="L15" i="9" s="1"/>
  <c r="K14" i="8"/>
  <c r="K15" i="8" s="1"/>
  <c r="L16" i="6"/>
  <c r="L14" i="6"/>
  <c r="M11" i="6" s="1"/>
  <c r="J33" i="9" l="1"/>
  <c r="K8" i="10"/>
  <c r="J20" i="9"/>
  <c r="K22" i="6"/>
  <c r="K6" i="10"/>
  <c r="I33" i="9"/>
  <c r="J8" i="10"/>
  <c r="J9" i="10" s="1"/>
  <c r="J11" i="10" s="1"/>
  <c r="K19" i="9"/>
  <c r="K20" i="9" s="1"/>
  <c r="L16" i="9"/>
  <c r="L18" i="9" s="1"/>
  <c r="M23" i="6"/>
  <c r="L14" i="8"/>
  <c r="L15" i="8" s="1"/>
  <c r="M16" i="6"/>
  <c r="M14" i="6"/>
  <c r="L22" i="6" l="1"/>
  <c r="L6" i="10"/>
  <c r="K9" i="10"/>
  <c r="K11" i="10" s="1"/>
  <c r="M14" i="8"/>
  <c r="M15" i="8" s="1"/>
  <c r="M15" i="9"/>
  <c r="L19" i="9"/>
  <c r="L27" i="9" s="1"/>
  <c r="L29" i="9" s="1"/>
  <c r="L31" i="9" s="1"/>
  <c r="K27" i="9"/>
  <c r="K29" i="9" s="1"/>
  <c r="K31" i="9" s="1"/>
  <c r="K33" i="9" l="1"/>
  <c r="L8" i="10"/>
  <c r="L9" i="10" s="1"/>
  <c r="L11" i="10" s="1"/>
  <c r="L33" i="9"/>
  <c r="M8" i="10"/>
  <c r="M10" i="10" s="1"/>
  <c r="M22" i="6"/>
  <c r="M6" i="10"/>
  <c r="L20" i="9"/>
  <c r="M16" i="9"/>
  <c r="M18" i="9" s="1"/>
  <c r="M9" i="10" l="1"/>
  <c r="M11" i="10" s="1"/>
  <c r="C15" i="10" s="1"/>
  <c r="D18" i="10" s="1"/>
  <c r="M19" i="9"/>
  <c r="M20" i="9" s="1"/>
  <c r="C13" i="10" l="1"/>
  <c r="M27" i="9"/>
  <c r="M29" i="9" s="1"/>
  <c r="M31" i="9" s="1"/>
  <c r="M33" i="9" s="1"/>
</calcChain>
</file>

<file path=xl/sharedStrings.xml><?xml version="1.0" encoding="utf-8"?>
<sst xmlns="http://schemas.openxmlformats.org/spreadsheetml/2006/main" count="193" uniqueCount="135">
  <si>
    <t>Selected Case</t>
  </si>
  <si>
    <t>Inflation</t>
  </si>
  <si>
    <t>Expected long-term inflation Italy</t>
  </si>
  <si>
    <t>Expected long-term inflation (Italy)</t>
  </si>
  <si>
    <t>Expected long-term inflation (Vietnam)</t>
  </si>
  <si>
    <t>Price of Production (EUR)</t>
  </si>
  <si>
    <t>Price of Production (Italy)</t>
  </si>
  <si>
    <t>Price of Production (Vietnam)</t>
  </si>
  <si>
    <t>Estimated Initial Investment (EUR)</t>
  </si>
  <si>
    <t>Best Case</t>
  </si>
  <si>
    <t>Base Case</t>
  </si>
  <si>
    <t>Worst Case</t>
  </si>
  <si>
    <t>Useful life (years)</t>
  </si>
  <si>
    <t>WC Italy</t>
  </si>
  <si>
    <t>DIO</t>
  </si>
  <si>
    <t>DPO</t>
  </si>
  <si>
    <t>Net Trading Cycle (Days)</t>
  </si>
  <si>
    <t>Financing Facilities</t>
  </si>
  <si>
    <t>Senior Facility (EUR)</t>
  </si>
  <si>
    <t>Interest Rate Senior Facility</t>
  </si>
  <si>
    <t>Repay Senior Facility in</t>
  </si>
  <si>
    <t>10 years</t>
  </si>
  <si>
    <t>Loan Schedule</t>
  </si>
  <si>
    <t>Repayment %</t>
  </si>
  <si>
    <t>Covenant</t>
  </si>
  <si>
    <t>Production should not be less than 15,000 per year.</t>
  </si>
  <si>
    <t>Otherwise penalty  of $1,000,000 per year.</t>
  </si>
  <si>
    <t>Tax Rate</t>
  </si>
  <si>
    <t>Residual Value of Project</t>
  </si>
  <si>
    <t>Case 2: Base Case</t>
  </si>
  <si>
    <t>Case 1: Best Case</t>
  </si>
  <si>
    <t>Case 3: Worst Case</t>
  </si>
  <si>
    <t>We are considering production only, hence DSO figures are not included</t>
  </si>
  <si>
    <t>An auto producer company in Italy, make financial sense to move some of its production to Vietnam. The main reasons are lower cost of personnel, land taxes, and raw materials are some of the main reasons the company expects to improve its cash flows
if it moves to Vietnam. We are making a formal financial assessmentby preparing a capital budgeting exercise inorder to have a sense of the possible risks the company  will face if things don't go well. The main source of the income the company would expect to generate from this endeavour is savings derived from the cheaper production of automobiles. We will compare the end price of once car produced in Italy and end price of one in Vietnam. The difference between the two gives us the actual savings per car. The ultimate objective behind building the model is to check whether the project generates or destroys the value.</t>
  </si>
  <si>
    <t>SAVINGS FORECAST</t>
  </si>
  <si>
    <t>Best Volume</t>
  </si>
  <si>
    <t>Base Volume</t>
  </si>
  <si>
    <t>Worst Volume</t>
  </si>
  <si>
    <t>Volume (in Units)</t>
  </si>
  <si>
    <t>CASE:</t>
  </si>
  <si>
    <t>Productivity (as a %)</t>
  </si>
  <si>
    <t>Expected long-term inflation Vietnam</t>
  </si>
  <si>
    <t>Savings per Unit</t>
  </si>
  <si>
    <t>Total Savings (EUR)</t>
  </si>
  <si>
    <t>FIXED ASSET ROLLOVER</t>
  </si>
  <si>
    <t>Useful Life (years)</t>
  </si>
  <si>
    <t>Investment Plan</t>
  </si>
  <si>
    <t>Year</t>
  </si>
  <si>
    <t>In EUR</t>
  </si>
  <si>
    <t>Beginning PPE</t>
  </si>
  <si>
    <t>Capex</t>
  </si>
  <si>
    <t>D&amp;A</t>
  </si>
  <si>
    <t>Ending PPE</t>
  </si>
  <si>
    <t>D&amp;A Schedule (EUR)</t>
  </si>
  <si>
    <t>Year 1</t>
  </si>
  <si>
    <t>Year 2</t>
  </si>
  <si>
    <t>Year 3</t>
  </si>
  <si>
    <t>Year 4</t>
  </si>
  <si>
    <t>Year 5</t>
  </si>
  <si>
    <t>Year 6</t>
  </si>
  <si>
    <t>Year 7</t>
  </si>
  <si>
    <t>Year 8</t>
  </si>
  <si>
    <t>Year 9</t>
  </si>
  <si>
    <t>Year 10</t>
  </si>
  <si>
    <t>Total D&amp;A</t>
  </si>
  <si>
    <t>WORKING CAPITAL</t>
  </si>
  <si>
    <t>WC Vietnam</t>
  </si>
  <si>
    <t>Extra Production Value</t>
  </si>
  <si>
    <t>Delta net trading cycle (days)</t>
  </si>
  <si>
    <t>Working Capital</t>
  </si>
  <si>
    <t>Delta Working Capital</t>
  </si>
  <si>
    <t>DIO Vietnam</t>
  </si>
  <si>
    <t>DPO Vietnam</t>
  </si>
  <si>
    <t>DEBT FINANCING</t>
  </si>
  <si>
    <t>Investment in Year 0</t>
  </si>
  <si>
    <t>Debt Facility (EUR)</t>
  </si>
  <si>
    <t>Interest Rate Debt Facility</t>
  </si>
  <si>
    <t>Repay Debt Faciliity in</t>
  </si>
  <si>
    <t>Beginning Debt</t>
  </si>
  <si>
    <t>Repayment</t>
  </si>
  <si>
    <t>Ending Debt</t>
  </si>
  <si>
    <t>Interest Expense</t>
  </si>
  <si>
    <t>Volume</t>
  </si>
  <si>
    <t>Volume lower than 15,000?</t>
  </si>
  <si>
    <t>Covenant Penalty</t>
  </si>
  <si>
    <t>PROFIT AND LOSS STATEMENT</t>
  </si>
  <si>
    <t>Savings (EBITDA)</t>
  </si>
  <si>
    <t>EBIT</t>
  </si>
  <si>
    <t>Covenants</t>
  </si>
  <si>
    <t>EBT</t>
  </si>
  <si>
    <t>Taxes</t>
  </si>
  <si>
    <t>Net Income</t>
  </si>
  <si>
    <t>CASH FLOW STATEMENT</t>
  </si>
  <si>
    <t>Savings per unit (EBITDA)</t>
  </si>
  <si>
    <t>Operating Cash Flow</t>
  </si>
  <si>
    <t>Debt Repayment</t>
  </si>
  <si>
    <t>Increase of Equity</t>
  </si>
  <si>
    <t>Project Cash Flow</t>
  </si>
  <si>
    <t>Net Cash Flow</t>
  </si>
  <si>
    <t>Equity Financing</t>
  </si>
  <si>
    <t>WEIGHTED AVERAGE COST OF CAPITAL</t>
  </si>
  <si>
    <t>Company Beta</t>
  </si>
  <si>
    <t>Comparable Companies</t>
  </si>
  <si>
    <t>Leverage (D/E)</t>
  </si>
  <si>
    <t>Beta</t>
  </si>
  <si>
    <t>Company A</t>
  </si>
  <si>
    <t>Company B</t>
  </si>
  <si>
    <t>Company C</t>
  </si>
  <si>
    <t>Market Risk Premium (Italy)</t>
  </si>
  <si>
    <t>Market Risk Premium (Vietnam)</t>
  </si>
  <si>
    <t>Risk Free Rate (Vietnam)</t>
  </si>
  <si>
    <t>Risk Free Rate (Italy)</t>
  </si>
  <si>
    <t>Cost of Debt</t>
  </si>
  <si>
    <t>Cost of Equity</t>
  </si>
  <si>
    <t>Market risk premium (Vietnam)</t>
  </si>
  <si>
    <t>Debt Financing</t>
  </si>
  <si>
    <t>Total Financing</t>
  </si>
  <si>
    <t>Debt Financing %</t>
  </si>
  <si>
    <t>Equity Financing %</t>
  </si>
  <si>
    <t>Total Financing %</t>
  </si>
  <si>
    <t>Comparable Companies:</t>
  </si>
  <si>
    <t>Average Leverage</t>
  </si>
  <si>
    <t>Average Beta</t>
  </si>
  <si>
    <t>Project Beta:</t>
  </si>
  <si>
    <t>Debt/Equity</t>
  </si>
  <si>
    <t>Beta Unlevered</t>
  </si>
  <si>
    <t>Project Beta</t>
  </si>
  <si>
    <t>WACC</t>
  </si>
  <si>
    <t>DISCOUNTED CASH FLOWS</t>
  </si>
  <si>
    <t>Residual Value</t>
  </si>
  <si>
    <t>Discounted Cash Flow</t>
  </si>
  <si>
    <t>Discounted Cash Flow with Residual Value</t>
  </si>
  <si>
    <t>Sum of Discounted Cash Flows (NPV)</t>
  </si>
  <si>
    <t>IRR</t>
  </si>
  <si>
    <t>Sensitivity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</si>
</sst>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0;\(#,##0\)"/>
    <numFmt numFmtId="189" formatCode="0.0%"/>
  </numFmts>
  <fonts count="9"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i/>
      <sz val="11"/>
      <color rgb="FF002060"/>
      <name val="Aptos Narrow"/>
      <family val="2"/>
      <scheme val="minor"/>
    </font>
    <font>
      <sz val="11"/>
      <color rgb="FF00B0F0"/>
      <name val="Aptos Narrow"/>
      <family val="2"/>
      <scheme val="minor"/>
    </font>
    <font>
      <sz val="8"/>
      <name val="Aptos Narrow"/>
      <family val="2"/>
      <scheme val="minor"/>
    </font>
  </fonts>
  <fills count="6">
    <fill>
      <patternFill patternType="none"/>
    </fill>
    <fill>
      <patternFill patternType="gray125"/>
    </fill>
    <fill>
      <patternFill patternType="solid">
        <fgColor rgb="FF002060"/>
        <bgColor indexed="64"/>
      </patternFill>
    </fill>
    <fill>
      <patternFill patternType="solid">
        <fgColor rgb="FFFFC000"/>
        <bgColor indexed="64"/>
      </patternFill>
    </fill>
    <fill>
      <patternFill patternType="solid">
        <fgColor rgb="FF0070C0"/>
        <bgColor indexed="64"/>
      </patternFill>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double">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
    <xf numFmtId="0" fontId="0" fillId="0" borderId="0" xfId="0"/>
    <xf numFmtId="9" fontId="0" fillId="0" borderId="0" xfId="0" applyNumberFormat="1"/>
    <xf numFmtId="164" fontId="0" fillId="0" borderId="0" xfId="1" applyNumberFormat="1" applyFont="1"/>
    <xf numFmtId="0" fontId="3" fillId="0" borderId="0" xfId="0" applyFont="1" applyAlignment="1">
      <alignment horizontal="left" vertical="top"/>
    </xf>
    <xf numFmtId="0" fontId="5" fillId="0" borderId="0" xfId="0" applyFont="1"/>
    <xf numFmtId="0" fontId="3" fillId="0" borderId="0" xfId="0" applyFont="1"/>
    <xf numFmtId="0" fontId="3" fillId="0" borderId="1" xfId="0" applyFont="1" applyBorder="1"/>
    <xf numFmtId="0" fontId="0" fillId="0" borderId="1" xfId="0" applyBorder="1"/>
    <xf numFmtId="0" fontId="3" fillId="0" borderId="2" xfId="0" applyFont="1" applyBorder="1"/>
    <xf numFmtId="164" fontId="3" fillId="0" borderId="1" xfId="1" applyNumberFormat="1" applyFont="1" applyBorder="1"/>
    <xf numFmtId="0" fontId="0" fillId="4" borderId="0" xfId="0" applyFill="1"/>
    <xf numFmtId="0" fontId="2" fillId="4" borderId="0" xfId="0" applyFont="1" applyFill="1"/>
    <xf numFmtId="0" fontId="4" fillId="4" borderId="0" xfId="0" applyFont="1" applyFill="1"/>
    <xf numFmtId="0" fontId="0" fillId="0" borderId="2" xfId="0" applyBorder="1"/>
    <xf numFmtId="0" fontId="3" fillId="0" borderId="3" xfId="0" applyFont="1" applyBorder="1"/>
    <xf numFmtId="9" fontId="7" fillId="0" borderId="0" xfId="0" applyNumberFormat="1" applyFont="1"/>
    <xf numFmtId="3" fontId="7" fillId="0" borderId="0" xfId="0" applyNumberFormat="1" applyFont="1"/>
    <xf numFmtId="164" fontId="7" fillId="0" borderId="0" xfId="1" applyNumberFormat="1" applyFont="1"/>
    <xf numFmtId="0" fontId="7" fillId="0" borderId="0" xfId="0" applyFont="1"/>
    <xf numFmtId="0" fontId="7" fillId="0" borderId="0" xfId="0" applyFont="1" applyAlignment="1">
      <alignment horizontal="right"/>
    </xf>
    <xf numFmtId="164" fontId="0" fillId="0" borderId="0" xfId="0" applyNumberFormat="1"/>
    <xf numFmtId="164" fontId="3" fillId="0" borderId="2" xfId="1" applyNumberFormat="1" applyFont="1" applyBorder="1"/>
    <xf numFmtId="164" fontId="3" fillId="0" borderId="3" xfId="0" applyNumberFormat="1" applyFont="1" applyBorder="1"/>
    <xf numFmtId="0" fontId="4" fillId="5" borderId="0" xfId="0" applyFont="1" applyFill="1"/>
    <xf numFmtId="0" fontId="0" fillId="0" borderId="3" xfId="0" applyBorder="1"/>
    <xf numFmtId="165" fontId="0" fillId="0" borderId="0" xfId="1" applyNumberFormat="1" applyFont="1"/>
    <xf numFmtId="165" fontId="0" fillId="0" borderId="0" xfId="0" applyNumberFormat="1"/>
    <xf numFmtId="165" fontId="3" fillId="0" borderId="3" xfId="0" applyNumberFormat="1" applyFont="1" applyBorder="1"/>
    <xf numFmtId="164" fontId="0" fillId="0" borderId="3" xfId="0" applyNumberFormat="1" applyBorder="1"/>
    <xf numFmtId="0" fontId="0" fillId="0" borderId="0" xfId="0" applyAlignment="1">
      <alignment horizontal="right"/>
    </xf>
    <xf numFmtId="9" fontId="0" fillId="0" borderId="0" xfId="2" applyFont="1" applyAlignment="1">
      <alignment horizontal="right"/>
    </xf>
    <xf numFmtId="164" fontId="0" fillId="0" borderId="0" xfId="1" applyNumberFormat="1" applyFont="1" applyAlignment="1">
      <alignment horizontal="right"/>
    </xf>
    <xf numFmtId="165" fontId="0" fillId="0" borderId="0" xfId="0" applyNumberFormat="1" applyAlignment="1">
      <alignment horizontal="center" vertical="center"/>
    </xf>
    <xf numFmtId="164" fontId="3" fillId="0" borderId="2" xfId="0" applyNumberFormat="1" applyFont="1" applyBorder="1"/>
    <xf numFmtId="0" fontId="6" fillId="3" borderId="0" xfId="0" applyFont="1" applyFill="1" applyAlignment="1">
      <alignment horizontal="left" vertical="top" wrapText="1"/>
    </xf>
    <xf numFmtId="165" fontId="3" fillId="0" borderId="0" xfId="0" applyNumberFormat="1" applyFont="1"/>
    <xf numFmtId="0" fontId="3" fillId="0" borderId="2" xfId="0" applyNumberFormat="1" applyFont="1" applyBorder="1"/>
    <xf numFmtId="165" fontId="3" fillId="0" borderId="2" xfId="0" applyNumberFormat="1" applyFont="1" applyBorder="1"/>
    <xf numFmtId="0" fontId="0" fillId="0" borderId="0" xfId="0" applyFont="1"/>
    <xf numFmtId="0" fontId="3" fillId="0" borderId="1" xfId="0" applyFont="1" applyBorder="1" applyAlignment="1">
      <alignment horizontal="right"/>
    </xf>
    <xf numFmtId="0" fontId="2" fillId="2" borderId="0" xfId="0" applyFont="1" applyFill="1"/>
    <xf numFmtId="9" fontId="0" fillId="0" borderId="0" xfId="2" applyFont="1"/>
    <xf numFmtId="2" fontId="0" fillId="0" borderId="0" xfId="2" applyNumberFormat="1" applyFont="1"/>
    <xf numFmtId="0" fontId="0" fillId="0" borderId="0" xfId="0" applyFont="1" applyFill="1" applyBorder="1"/>
    <xf numFmtId="0" fontId="3" fillId="0" borderId="2" xfId="0" applyFont="1" applyFill="1" applyBorder="1"/>
    <xf numFmtId="9" fontId="3" fillId="0" borderId="2" xfId="2" applyFont="1" applyBorder="1"/>
    <xf numFmtId="2" fontId="0" fillId="0" borderId="0" xfId="0" applyNumberFormat="1"/>
    <xf numFmtId="10" fontId="0" fillId="0" borderId="0" xfId="0" applyNumberFormat="1"/>
    <xf numFmtId="2" fontId="3" fillId="0" borderId="2" xfId="0" applyNumberFormat="1" applyFont="1" applyBorder="1"/>
    <xf numFmtId="189" fontId="0" fillId="0" borderId="0" xfId="0" applyNumberFormat="1"/>
    <xf numFmtId="189" fontId="3" fillId="0" borderId="3" xfId="0" applyNumberFormat="1" applyFont="1" applyBorder="1"/>
    <xf numFmtId="189" fontId="0" fillId="0" borderId="0" xfId="2" applyNumberFormat="1" applyFont="1"/>
    <xf numFmtId="10" fontId="3" fillId="0" borderId="0" xfId="0" applyNumberFormat="1" applyFont="1"/>
    <xf numFmtId="10" fontId="0" fillId="0" borderId="0" xfId="2" applyNumberFormat="1" applyFont="1"/>
    <xf numFmtId="0" fontId="0" fillId="0" borderId="0" xfId="0" applyAlignment="1"/>
    <xf numFmtId="0" fontId="3" fillId="0" borderId="0" xfId="0" applyFont="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C285-9F8C-45AB-9F78-F9389A4DB5F5}">
  <dimension ref="B2:U62"/>
  <sheetViews>
    <sheetView showGridLines="0" tabSelected="1" zoomScale="80" zoomScaleNormal="80" workbookViewId="0">
      <selection activeCell="J14" sqref="J14"/>
    </sheetView>
  </sheetViews>
  <sheetFormatPr defaultRowHeight="14.5" x14ac:dyDescent="0.35"/>
  <cols>
    <col min="1" max="1" width="1.81640625" customWidth="1"/>
    <col min="2" max="2" width="32.1796875" bestFit="1" customWidth="1"/>
    <col min="3" max="3" width="14.81640625" bestFit="1" customWidth="1"/>
  </cols>
  <sheetData>
    <row r="2" spans="2:21" x14ac:dyDescent="0.35">
      <c r="B2" s="5" t="s">
        <v>39</v>
      </c>
    </row>
    <row r="3" spans="2:21" ht="14.5" customHeight="1" x14ac:dyDescent="0.35">
      <c r="B3" s="34" t="s">
        <v>33</v>
      </c>
      <c r="C3" s="34"/>
      <c r="D3" s="34"/>
      <c r="E3" s="34"/>
      <c r="F3" s="34"/>
      <c r="G3" s="34"/>
      <c r="H3" s="34"/>
      <c r="I3" s="34"/>
      <c r="J3" s="34"/>
      <c r="K3" s="34"/>
      <c r="L3" s="34"/>
      <c r="M3" s="34"/>
      <c r="N3" s="34"/>
      <c r="O3" s="34"/>
      <c r="P3" s="34"/>
      <c r="Q3" s="34"/>
      <c r="R3" s="34"/>
      <c r="S3" s="34"/>
      <c r="T3" s="34"/>
      <c r="U3" s="34"/>
    </row>
    <row r="4" spans="2:21" x14ac:dyDescent="0.35">
      <c r="B4" s="34"/>
      <c r="C4" s="34"/>
      <c r="D4" s="34"/>
      <c r="E4" s="34"/>
      <c r="F4" s="34"/>
      <c r="G4" s="34"/>
      <c r="H4" s="34"/>
      <c r="I4" s="34"/>
      <c r="J4" s="34"/>
      <c r="K4" s="34"/>
      <c r="L4" s="34"/>
      <c r="M4" s="34"/>
      <c r="N4" s="34"/>
      <c r="O4" s="34"/>
      <c r="P4" s="34"/>
      <c r="Q4" s="34"/>
      <c r="R4" s="34"/>
      <c r="S4" s="34"/>
      <c r="T4" s="34"/>
      <c r="U4" s="34"/>
    </row>
    <row r="5" spans="2:21" x14ac:dyDescent="0.35">
      <c r="B5" s="34"/>
      <c r="C5" s="34"/>
      <c r="D5" s="34"/>
      <c r="E5" s="34"/>
      <c r="F5" s="34"/>
      <c r="G5" s="34"/>
      <c r="H5" s="34"/>
      <c r="I5" s="34"/>
      <c r="J5" s="34"/>
      <c r="K5" s="34"/>
      <c r="L5" s="34"/>
      <c r="M5" s="34"/>
      <c r="N5" s="34"/>
      <c r="O5" s="34"/>
      <c r="P5" s="34"/>
      <c r="Q5" s="34"/>
      <c r="R5" s="34"/>
      <c r="S5" s="34"/>
      <c r="T5" s="34"/>
      <c r="U5" s="34"/>
    </row>
    <row r="6" spans="2:21" x14ac:dyDescent="0.35">
      <c r="B6" s="34"/>
      <c r="C6" s="34"/>
      <c r="D6" s="34"/>
      <c r="E6" s="34"/>
      <c r="F6" s="34"/>
      <c r="G6" s="34"/>
      <c r="H6" s="34"/>
      <c r="I6" s="34"/>
      <c r="J6" s="34"/>
      <c r="K6" s="34"/>
      <c r="L6" s="34"/>
      <c r="M6" s="34"/>
      <c r="N6" s="34"/>
      <c r="O6" s="34"/>
      <c r="P6" s="34"/>
      <c r="Q6" s="34"/>
      <c r="R6" s="34"/>
      <c r="S6" s="34"/>
      <c r="T6" s="34"/>
      <c r="U6" s="34"/>
    </row>
    <row r="8" spans="2:21" x14ac:dyDescent="0.35">
      <c r="B8" s="3" t="s">
        <v>0</v>
      </c>
      <c r="C8" s="40">
        <v>1</v>
      </c>
    </row>
    <row r="9" spans="2:21" x14ac:dyDescent="0.35">
      <c r="B9" s="4" t="s">
        <v>30</v>
      </c>
    </row>
    <row r="10" spans="2:21" x14ac:dyDescent="0.35">
      <c r="B10" s="4" t="s">
        <v>29</v>
      </c>
    </row>
    <row r="11" spans="2:21" x14ac:dyDescent="0.35">
      <c r="B11" s="4" t="s">
        <v>31</v>
      </c>
    </row>
    <row r="14" spans="2:21" x14ac:dyDescent="0.35">
      <c r="B14" s="6" t="s">
        <v>1</v>
      </c>
      <c r="C14" s="7"/>
    </row>
    <row r="15" spans="2:21" x14ac:dyDescent="0.35">
      <c r="B15" t="s">
        <v>3</v>
      </c>
      <c r="C15" s="15">
        <v>0.01</v>
      </c>
    </row>
    <row r="16" spans="2:21" x14ac:dyDescent="0.35">
      <c r="B16" t="s">
        <v>4</v>
      </c>
      <c r="C16" s="15">
        <v>0.03</v>
      </c>
    </row>
    <row r="18" spans="2:3" x14ac:dyDescent="0.35">
      <c r="B18" s="6" t="s">
        <v>5</v>
      </c>
      <c r="C18" s="7"/>
    </row>
    <row r="19" spans="2:3" x14ac:dyDescent="0.35">
      <c r="B19" t="s">
        <v>6</v>
      </c>
      <c r="C19" s="16">
        <v>15500</v>
      </c>
    </row>
    <row r="20" spans="2:3" x14ac:dyDescent="0.35">
      <c r="B20" t="s">
        <v>7</v>
      </c>
      <c r="C20" s="16">
        <v>11000</v>
      </c>
    </row>
    <row r="22" spans="2:3" x14ac:dyDescent="0.35">
      <c r="B22" s="6" t="s">
        <v>8</v>
      </c>
      <c r="C22" s="6"/>
    </row>
    <row r="23" spans="2:3" x14ac:dyDescent="0.35">
      <c r="B23" t="s">
        <v>9</v>
      </c>
      <c r="C23" s="17">
        <v>320000000</v>
      </c>
    </row>
    <row r="24" spans="2:3" x14ac:dyDescent="0.35">
      <c r="B24" t="s">
        <v>10</v>
      </c>
      <c r="C24" s="17">
        <v>350000000</v>
      </c>
    </row>
    <row r="25" spans="2:3" x14ac:dyDescent="0.35">
      <c r="B25" t="s">
        <v>11</v>
      </c>
      <c r="C25" s="17">
        <v>380000000</v>
      </c>
    </row>
    <row r="27" spans="2:3" x14ac:dyDescent="0.35">
      <c r="B27" s="5" t="s">
        <v>12</v>
      </c>
      <c r="C27" s="17">
        <v>10</v>
      </c>
    </row>
    <row r="29" spans="2:3" x14ac:dyDescent="0.35">
      <c r="B29" s="6" t="s">
        <v>13</v>
      </c>
      <c r="C29" s="6"/>
    </row>
    <row r="30" spans="2:3" x14ac:dyDescent="0.35">
      <c r="B30" t="s">
        <v>14</v>
      </c>
      <c r="C30" s="18">
        <v>25</v>
      </c>
    </row>
    <row r="31" spans="2:3" x14ac:dyDescent="0.35">
      <c r="B31" t="s">
        <v>15</v>
      </c>
      <c r="C31" s="18">
        <v>30</v>
      </c>
    </row>
    <row r="32" spans="2:3" x14ac:dyDescent="0.35">
      <c r="B32" s="8" t="s">
        <v>16</v>
      </c>
      <c r="C32" s="8">
        <f>C30-C31</f>
        <v>-5</v>
      </c>
    </row>
    <row r="33" spans="2:13" x14ac:dyDescent="0.35">
      <c r="B33" s="4" t="s">
        <v>32</v>
      </c>
      <c r="C33" s="5"/>
    </row>
    <row r="35" spans="2:13" x14ac:dyDescent="0.35">
      <c r="B35" s="6" t="s">
        <v>17</v>
      </c>
      <c r="C35" s="6"/>
    </row>
    <row r="36" spans="2:13" x14ac:dyDescent="0.35">
      <c r="B36" t="s">
        <v>18</v>
      </c>
      <c r="C36" s="17">
        <v>200000000</v>
      </c>
    </row>
    <row r="37" spans="2:13" x14ac:dyDescent="0.35">
      <c r="B37" t="s">
        <v>19</v>
      </c>
      <c r="C37" s="15">
        <v>0.05</v>
      </c>
    </row>
    <row r="38" spans="2:13" x14ac:dyDescent="0.35">
      <c r="B38" t="s">
        <v>20</v>
      </c>
      <c r="C38" s="19" t="s">
        <v>21</v>
      </c>
    </row>
    <row r="40" spans="2:13" x14ac:dyDescent="0.35">
      <c r="B40" s="6" t="s">
        <v>22</v>
      </c>
      <c r="C40" s="6">
        <v>0</v>
      </c>
      <c r="D40" s="6">
        <v>1</v>
      </c>
      <c r="E40" s="6">
        <v>2</v>
      </c>
      <c r="F40" s="6">
        <v>3</v>
      </c>
      <c r="G40" s="6">
        <v>4</v>
      </c>
      <c r="H40" s="6">
        <v>5</v>
      </c>
      <c r="I40" s="6">
        <v>6</v>
      </c>
      <c r="J40" s="6">
        <v>7</v>
      </c>
      <c r="K40" s="6">
        <v>8</v>
      </c>
      <c r="L40" s="6">
        <v>9</v>
      </c>
      <c r="M40" s="6">
        <v>10</v>
      </c>
    </row>
    <row r="41" spans="2:13" x14ac:dyDescent="0.35">
      <c r="B41" t="s">
        <v>23</v>
      </c>
      <c r="C41" s="15">
        <v>0</v>
      </c>
      <c r="D41" s="15">
        <v>0</v>
      </c>
      <c r="E41" s="15">
        <v>0.05</v>
      </c>
      <c r="F41" s="15">
        <v>0.1</v>
      </c>
      <c r="G41" s="15">
        <v>0.1</v>
      </c>
      <c r="H41" s="15">
        <v>0.1</v>
      </c>
      <c r="I41" s="15">
        <v>0.1</v>
      </c>
      <c r="J41" s="15">
        <v>0.1</v>
      </c>
      <c r="K41" s="15">
        <v>0.1</v>
      </c>
      <c r="L41" s="15">
        <v>0.1</v>
      </c>
      <c r="M41" s="15">
        <v>0.1</v>
      </c>
    </row>
    <row r="43" spans="2:13" x14ac:dyDescent="0.35">
      <c r="B43" s="5" t="s">
        <v>24</v>
      </c>
    </row>
    <row r="44" spans="2:13" x14ac:dyDescent="0.35">
      <c r="B44" t="s">
        <v>25</v>
      </c>
    </row>
    <row r="45" spans="2:13" x14ac:dyDescent="0.35">
      <c r="B45" t="s">
        <v>26</v>
      </c>
    </row>
    <row r="47" spans="2:13" x14ac:dyDescent="0.35">
      <c r="B47" s="5" t="s">
        <v>27</v>
      </c>
      <c r="C47" s="15">
        <v>0.3</v>
      </c>
    </row>
    <row r="49" spans="2:4" x14ac:dyDescent="0.35">
      <c r="B49" s="5" t="s">
        <v>28</v>
      </c>
      <c r="C49" s="17">
        <v>100000000</v>
      </c>
    </row>
    <row r="51" spans="2:4" x14ac:dyDescent="0.35">
      <c r="B51" s="5" t="s">
        <v>101</v>
      </c>
      <c r="C51" s="18">
        <v>0.9</v>
      </c>
    </row>
    <row r="52" spans="2:4" x14ac:dyDescent="0.35">
      <c r="B52" s="5"/>
    </row>
    <row r="53" spans="2:4" x14ac:dyDescent="0.35">
      <c r="B53" s="6" t="s">
        <v>102</v>
      </c>
      <c r="C53" s="39" t="s">
        <v>103</v>
      </c>
      <c r="D53" s="39" t="s">
        <v>104</v>
      </c>
    </row>
    <row r="54" spans="2:4" x14ac:dyDescent="0.35">
      <c r="B54" s="38" t="s">
        <v>105</v>
      </c>
      <c r="C54" s="15">
        <v>0.8</v>
      </c>
      <c r="D54" s="18">
        <v>0.6</v>
      </c>
    </row>
    <row r="55" spans="2:4" x14ac:dyDescent="0.35">
      <c r="B55" s="38" t="s">
        <v>106</v>
      </c>
      <c r="C55" s="15">
        <v>0.9</v>
      </c>
      <c r="D55" s="18">
        <v>0.65</v>
      </c>
    </row>
    <row r="56" spans="2:4" x14ac:dyDescent="0.35">
      <c r="B56" s="38" t="s">
        <v>107</v>
      </c>
      <c r="C56" s="15">
        <v>0.85</v>
      </c>
      <c r="D56" s="18">
        <v>0.56999999999999995</v>
      </c>
    </row>
    <row r="58" spans="2:4" x14ac:dyDescent="0.35">
      <c r="B58" s="5" t="s">
        <v>109</v>
      </c>
      <c r="C58" s="15">
        <v>0.06</v>
      </c>
    </row>
    <row r="59" spans="2:4" x14ac:dyDescent="0.35">
      <c r="B59" s="5" t="s">
        <v>108</v>
      </c>
      <c r="C59" s="15">
        <v>0.05</v>
      </c>
    </row>
    <row r="60" spans="2:4" x14ac:dyDescent="0.35">
      <c r="B60" s="5"/>
    </row>
    <row r="61" spans="2:4" x14ac:dyDescent="0.35">
      <c r="B61" s="5" t="s">
        <v>110</v>
      </c>
      <c r="C61" s="15">
        <v>0.03</v>
      </c>
    </row>
    <row r="62" spans="2:4" x14ac:dyDescent="0.35">
      <c r="B62" s="5" t="s">
        <v>111</v>
      </c>
      <c r="C62" s="15">
        <v>0.02</v>
      </c>
    </row>
  </sheetData>
  <mergeCells count="1">
    <mergeCell ref="B3:U6"/>
  </mergeCells>
  <dataValidations count="1">
    <dataValidation type="list" allowBlank="1" showInputMessage="1" showErrorMessage="1" sqref="C8" xr:uid="{094DB118-E765-452D-A6ED-A81F59517A2C}">
      <formula1>"1,2,3"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F29A1-9305-4822-BDCF-88E935F57F3A}">
  <dimension ref="B1:O30"/>
  <sheetViews>
    <sheetView showGridLines="0" topLeftCell="A12" zoomScale="80" zoomScaleNormal="80" workbookViewId="0">
      <selection activeCell="P10" sqref="P10"/>
    </sheetView>
  </sheetViews>
  <sheetFormatPr defaultRowHeight="14.5" x14ac:dyDescent="0.35"/>
  <cols>
    <col min="1" max="1" width="1.81640625" customWidth="1"/>
    <col min="2" max="2" width="31.453125" bestFit="1" customWidth="1"/>
    <col min="3" max="12" width="14.26953125" bestFit="1" customWidth="1"/>
  </cols>
  <sheetData>
    <row r="1" spans="2:15" x14ac:dyDescent="0.35">
      <c r="B1" s="11" t="s">
        <v>34</v>
      </c>
      <c r="C1" s="12"/>
      <c r="D1" s="12"/>
      <c r="E1" s="12"/>
      <c r="F1" s="12"/>
      <c r="G1" s="12"/>
      <c r="H1" s="12"/>
      <c r="I1" s="12"/>
      <c r="J1" s="12"/>
      <c r="K1" s="12"/>
      <c r="L1" s="12"/>
      <c r="M1" s="12"/>
      <c r="N1" s="23"/>
      <c r="O1" s="23"/>
    </row>
    <row r="3" spans="2:15" x14ac:dyDescent="0.35">
      <c r="B3" t="s">
        <v>35</v>
      </c>
      <c r="C3" s="2">
        <v>22000</v>
      </c>
    </row>
    <row r="4" spans="2:15" x14ac:dyDescent="0.35">
      <c r="B4" t="s">
        <v>36</v>
      </c>
      <c r="C4" s="2">
        <v>20000</v>
      </c>
    </row>
    <row r="5" spans="2:15" x14ac:dyDescent="0.35">
      <c r="B5" t="s">
        <v>37</v>
      </c>
      <c r="C5" s="2">
        <v>18000</v>
      </c>
    </row>
    <row r="7" spans="2:15" x14ac:dyDescent="0.35">
      <c r="B7" s="6" t="s">
        <v>38</v>
      </c>
      <c r="C7" s="9">
        <v>1</v>
      </c>
      <c r="D7" s="6">
        <v>2</v>
      </c>
      <c r="E7" s="6">
        <v>3</v>
      </c>
      <c r="F7" s="6">
        <v>4</v>
      </c>
      <c r="G7" s="6">
        <v>5</v>
      </c>
      <c r="H7" s="6">
        <v>6</v>
      </c>
      <c r="I7" s="6">
        <v>7</v>
      </c>
      <c r="J7" s="6">
        <v>8</v>
      </c>
      <c r="K7" s="6">
        <v>9</v>
      </c>
      <c r="L7" s="6">
        <v>10</v>
      </c>
    </row>
    <row r="8" spans="2:15" x14ac:dyDescent="0.35">
      <c r="B8" t="s">
        <v>9</v>
      </c>
      <c r="C8" s="20">
        <f>$C3*C14</f>
        <v>18700</v>
      </c>
      <c r="D8" s="20">
        <f t="shared" ref="D8:L8" si="0">$C3*D14</f>
        <v>19140</v>
      </c>
      <c r="E8" s="20">
        <f t="shared" si="0"/>
        <v>19580</v>
      </c>
      <c r="F8" s="20">
        <f t="shared" si="0"/>
        <v>20240</v>
      </c>
      <c r="G8" s="20">
        <f t="shared" si="0"/>
        <v>19800</v>
      </c>
      <c r="H8" s="20">
        <f t="shared" si="0"/>
        <v>19580</v>
      </c>
      <c r="I8" s="20">
        <f t="shared" si="0"/>
        <v>19140</v>
      </c>
      <c r="J8" s="20">
        <f t="shared" si="0"/>
        <v>18700</v>
      </c>
      <c r="K8" s="20">
        <f t="shared" si="0"/>
        <v>18480</v>
      </c>
      <c r="L8" s="20">
        <f t="shared" si="0"/>
        <v>18260</v>
      </c>
    </row>
    <row r="9" spans="2:15" x14ac:dyDescent="0.35">
      <c r="B9" t="s">
        <v>10</v>
      </c>
      <c r="C9" s="20">
        <f>$C4*C15</f>
        <v>16000</v>
      </c>
      <c r="D9" s="20">
        <f t="shared" ref="D9:L9" si="1">$C4*D15</f>
        <v>17000</v>
      </c>
      <c r="E9" s="20">
        <f t="shared" si="1"/>
        <v>17400</v>
      </c>
      <c r="F9" s="20">
        <f t="shared" si="1"/>
        <v>18000</v>
      </c>
      <c r="G9" s="20">
        <f t="shared" si="1"/>
        <v>17600</v>
      </c>
      <c r="H9" s="20">
        <f t="shared" si="1"/>
        <v>17400</v>
      </c>
      <c r="I9" s="20">
        <f t="shared" si="1"/>
        <v>17000</v>
      </c>
      <c r="J9" s="20">
        <f t="shared" si="1"/>
        <v>16600</v>
      </c>
      <c r="K9" s="20">
        <f t="shared" si="1"/>
        <v>16400</v>
      </c>
      <c r="L9" s="20">
        <f t="shared" si="1"/>
        <v>16200.000000000002</v>
      </c>
    </row>
    <row r="10" spans="2:15" x14ac:dyDescent="0.35">
      <c r="B10" t="s">
        <v>11</v>
      </c>
      <c r="C10" s="20">
        <f>$C5*C16</f>
        <v>13500</v>
      </c>
      <c r="D10" s="20">
        <f t="shared" ref="D10:L10" si="2">$C5*D16</f>
        <v>14400</v>
      </c>
      <c r="E10" s="20">
        <f t="shared" si="2"/>
        <v>14760</v>
      </c>
      <c r="F10" s="20">
        <f t="shared" si="2"/>
        <v>15120</v>
      </c>
      <c r="G10" s="20">
        <f t="shared" si="2"/>
        <v>14940</v>
      </c>
      <c r="H10" s="20">
        <f t="shared" si="2"/>
        <v>14760</v>
      </c>
      <c r="I10" s="20">
        <f t="shared" si="2"/>
        <v>14400</v>
      </c>
      <c r="J10" s="20">
        <f t="shared" si="2"/>
        <v>14040</v>
      </c>
      <c r="K10" s="20">
        <f t="shared" si="2"/>
        <v>13860</v>
      </c>
      <c r="L10" s="20">
        <f t="shared" si="2"/>
        <v>13680</v>
      </c>
    </row>
    <row r="11" spans="2:15" x14ac:dyDescent="0.35">
      <c r="B11" s="8" t="s">
        <v>0</v>
      </c>
      <c r="C11" s="21">
        <f>CHOOSE(Drivers!$C$8,'Savings Forecast'!C8,'Savings Forecast'!C9,'Savings Forecast'!C10)</f>
        <v>18700</v>
      </c>
      <c r="D11" s="21">
        <f>CHOOSE(Drivers!$C$8,'Savings Forecast'!D8,'Savings Forecast'!D9,'Savings Forecast'!D10)</f>
        <v>19140</v>
      </c>
      <c r="E11" s="21">
        <f>CHOOSE(Drivers!$C$8,'Savings Forecast'!E8,'Savings Forecast'!E9,'Savings Forecast'!E10)</f>
        <v>19580</v>
      </c>
      <c r="F11" s="21">
        <f>CHOOSE(Drivers!$C$8,'Savings Forecast'!F8,'Savings Forecast'!F9,'Savings Forecast'!F10)</f>
        <v>20240</v>
      </c>
      <c r="G11" s="21">
        <f>CHOOSE(Drivers!$C$8,'Savings Forecast'!G8,'Savings Forecast'!G9,'Savings Forecast'!G10)</f>
        <v>19800</v>
      </c>
      <c r="H11" s="21">
        <f>CHOOSE(Drivers!$C$8,'Savings Forecast'!H8,'Savings Forecast'!H9,'Savings Forecast'!H10)</f>
        <v>19580</v>
      </c>
      <c r="I11" s="21">
        <f>CHOOSE(Drivers!$C$8,'Savings Forecast'!I8,'Savings Forecast'!I9,'Savings Forecast'!I10)</f>
        <v>19140</v>
      </c>
      <c r="J11" s="21">
        <f>CHOOSE(Drivers!$C$8,'Savings Forecast'!J8,'Savings Forecast'!J9,'Savings Forecast'!J10)</f>
        <v>18700</v>
      </c>
      <c r="K11" s="21">
        <f>CHOOSE(Drivers!$C$8,'Savings Forecast'!K8,'Savings Forecast'!K9,'Savings Forecast'!K10)</f>
        <v>18480</v>
      </c>
      <c r="L11" s="21">
        <f>CHOOSE(Drivers!$C$8,'Savings Forecast'!L8,'Savings Forecast'!L9,'Savings Forecast'!L10)</f>
        <v>18260</v>
      </c>
    </row>
    <row r="13" spans="2:15" x14ac:dyDescent="0.35">
      <c r="B13" s="6" t="s">
        <v>40</v>
      </c>
      <c r="C13" s="6"/>
      <c r="D13" s="6"/>
      <c r="E13" s="6"/>
      <c r="F13" s="6"/>
      <c r="G13" s="6"/>
      <c r="H13" s="6"/>
      <c r="I13" s="6"/>
      <c r="J13" s="6"/>
      <c r="K13" s="6"/>
      <c r="L13" s="6"/>
    </row>
    <row r="14" spans="2:15" x14ac:dyDescent="0.35">
      <c r="B14" t="s">
        <v>9</v>
      </c>
      <c r="C14" s="15">
        <v>0.85</v>
      </c>
      <c r="D14" s="15">
        <v>0.87</v>
      </c>
      <c r="E14" s="15">
        <v>0.89</v>
      </c>
      <c r="F14" s="15">
        <v>0.92</v>
      </c>
      <c r="G14" s="15">
        <v>0.9</v>
      </c>
      <c r="H14" s="15">
        <v>0.89</v>
      </c>
      <c r="I14" s="15">
        <v>0.87</v>
      </c>
      <c r="J14" s="15">
        <v>0.85</v>
      </c>
      <c r="K14" s="15">
        <v>0.84</v>
      </c>
      <c r="L14" s="15">
        <v>0.83</v>
      </c>
    </row>
    <row r="15" spans="2:15" x14ac:dyDescent="0.35">
      <c r="B15" t="s">
        <v>10</v>
      </c>
      <c r="C15" s="15">
        <v>0.8</v>
      </c>
      <c r="D15" s="15">
        <v>0.85</v>
      </c>
      <c r="E15" s="15">
        <v>0.87</v>
      </c>
      <c r="F15" s="15">
        <v>0.9</v>
      </c>
      <c r="G15" s="15">
        <v>0.88</v>
      </c>
      <c r="H15" s="15">
        <v>0.87</v>
      </c>
      <c r="I15" s="15">
        <v>0.85</v>
      </c>
      <c r="J15" s="15">
        <v>0.83</v>
      </c>
      <c r="K15" s="15">
        <v>0.82</v>
      </c>
      <c r="L15" s="15">
        <v>0.81</v>
      </c>
    </row>
    <row r="16" spans="2:15" x14ac:dyDescent="0.35">
      <c r="B16" t="s">
        <v>11</v>
      </c>
      <c r="C16" s="15">
        <v>0.75</v>
      </c>
      <c r="D16" s="15">
        <v>0.8</v>
      </c>
      <c r="E16" s="15">
        <v>0.82</v>
      </c>
      <c r="F16" s="15">
        <v>0.84</v>
      </c>
      <c r="G16" s="15">
        <v>0.83</v>
      </c>
      <c r="H16" s="15">
        <v>0.82</v>
      </c>
      <c r="I16" s="15">
        <v>0.8</v>
      </c>
      <c r="J16" s="15">
        <v>0.78</v>
      </c>
      <c r="K16" s="15">
        <v>0.77</v>
      </c>
      <c r="L16" s="15">
        <v>0.76</v>
      </c>
    </row>
    <row r="18" spans="2:12" x14ac:dyDescent="0.35">
      <c r="B18" t="s">
        <v>2</v>
      </c>
      <c r="C18" s="1">
        <f>Drivers!C15</f>
        <v>0.01</v>
      </c>
    </row>
    <row r="19" spans="2:12" x14ac:dyDescent="0.35">
      <c r="B19" t="s">
        <v>41</v>
      </c>
      <c r="C19" s="1">
        <f>Drivers!C16</f>
        <v>0.03</v>
      </c>
    </row>
    <row r="21" spans="2:12" x14ac:dyDescent="0.35">
      <c r="B21" s="6" t="s">
        <v>5</v>
      </c>
      <c r="C21" s="6"/>
      <c r="D21" s="6"/>
      <c r="E21" s="6"/>
      <c r="F21" s="6"/>
      <c r="G21" s="6"/>
      <c r="H21" s="6"/>
      <c r="I21" s="6"/>
      <c r="J21" s="6"/>
      <c r="K21" s="6"/>
      <c r="L21" s="6"/>
    </row>
    <row r="22" spans="2:12" x14ac:dyDescent="0.35">
      <c r="B22" t="s">
        <v>6</v>
      </c>
      <c r="C22" s="2">
        <f>Drivers!C19</f>
        <v>15500</v>
      </c>
      <c r="D22" s="2">
        <f>C22*(1+$C18)</f>
        <v>15655</v>
      </c>
      <c r="E22" s="2">
        <f t="shared" ref="E22:L22" si="3">D22*(1+$C$18)</f>
        <v>15811.55</v>
      </c>
      <c r="F22" s="2">
        <f t="shared" si="3"/>
        <v>15969.665499999999</v>
      </c>
      <c r="G22" s="2">
        <f t="shared" si="3"/>
        <v>16129.362154999999</v>
      </c>
      <c r="H22" s="2">
        <f t="shared" si="3"/>
        <v>16290.655776549998</v>
      </c>
      <c r="I22" s="2">
        <f t="shared" si="3"/>
        <v>16453.562334315498</v>
      </c>
      <c r="J22" s="2">
        <f t="shared" si="3"/>
        <v>16618.097957658654</v>
      </c>
      <c r="K22" s="2">
        <f t="shared" si="3"/>
        <v>16784.278937235242</v>
      </c>
      <c r="L22" s="2">
        <f t="shared" si="3"/>
        <v>16952.121726607595</v>
      </c>
    </row>
    <row r="23" spans="2:12" x14ac:dyDescent="0.35">
      <c r="B23" t="s">
        <v>7</v>
      </c>
      <c r="C23" s="2">
        <f>Drivers!C20</f>
        <v>11000</v>
      </c>
      <c r="D23" s="2">
        <f>C23*(1+$C19)</f>
        <v>11330</v>
      </c>
      <c r="E23" s="2">
        <f t="shared" ref="E23:L23" si="4">D23*(1+$C19)</f>
        <v>11669.9</v>
      </c>
      <c r="F23" s="2">
        <f t="shared" si="4"/>
        <v>12019.996999999999</v>
      </c>
      <c r="G23" s="2">
        <f t="shared" si="4"/>
        <v>12380.59691</v>
      </c>
      <c r="H23" s="2">
        <f t="shared" si="4"/>
        <v>12752.0148173</v>
      </c>
      <c r="I23" s="2">
        <f t="shared" si="4"/>
        <v>13134.575261819</v>
      </c>
      <c r="J23" s="2">
        <f t="shared" si="4"/>
        <v>13528.61251967357</v>
      </c>
      <c r="K23" s="2">
        <f t="shared" si="4"/>
        <v>13934.470895263777</v>
      </c>
      <c r="L23" s="2">
        <f t="shared" si="4"/>
        <v>14352.505022121692</v>
      </c>
    </row>
    <row r="24" spans="2:12" ht="15" thickBot="1" x14ac:dyDescent="0.4">
      <c r="B24" s="14" t="s">
        <v>42</v>
      </c>
      <c r="C24" s="22">
        <f>C22-C23</f>
        <v>4500</v>
      </c>
      <c r="D24" s="22">
        <f t="shared" ref="D24:L24" si="5">D22-D23</f>
        <v>4325</v>
      </c>
      <c r="E24" s="22">
        <f t="shared" si="5"/>
        <v>4141.6499999999996</v>
      </c>
      <c r="F24" s="22">
        <f t="shared" si="5"/>
        <v>3949.6684999999998</v>
      </c>
      <c r="G24" s="22">
        <f t="shared" si="5"/>
        <v>3748.7652449999987</v>
      </c>
      <c r="H24" s="22">
        <f t="shared" si="5"/>
        <v>3538.6409592499986</v>
      </c>
      <c r="I24" s="22">
        <f t="shared" si="5"/>
        <v>3318.9870724964985</v>
      </c>
      <c r="J24" s="22">
        <f t="shared" si="5"/>
        <v>3089.485437985084</v>
      </c>
      <c r="K24" s="22">
        <f t="shared" si="5"/>
        <v>2849.8080419714643</v>
      </c>
      <c r="L24" s="22">
        <f t="shared" si="5"/>
        <v>2599.616704485903</v>
      </c>
    </row>
    <row r="25" spans="2:12" ht="15" thickTop="1" x14ac:dyDescent="0.35"/>
    <row r="26" spans="2:12" x14ac:dyDescent="0.35">
      <c r="B26" s="6" t="s">
        <v>43</v>
      </c>
      <c r="C26" s="6"/>
      <c r="D26" s="6"/>
      <c r="E26" s="6"/>
      <c r="F26" s="6"/>
      <c r="G26" s="6"/>
      <c r="H26" s="6"/>
      <c r="I26" s="6"/>
      <c r="J26" s="6"/>
      <c r="K26" s="6"/>
      <c r="L26" s="6"/>
    </row>
    <row r="27" spans="2:12" x14ac:dyDescent="0.35">
      <c r="B27" t="s">
        <v>9</v>
      </c>
      <c r="C27" s="2">
        <f>C8*C$24</f>
        <v>84150000</v>
      </c>
      <c r="D27" s="2">
        <f t="shared" ref="D27:L27" si="6">D8*D$24</f>
        <v>82780500</v>
      </c>
      <c r="E27" s="2">
        <f t="shared" si="6"/>
        <v>81093507</v>
      </c>
      <c r="F27" s="2">
        <f t="shared" si="6"/>
        <v>79941290.439999998</v>
      </c>
      <c r="G27" s="2">
        <f t="shared" si="6"/>
        <v>74225551.850999981</v>
      </c>
      <c r="H27" s="2">
        <f t="shared" si="6"/>
        <v>69286589.982114971</v>
      </c>
      <c r="I27" s="2">
        <f t="shared" si="6"/>
        <v>63525412.56758298</v>
      </c>
      <c r="J27" s="2">
        <f t="shared" si="6"/>
        <v>57773377.690321073</v>
      </c>
      <c r="K27" s="2">
        <f t="shared" si="6"/>
        <v>52664452.615632661</v>
      </c>
      <c r="L27" s="2">
        <f t="shared" si="6"/>
        <v>47469001.023912586</v>
      </c>
    </row>
    <row r="28" spans="2:12" x14ac:dyDescent="0.35">
      <c r="B28" t="s">
        <v>10</v>
      </c>
      <c r="C28" s="2">
        <f>C9*C$24</f>
        <v>72000000</v>
      </c>
      <c r="D28" s="2">
        <f t="shared" ref="D28:L28" si="7">D9*D$24</f>
        <v>73525000</v>
      </c>
      <c r="E28" s="2">
        <f t="shared" si="7"/>
        <v>72064710</v>
      </c>
      <c r="F28" s="2">
        <f t="shared" si="7"/>
        <v>71094033</v>
      </c>
      <c r="G28" s="2">
        <f t="shared" si="7"/>
        <v>65978268.311999977</v>
      </c>
      <c r="H28" s="2">
        <f t="shared" si="7"/>
        <v>61572352.690949976</v>
      </c>
      <c r="I28" s="2">
        <f t="shared" si="7"/>
        <v>56422780.232440472</v>
      </c>
      <c r="J28" s="2">
        <f t="shared" si="7"/>
        <v>51285458.270552397</v>
      </c>
      <c r="K28" s="2">
        <f t="shared" si="7"/>
        <v>46736851.888332017</v>
      </c>
      <c r="L28" s="2">
        <f t="shared" si="7"/>
        <v>42113790.612671636</v>
      </c>
    </row>
    <row r="29" spans="2:12" x14ac:dyDescent="0.35">
      <c r="B29" t="s">
        <v>11</v>
      </c>
      <c r="C29" s="2">
        <f>C10*C$24</f>
        <v>60750000</v>
      </c>
      <c r="D29" s="2">
        <f t="shared" ref="D29:L29" si="8">D10*D$24</f>
        <v>62280000</v>
      </c>
      <c r="E29" s="2">
        <f t="shared" si="8"/>
        <v>61130753.999999993</v>
      </c>
      <c r="F29" s="2">
        <f t="shared" si="8"/>
        <v>59718987.719999999</v>
      </c>
      <c r="G29" s="2">
        <f t="shared" si="8"/>
        <v>56006552.760299981</v>
      </c>
      <c r="H29" s="2">
        <f t="shared" si="8"/>
        <v>52230340.55852998</v>
      </c>
      <c r="I29" s="2">
        <f t="shared" si="8"/>
        <v>47793413.843949579</v>
      </c>
      <c r="J29" s="2">
        <f t="shared" si="8"/>
        <v>43376375.54931058</v>
      </c>
      <c r="K29" s="2">
        <f t="shared" si="8"/>
        <v>39498339.461724497</v>
      </c>
      <c r="L29" s="2">
        <f t="shared" si="8"/>
        <v>35562756.517367154</v>
      </c>
    </row>
    <row r="30" spans="2:12" x14ac:dyDescent="0.35">
      <c r="B30" s="8" t="s">
        <v>0</v>
      </c>
      <c r="C30" s="21">
        <f>CHOOSE(Drivers!$C$8,'Savings Forecast'!C27,'Savings Forecast'!C28,'Savings Forecast'!C29)</f>
        <v>84150000</v>
      </c>
      <c r="D30" s="21">
        <f>CHOOSE(Drivers!$C$8,'Savings Forecast'!D27,'Savings Forecast'!D28,'Savings Forecast'!D29)</f>
        <v>82780500</v>
      </c>
      <c r="E30" s="21">
        <f>CHOOSE(Drivers!$C$8,'Savings Forecast'!E27,'Savings Forecast'!E28,'Savings Forecast'!E29)</f>
        <v>81093507</v>
      </c>
      <c r="F30" s="21">
        <f>CHOOSE(Drivers!$C$8,'Savings Forecast'!F27,'Savings Forecast'!F28,'Savings Forecast'!F29)</f>
        <v>79941290.439999998</v>
      </c>
      <c r="G30" s="21">
        <f>CHOOSE(Drivers!$C$8,'Savings Forecast'!G27,'Savings Forecast'!G28,'Savings Forecast'!G29)</f>
        <v>74225551.850999981</v>
      </c>
      <c r="H30" s="21">
        <f>CHOOSE(Drivers!$C$8,'Savings Forecast'!H27,'Savings Forecast'!H28,'Savings Forecast'!H29)</f>
        <v>69286589.982114971</v>
      </c>
      <c r="I30" s="21">
        <f>CHOOSE(Drivers!$C$8,'Savings Forecast'!I27,'Savings Forecast'!I28,'Savings Forecast'!I29)</f>
        <v>63525412.56758298</v>
      </c>
      <c r="J30" s="21">
        <f>CHOOSE(Drivers!$C$8,'Savings Forecast'!J27,'Savings Forecast'!J28,'Savings Forecast'!J29)</f>
        <v>57773377.690321073</v>
      </c>
      <c r="K30" s="21">
        <f>CHOOSE(Drivers!$C$8,'Savings Forecast'!K27,'Savings Forecast'!K28,'Savings Forecast'!K29)</f>
        <v>52664452.615632661</v>
      </c>
      <c r="L30" s="21">
        <f>CHOOSE(Drivers!$C$8,'Savings Forecast'!L27,'Savings Forecast'!L28,'Savings Forecast'!L29)</f>
        <v>47469001.023912586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E6E3-B834-4382-BD12-D14473A02E8D}">
  <dimension ref="B1:M31"/>
  <sheetViews>
    <sheetView showGridLines="0" topLeftCell="A9" zoomScale="80" zoomScaleNormal="80" workbookViewId="0">
      <selection activeCell="D17" sqref="D17"/>
    </sheetView>
  </sheetViews>
  <sheetFormatPr defaultRowHeight="14.5" x14ac:dyDescent="0.35"/>
  <cols>
    <col min="1" max="1" width="1.81640625" customWidth="1"/>
    <col min="2" max="2" width="30.6328125" bestFit="1" customWidth="1"/>
    <col min="3" max="3" width="15.36328125" bestFit="1" customWidth="1"/>
    <col min="4" max="12" width="12.6328125" bestFit="1" customWidth="1"/>
  </cols>
  <sheetData>
    <row r="1" spans="2:13" x14ac:dyDescent="0.35">
      <c r="B1" s="11" t="s">
        <v>44</v>
      </c>
      <c r="C1" s="12"/>
      <c r="D1" s="12"/>
      <c r="E1" s="12"/>
      <c r="F1" s="12"/>
      <c r="G1" s="12"/>
      <c r="H1" s="12"/>
      <c r="I1" s="12"/>
      <c r="J1" s="12"/>
      <c r="K1" s="12"/>
      <c r="L1" s="12"/>
      <c r="M1" s="10"/>
    </row>
    <row r="3" spans="2:13" x14ac:dyDescent="0.35">
      <c r="B3" s="6" t="s">
        <v>8</v>
      </c>
      <c r="C3" s="7"/>
    </row>
    <row r="4" spans="2:13" x14ac:dyDescent="0.35">
      <c r="B4" t="s">
        <v>9</v>
      </c>
      <c r="C4" s="2">
        <f>Drivers!C23</f>
        <v>320000000</v>
      </c>
    </row>
    <row r="5" spans="2:13" x14ac:dyDescent="0.35">
      <c r="B5" t="s">
        <v>10</v>
      </c>
      <c r="C5" s="2">
        <f>Drivers!C24</f>
        <v>350000000</v>
      </c>
    </row>
    <row r="6" spans="2:13" x14ac:dyDescent="0.35">
      <c r="B6" t="s">
        <v>11</v>
      </c>
      <c r="C6" s="2">
        <f>Drivers!C25</f>
        <v>380000000</v>
      </c>
    </row>
    <row r="8" spans="2:13" x14ac:dyDescent="0.35">
      <c r="B8" s="5" t="s">
        <v>45</v>
      </c>
      <c r="C8">
        <f>Drivers!C27</f>
        <v>10</v>
      </c>
    </row>
    <row r="10" spans="2:13" x14ac:dyDescent="0.35">
      <c r="B10" s="6" t="s">
        <v>46</v>
      </c>
      <c r="C10" s="6">
        <v>0</v>
      </c>
      <c r="D10" s="6">
        <v>1</v>
      </c>
      <c r="E10" s="6">
        <v>2</v>
      </c>
      <c r="F10" s="6">
        <v>3</v>
      </c>
      <c r="G10" s="6">
        <v>4</v>
      </c>
      <c r="H10" s="6">
        <v>5</v>
      </c>
      <c r="I10" s="6">
        <v>6</v>
      </c>
      <c r="J10" s="6">
        <v>7</v>
      </c>
      <c r="K10" s="6">
        <v>8</v>
      </c>
      <c r="L10" s="6">
        <v>9</v>
      </c>
      <c r="M10" s="6">
        <v>10</v>
      </c>
    </row>
    <row r="11" spans="2:13" x14ac:dyDescent="0.35">
      <c r="B11" t="s">
        <v>47</v>
      </c>
      <c r="C11" s="15">
        <v>0.8</v>
      </c>
      <c r="D11" s="15">
        <v>0.1</v>
      </c>
      <c r="E11" s="15">
        <v>0.1</v>
      </c>
      <c r="F11" s="15">
        <v>0.03</v>
      </c>
      <c r="G11" s="15">
        <v>0.03</v>
      </c>
      <c r="H11" s="15">
        <v>0.03</v>
      </c>
      <c r="I11" s="15">
        <v>0.03</v>
      </c>
      <c r="J11" s="15">
        <v>0.03</v>
      </c>
      <c r="K11" s="15">
        <v>0.03</v>
      </c>
      <c r="L11" s="15">
        <v>0.03</v>
      </c>
      <c r="M11" s="15">
        <v>0.03</v>
      </c>
    </row>
    <row r="13" spans="2:13" x14ac:dyDescent="0.35">
      <c r="B13" s="6" t="s">
        <v>48</v>
      </c>
      <c r="C13" s="6">
        <v>1</v>
      </c>
      <c r="D13" s="6">
        <v>2</v>
      </c>
      <c r="E13" s="6">
        <v>3</v>
      </c>
      <c r="F13" s="6">
        <v>4</v>
      </c>
      <c r="G13" s="6">
        <v>5</v>
      </c>
      <c r="H13" s="6">
        <v>6</v>
      </c>
      <c r="I13" s="6">
        <v>7</v>
      </c>
      <c r="J13" s="6">
        <v>8</v>
      </c>
      <c r="K13" s="6">
        <v>9</v>
      </c>
      <c r="L13" s="6">
        <v>10</v>
      </c>
    </row>
    <row r="14" spans="2:13" x14ac:dyDescent="0.35">
      <c r="B14" t="s">
        <v>49</v>
      </c>
      <c r="C14" s="2">
        <f>CHOOSE(Drivers!$C$8,'Fixed Asset Rollover'!C4,'Fixed Asset Rollover'!C5,'Fixed Asset Rollover'!C6)*C11</f>
        <v>256000000</v>
      </c>
      <c r="D14" s="20">
        <f>C17</f>
        <v>262400000</v>
      </c>
      <c r="E14" s="20">
        <f t="shared" ref="E14:L14" si="0">D17</f>
        <v>265600000</v>
      </c>
      <c r="F14" s="20">
        <f t="shared" si="0"/>
        <v>243200000</v>
      </c>
      <c r="G14" s="20">
        <f t="shared" si="0"/>
        <v>219840000</v>
      </c>
      <c r="H14" s="20">
        <f t="shared" si="0"/>
        <v>195520000</v>
      </c>
      <c r="I14" s="20">
        <f t="shared" si="0"/>
        <v>170240000</v>
      </c>
      <c r="J14" s="20">
        <f t="shared" si="0"/>
        <v>144000000</v>
      </c>
      <c r="K14" s="20">
        <f t="shared" si="0"/>
        <v>116800000</v>
      </c>
      <c r="L14" s="20">
        <f t="shared" si="0"/>
        <v>88640000</v>
      </c>
    </row>
    <row r="15" spans="2:13" x14ac:dyDescent="0.35">
      <c r="B15" t="s">
        <v>50</v>
      </c>
      <c r="C15" s="2">
        <f>CHOOSE(Drivers!$C$8,'Fixed Asset Rollover'!$C$4,'Fixed Asset Rollover'!$C$5,'Fixed Asset Rollover'!$C$6)*'Fixed Asset Rollover'!D$11</f>
        <v>32000000</v>
      </c>
      <c r="D15" s="2">
        <f>CHOOSE(Drivers!$C$8,'Fixed Asset Rollover'!$C$4,'Fixed Asset Rollover'!$C$5,'Fixed Asset Rollover'!$C$6)*'Fixed Asset Rollover'!E$11</f>
        <v>32000000</v>
      </c>
      <c r="E15" s="2">
        <f>CHOOSE(Drivers!$C$8,'Fixed Asset Rollover'!$C$4,'Fixed Asset Rollover'!$C$5,'Fixed Asset Rollover'!$C$6)*'Fixed Asset Rollover'!F$11</f>
        <v>9600000</v>
      </c>
      <c r="F15" s="2">
        <f>CHOOSE(Drivers!$C$8,'Fixed Asset Rollover'!$C$4,'Fixed Asset Rollover'!$C$5,'Fixed Asset Rollover'!$C$6)*'Fixed Asset Rollover'!G$11</f>
        <v>9600000</v>
      </c>
      <c r="G15" s="2">
        <f>CHOOSE(Drivers!$C$8,'Fixed Asset Rollover'!$C$4,'Fixed Asset Rollover'!$C$5,'Fixed Asset Rollover'!$C$6)*'Fixed Asset Rollover'!H$11</f>
        <v>9600000</v>
      </c>
      <c r="H15" s="2">
        <f>CHOOSE(Drivers!$C$8,'Fixed Asset Rollover'!$C$4,'Fixed Asset Rollover'!$C$5,'Fixed Asset Rollover'!$C$6)*'Fixed Asset Rollover'!I$11</f>
        <v>9600000</v>
      </c>
      <c r="I15" s="2">
        <f>CHOOSE(Drivers!$C$8,'Fixed Asset Rollover'!$C$4,'Fixed Asset Rollover'!$C$5,'Fixed Asset Rollover'!$C$6)*'Fixed Asset Rollover'!J$11</f>
        <v>9600000</v>
      </c>
      <c r="J15" s="2">
        <f>CHOOSE(Drivers!$C$8,'Fixed Asset Rollover'!$C$4,'Fixed Asset Rollover'!$C$5,'Fixed Asset Rollover'!$C$6)*'Fixed Asset Rollover'!K$11</f>
        <v>9600000</v>
      </c>
      <c r="K15" s="2">
        <f>CHOOSE(Drivers!$C$8,'Fixed Asset Rollover'!$C$4,'Fixed Asset Rollover'!$C$5,'Fixed Asset Rollover'!$C$6)*'Fixed Asset Rollover'!L$11</f>
        <v>9600000</v>
      </c>
      <c r="L15" s="2">
        <f>CHOOSE(Drivers!$C$8,'Fixed Asset Rollover'!$C$4,'Fixed Asset Rollover'!$C$5,'Fixed Asset Rollover'!$C$6)*'Fixed Asset Rollover'!M$11</f>
        <v>9600000</v>
      </c>
    </row>
    <row r="16" spans="2:13" x14ac:dyDescent="0.35">
      <c r="B16" t="s">
        <v>51</v>
      </c>
      <c r="C16" s="26">
        <f>C30</f>
        <v>-25600000</v>
      </c>
      <c r="D16" s="26">
        <f>D30</f>
        <v>-28800000</v>
      </c>
      <c r="E16" s="26">
        <f t="shared" ref="E16:L16" si="1">E30</f>
        <v>-32000000</v>
      </c>
      <c r="F16" s="26">
        <f t="shared" si="1"/>
        <v>-32960000</v>
      </c>
      <c r="G16" s="26">
        <f t="shared" si="1"/>
        <v>-33920000</v>
      </c>
      <c r="H16" s="26">
        <f t="shared" si="1"/>
        <v>-34880000</v>
      </c>
      <c r="I16" s="26">
        <f t="shared" si="1"/>
        <v>-35840000</v>
      </c>
      <c r="J16" s="26">
        <f t="shared" si="1"/>
        <v>-36800000</v>
      </c>
      <c r="K16" s="26">
        <f t="shared" si="1"/>
        <v>-37760000</v>
      </c>
      <c r="L16" s="26">
        <f t="shared" si="1"/>
        <v>-38720000</v>
      </c>
    </row>
    <row r="17" spans="2:12" ht="15" thickBot="1" x14ac:dyDescent="0.4">
      <c r="B17" s="24" t="s">
        <v>52</v>
      </c>
      <c r="C17" s="28">
        <f>SUM(C14:C16)</f>
        <v>262400000</v>
      </c>
      <c r="D17" s="28">
        <f>SUM(D14:D16)</f>
        <v>265600000</v>
      </c>
      <c r="E17" s="28">
        <f t="shared" ref="E17:L17" si="2">SUM(E14:E16)</f>
        <v>243200000</v>
      </c>
      <c r="F17" s="28">
        <f t="shared" si="2"/>
        <v>219840000</v>
      </c>
      <c r="G17" s="28">
        <f t="shared" si="2"/>
        <v>195520000</v>
      </c>
      <c r="H17" s="28">
        <f t="shared" si="2"/>
        <v>170240000</v>
      </c>
      <c r="I17" s="28">
        <f t="shared" si="2"/>
        <v>144000000</v>
      </c>
      <c r="J17" s="28">
        <f t="shared" si="2"/>
        <v>116800000</v>
      </c>
      <c r="K17" s="28">
        <f t="shared" si="2"/>
        <v>88640000</v>
      </c>
      <c r="L17" s="28">
        <f t="shared" si="2"/>
        <v>59520000</v>
      </c>
    </row>
    <row r="18" spans="2:12" ht="15" thickTop="1" x14ac:dyDescent="0.35"/>
    <row r="19" spans="2:12" x14ac:dyDescent="0.35">
      <c r="B19" s="6" t="s">
        <v>53</v>
      </c>
      <c r="C19" s="6">
        <v>1</v>
      </c>
      <c r="D19" s="6">
        <v>2</v>
      </c>
      <c r="E19" s="6">
        <v>3</v>
      </c>
      <c r="F19" s="6">
        <v>4</v>
      </c>
      <c r="G19" s="6">
        <v>5</v>
      </c>
      <c r="H19" s="6">
        <v>6</v>
      </c>
      <c r="I19" s="6">
        <v>7</v>
      </c>
      <c r="J19" s="6">
        <v>8</v>
      </c>
      <c r="K19" s="6">
        <v>9</v>
      </c>
      <c r="L19" s="6">
        <v>10</v>
      </c>
    </row>
    <row r="20" spans="2:12" x14ac:dyDescent="0.35">
      <c r="B20" t="s">
        <v>54</v>
      </c>
      <c r="C20" s="25">
        <f>-$C$14/$C$8</f>
        <v>-25600000</v>
      </c>
      <c r="D20" s="25">
        <f t="shared" ref="D20:L20" si="3">-$C$14/$C$8</f>
        <v>-25600000</v>
      </c>
      <c r="E20" s="25">
        <f t="shared" si="3"/>
        <v>-25600000</v>
      </c>
      <c r="F20" s="25">
        <f t="shared" si="3"/>
        <v>-25600000</v>
      </c>
      <c r="G20" s="25">
        <f t="shared" si="3"/>
        <v>-25600000</v>
      </c>
      <c r="H20" s="25">
        <f t="shared" si="3"/>
        <v>-25600000</v>
      </c>
      <c r="I20" s="25">
        <f t="shared" si="3"/>
        <v>-25600000</v>
      </c>
      <c r="J20" s="25">
        <f t="shared" si="3"/>
        <v>-25600000</v>
      </c>
      <c r="K20" s="25">
        <f t="shared" si="3"/>
        <v>-25600000</v>
      </c>
      <c r="L20" s="25">
        <f t="shared" si="3"/>
        <v>-25600000</v>
      </c>
    </row>
    <row r="21" spans="2:12" x14ac:dyDescent="0.35">
      <c r="B21" t="s">
        <v>55</v>
      </c>
      <c r="C21" s="26"/>
      <c r="D21" s="26">
        <f>-$C$15/$C$8</f>
        <v>-3200000</v>
      </c>
      <c r="E21" s="26">
        <f t="shared" ref="E21:L22" si="4">-$C$15/$C$8</f>
        <v>-3200000</v>
      </c>
      <c r="F21" s="26">
        <f t="shared" si="4"/>
        <v>-3200000</v>
      </c>
      <c r="G21" s="26">
        <f t="shared" si="4"/>
        <v>-3200000</v>
      </c>
      <c r="H21" s="26">
        <f t="shared" si="4"/>
        <v>-3200000</v>
      </c>
      <c r="I21" s="26">
        <f t="shared" si="4"/>
        <v>-3200000</v>
      </c>
      <c r="J21" s="26">
        <f t="shared" si="4"/>
        <v>-3200000</v>
      </c>
      <c r="K21" s="26">
        <f t="shared" si="4"/>
        <v>-3200000</v>
      </c>
      <c r="L21" s="26">
        <f t="shared" si="4"/>
        <v>-3200000</v>
      </c>
    </row>
    <row r="22" spans="2:12" x14ac:dyDescent="0.35">
      <c r="B22" t="s">
        <v>56</v>
      </c>
      <c r="C22" s="26"/>
      <c r="D22" s="26"/>
      <c r="E22" s="26">
        <f>-$C$15/$C$8</f>
        <v>-3200000</v>
      </c>
      <c r="F22" s="26">
        <f t="shared" si="4"/>
        <v>-3200000</v>
      </c>
      <c r="G22" s="26">
        <f t="shared" si="4"/>
        <v>-3200000</v>
      </c>
      <c r="H22" s="26">
        <f t="shared" si="4"/>
        <v>-3200000</v>
      </c>
      <c r="I22" s="26">
        <f t="shared" si="4"/>
        <v>-3200000</v>
      </c>
      <c r="J22" s="26">
        <f t="shared" si="4"/>
        <v>-3200000</v>
      </c>
      <c r="K22" s="26">
        <f t="shared" si="4"/>
        <v>-3200000</v>
      </c>
      <c r="L22" s="26">
        <f t="shared" si="4"/>
        <v>-3200000</v>
      </c>
    </row>
    <row r="23" spans="2:12" x14ac:dyDescent="0.35">
      <c r="B23" t="s">
        <v>57</v>
      </c>
      <c r="C23" s="26"/>
      <c r="D23" s="26"/>
      <c r="E23" s="26"/>
      <c r="F23" s="26">
        <f>-$E$15/$C$8</f>
        <v>-960000</v>
      </c>
      <c r="G23" s="26">
        <f t="shared" ref="G23:L23" si="5">-$E$15/$C$8</f>
        <v>-960000</v>
      </c>
      <c r="H23" s="26">
        <f t="shared" si="5"/>
        <v>-960000</v>
      </c>
      <c r="I23" s="26">
        <f t="shared" si="5"/>
        <v>-960000</v>
      </c>
      <c r="J23" s="26">
        <f t="shared" si="5"/>
        <v>-960000</v>
      </c>
      <c r="K23" s="26">
        <f t="shared" si="5"/>
        <v>-960000</v>
      </c>
      <c r="L23" s="26">
        <f t="shared" si="5"/>
        <v>-960000</v>
      </c>
    </row>
    <row r="24" spans="2:12" x14ac:dyDescent="0.35">
      <c r="B24" t="s">
        <v>58</v>
      </c>
      <c r="C24" s="26"/>
      <c r="D24" s="26"/>
      <c r="E24" s="26"/>
      <c r="F24" s="26"/>
      <c r="G24" s="26">
        <f>-$F$15/$C$8</f>
        <v>-960000</v>
      </c>
      <c r="H24" s="26">
        <f t="shared" ref="H24:L24" si="6">-$F$15/$C$8</f>
        <v>-960000</v>
      </c>
      <c r="I24" s="26">
        <f t="shared" si="6"/>
        <v>-960000</v>
      </c>
      <c r="J24" s="26">
        <f t="shared" si="6"/>
        <v>-960000</v>
      </c>
      <c r="K24" s="26">
        <f t="shared" si="6"/>
        <v>-960000</v>
      </c>
      <c r="L24" s="26">
        <f t="shared" si="6"/>
        <v>-960000</v>
      </c>
    </row>
    <row r="25" spans="2:12" x14ac:dyDescent="0.35">
      <c r="B25" t="s">
        <v>59</v>
      </c>
      <c r="C25" s="26"/>
      <c r="D25" s="26"/>
      <c r="E25" s="26"/>
      <c r="F25" s="26"/>
      <c r="G25" s="26"/>
      <c r="H25" s="26">
        <f>-$G$15/$C$8</f>
        <v>-960000</v>
      </c>
      <c r="I25" s="26">
        <f t="shared" ref="I25:L25" si="7">-$G$15/$C$8</f>
        <v>-960000</v>
      </c>
      <c r="J25" s="26">
        <f t="shared" si="7"/>
        <v>-960000</v>
      </c>
      <c r="K25" s="26">
        <f t="shared" si="7"/>
        <v>-960000</v>
      </c>
      <c r="L25" s="26">
        <f t="shared" si="7"/>
        <v>-960000</v>
      </c>
    </row>
    <row r="26" spans="2:12" x14ac:dyDescent="0.35">
      <c r="B26" t="s">
        <v>60</v>
      </c>
      <c r="C26" s="26"/>
      <c r="D26" s="26"/>
      <c r="E26" s="26"/>
      <c r="F26" s="26"/>
      <c r="G26" s="26"/>
      <c r="H26" s="26"/>
      <c r="I26" s="26">
        <f>-$H$15/$C$8</f>
        <v>-960000</v>
      </c>
      <c r="J26" s="26">
        <f t="shared" ref="J26:L26" si="8">-$H$15/$C$8</f>
        <v>-960000</v>
      </c>
      <c r="K26" s="26">
        <f t="shared" si="8"/>
        <v>-960000</v>
      </c>
      <c r="L26" s="26">
        <f t="shared" si="8"/>
        <v>-960000</v>
      </c>
    </row>
    <row r="27" spans="2:12" x14ac:dyDescent="0.35">
      <c r="B27" t="s">
        <v>61</v>
      </c>
      <c r="C27" s="26"/>
      <c r="D27" s="26"/>
      <c r="E27" s="26"/>
      <c r="F27" s="26"/>
      <c r="G27" s="26"/>
      <c r="H27" s="26"/>
      <c r="I27" s="26"/>
      <c r="J27" s="26">
        <f>-$I$15/$C$8</f>
        <v>-960000</v>
      </c>
      <c r="K27" s="26">
        <f t="shared" ref="K27:L27" si="9">-$I$15/$C$8</f>
        <v>-960000</v>
      </c>
      <c r="L27" s="26">
        <f t="shared" si="9"/>
        <v>-960000</v>
      </c>
    </row>
    <row r="28" spans="2:12" x14ac:dyDescent="0.35">
      <c r="B28" t="s">
        <v>62</v>
      </c>
      <c r="C28" s="26"/>
      <c r="D28" s="26"/>
      <c r="E28" s="26"/>
      <c r="F28" s="26"/>
      <c r="G28" s="26"/>
      <c r="H28" s="26"/>
      <c r="I28" s="26"/>
      <c r="J28" s="26"/>
      <c r="K28" s="26">
        <f>-$J$15/$C$8</f>
        <v>-960000</v>
      </c>
      <c r="L28" s="26">
        <f>-$J$15/$C$8</f>
        <v>-960000</v>
      </c>
    </row>
    <row r="29" spans="2:12" x14ac:dyDescent="0.35">
      <c r="B29" t="s">
        <v>63</v>
      </c>
      <c r="C29" s="26"/>
      <c r="D29" s="26"/>
      <c r="E29" s="26"/>
      <c r="F29" s="26"/>
      <c r="G29" s="26"/>
      <c r="H29" s="26"/>
      <c r="I29" s="26"/>
      <c r="J29" s="26"/>
      <c r="K29" s="26"/>
      <c r="L29" s="26">
        <f>-$K$15/$C$8</f>
        <v>-960000</v>
      </c>
    </row>
    <row r="30" spans="2:12" ht="15" thickBot="1" x14ac:dyDescent="0.4">
      <c r="B30" s="14" t="s">
        <v>64</v>
      </c>
      <c r="C30" s="27">
        <f>SUM(C20:C29)</f>
        <v>-25600000</v>
      </c>
      <c r="D30" s="27">
        <f t="shared" ref="D30:L30" si="10">SUM(D20:D29)</f>
        <v>-28800000</v>
      </c>
      <c r="E30" s="27">
        <f t="shared" si="10"/>
        <v>-32000000</v>
      </c>
      <c r="F30" s="27">
        <f t="shared" si="10"/>
        <v>-32960000</v>
      </c>
      <c r="G30" s="27">
        <f t="shared" si="10"/>
        <v>-33920000</v>
      </c>
      <c r="H30" s="27">
        <f t="shared" si="10"/>
        <v>-34880000</v>
      </c>
      <c r="I30" s="27">
        <f t="shared" si="10"/>
        <v>-35840000</v>
      </c>
      <c r="J30" s="27">
        <f t="shared" si="10"/>
        <v>-36800000</v>
      </c>
      <c r="K30" s="27">
        <f t="shared" si="10"/>
        <v>-37760000</v>
      </c>
      <c r="L30" s="27">
        <f t="shared" si="10"/>
        <v>-38720000</v>
      </c>
    </row>
    <row r="31" spans="2:12" ht="15" thickTop="1" x14ac:dyDescent="0.35"/>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E476-5D43-4FDA-9686-4C687FAA3D10}">
  <dimension ref="B1:M27"/>
  <sheetViews>
    <sheetView showGridLines="0" zoomScale="80" zoomScaleNormal="80" workbookViewId="0">
      <selection activeCell="H19" sqref="H19"/>
    </sheetView>
  </sheetViews>
  <sheetFormatPr defaultRowHeight="14.5" x14ac:dyDescent="0.35"/>
  <cols>
    <col min="1" max="1" width="1.81640625" customWidth="1"/>
    <col min="2" max="2" width="24.54296875" bestFit="1" customWidth="1"/>
    <col min="3" max="12" width="15.36328125" bestFit="1" customWidth="1"/>
  </cols>
  <sheetData>
    <row r="1" spans="2:13" x14ac:dyDescent="0.35">
      <c r="B1" s="11" t="s">
        <v>65</v>
      </c>
      <c r="C1" s="12"/>
      <c r="D1" s="12"/>
      <c r="E1" s="12"/>
      <c r="F1" s="12"/>
      <c r="G1" s="12"/>
      <c r="H1" s="12"/>
      <c r="I1" s="12"/>
      <c r="J1" s="12"/>
      <c r="K1" s="12"/>
      <c r="L1" s="12"/>
      <c r="M1" s="10"/>
    </row>
    <row r="3" spans="2:13" x14ac:dyDescent="0.35">
      <c r="B3" s="6" t="s">
        <v>13</v>
      </c>
      <c r="C3" s="6"/>
    </row>
    <row r="4" spans="2:13" x14ac:dyDescent="0.35">
      <c r="B4" t="s">
        <v>14</v>
      </c>
      <c r="C4">
        <f>Drivers!C30</f>
        <v>25</v>
      </c>
    </row>
    <row r="5" spans="2:13" x14ac:dyDescent="0.35">
      <c r="B5" t="s">
        <v>15</v>
      </c>
      <c r="C5">
        <f>Drivers!C31</f>
        <v>30</v>
      </c>
    </row>
    <row r="6" spans="2:13" x14ac:dyDescent="0.35">
      <c r="B6" s="8" t="s">
        <v>16</v>
      </c>
      <c r="C6" s="8">
        <f>C4-C5</f>
        <v>-5</v>
      </c>
    </row>
    <row r="8" spans="2:13" x14ac:dyDescent="0.35">
      <c r="B8" s="6" t="s">
        <v>66</v>
      </c>
      <c r="C8" s="6"/>
    </row>
    <row r="9" spans="2:13" x14ac:dyDescent="0.35">
      <c r="B9" t="s">
        <v>14</v>
      </c>
      <c r="C9">
        <f>CHOOSE(Drivers!$C$8,'Working Capital'!C20,'Working Capital'!C21,'Working Capital'!C22)</f>
        <v>45</v>
      </c>
    </row>
    <row r="10" spans="2:13" x14ac:dyDescent="0.35">
      <c r="B10" t="s">
        <v>15</v>
      </c>
      <c r="C10">
        <f>CHOOSE(Drivers!$C$8,'Working Capital'!C25,'Working Capital'!C26,'Working Capital'!C27)</f>
        <v>25</v>
      </c>
    </row>
    <row r="11" spans="2:13" x14ac:dyDescent="0.35">
      <c r="B11" s="8" t="s">
        <v>16</v>
      </c>
      <c r="C11" s="13">
        <f>C9-C10</f>
        <v>20</v>
      </c>
    </row>
    <row r="13" spans="2:13" x14ac:dyDescent="0.35">
      <c r="B13" s="6" t="s">
        <v>48</v>
      </c>
      <c r="C13" s="6">
        <v>1</v>
      </c>
      <c r="D13" s="6">
        <v>2</v>
      </c>
      <c r="E13" s="6">
        <v>3</v>
      </c>
      <c r="F13" s="6">
        <v>4</v>
      </c>
      <c r="G13" s="6">
        <v>5</v>
      </c>
      <c r="H13" s="6">
        <v>6</v>
      </c>
      <c r="I13" s="6">
        <v>7</v>
      </c>
      <c r="J13" s="6">
        <v>8</v>
      </c>
      <c r="K13" s="6">
        <v>9</v>
      </c>
      <c r="L13" s="6">
        <v>10</v>
      </c>
    </row>
    <row r="14" spans="2:13" x14ac:dyDescent="0.35">
      <c r="B14" t="s">
        <v>67</v>
      </c>
      <c r="C14" s="2">
        <f>'Savings Forecast'!C23*'Savings Forecast'!C11</f>
        <v>205700000</v>
      </c>
      <c r="D14" s="2">
        <f>'Savings Forecast'!D23*'Savings Forecast'!D11</f>
        <v>216856200</v>
      </c>
      <c r="E14" s="2">
        <f>'Savings Forecast'!E23*'Savings Forecast'!E11</f>
        <v>228496642</v>
      </c>
      <c r="F14" s="2">
        <f>'Savings Forecast'!F23*'Savings Forecast'!F11</f>
        <v>243284739.28</v>
      </c>
      <c r="G14" s="2">
        <f>'Savings Forecast'!G23*'Savings Forecast'!G11</f>
        <v>245135818.81800002</v>
      </c>
      <c r="H14" s="2">
        <f>'Savings Forecast'!H23*'Savings Forecast'!H11</f>
        <v>249684450.12273401</v>
      </c>
      <c r="I14" s="2">
        <f>'Savings Forecast'!I23*'Savings Forecast'!I11</f>
        <v>251395770.51121566</v>
      </c>
      <c r="J14" s="2">
        <f>'Savings Forecast'!J23*'Savings Forecast'!J11</f>
        <v>252985054.11789575</v>
      </c>
      <c r="K14" s="2">
        <f>'Savings Forecast'!K23*'Savings Forecast'!K11</f>
        <v>257509022.1444746</v>
      </c>
      <c r="L14" s="2">
        <f>'Savings Forecast'!L23*'Savings Forecast'!L11</f>
        <v>262076741.70394209</v>
      </c>
    </row>
    <row r="15" spans="2:13" x14ac:dyDescent="0.35">
      <c r="B15" t="s">
        <v>68</v>
      </c>
      <c r="C15">
        <f>$C$11-$C$6</f>
        <v>25</v>
      </c>
      <c r="D15">
        <f t="shared" ref="D15:L15" si="0">$C$11-$C$6</f>
        <v>25</v>
      </c>
      <c r="E15">
        <f t="shared" si="0"/>
        <v>25</v>
      </c>
      <c r="F15">
        <f t="shared" si="0"/>
        <v>25</v>
      </c>
      <c r="G15">
        <f t="shared" si="0"/>
        <v>25</v>
      </c>
      <c r="H15">
        <f t="shared" si="0"/>
        <v>25</v>
      </c>
      <c r="I15">
        <f t="shared" si="0"/>
        <v>25</v>
      </c>
      <c r="J15">
        <f t="shared" si="0"/>
        <v>25</v>
      </c>
      <c r="K15">
        <f t="shared" si="0"/>
        <v>25</v>
      </c>
      <c r="L15">
        <f t="shared" si="0"/>
        <v>25</v>
      </c>
    </row>
    <row r="16" spans="2:13" x14ac:dyDescent="0.35">
      <c r="B16" t="s">
        <v>69</v>
      </c>
      <c r="C16" s="25">
        <f>-C14*C15/360</f>
        <v>-14284722.222222222</v>
      </c>
      <c r="D16" s="25">
        <f t="shared" ref="D16:L16" si="1">-D14*D15/360</f>
        <v>-15059458.333333334</v>
      </c>
      <c r="E16" s="25">
        <f t="shared" si="1"/>
        <v>-15867822.361111112</v>
      </c>
      <c r="F16" s="25">
        <f t="shared" si="1"/>
        <v>-16894773.561111111</v>
      </c>
      <c r="G16" s="25">
        <f t="shared" si="1"/>
        <v>-17023320.751250003</v>
      </c>
      <c r="H16" s="25">
        <f t="shared" si="1"/>
        <v>-17339197.92518986</v>
      </c>
      <c r="I16" s="25">
        <f t="shared" si="1"/>
        <v>-17458039.618834421</v>
      </c>
      <c r="J16" s="25">
        <f t="shared" si="1"/>
        <v>-17568406.535964981</v>
      </c>
      <c r="K16" s="25">
        <f t="shared" si="1"/>
        <v>-17882570.982255179</v>
      </c>
      <c r="L16" s="25">
        <f t="shared" si="1"/>
        <v>-18199773.729440425</v>
      </c>
    </row>
    <row r="17" spans="2:12" ht="15" thickBot="1" x14ac:dyDescent="0.4">
      <c r="B17" s="14" t="s">
        <v>70</v>
      </c>
      <c r="C17" s="27">
        <f>C16</f>
        <v>-14284722.222222222</v>
      </c>
      <c r="D17" s="27">
        <f>D16-C16</f>
        <v>-774736.11111111194</v>
      </c>
      <c r="E17" s="27">
        <f t="shared" ref="E17:L17" si="2">E16-D16</f>
        <v>-808364.02777777798</v>
      </c>
      <c r="F17" s="27">
        <f t="shared" si="2"/>
        <v>-1026951.1999999993</v>
      </c>
      <c r="G17" s="27">
        <f t="shared" si="2"/>
        <v>-128547.19013889134</v>
      </c>
      <c r="H17" s="27">
        <f t="shared" si="2"/>
        <v>-315877.17393985763</v>
      </c>
      <c r="I17" s="27">
        <f t="shared" si="2"/>
        <v>-118841.69364456087</v>
      </c>
      <c r="J17" s="27">
        <f t="shared" si="2"/>
        <v>-110366.91713055968</v>
      </c>
      <c r="K17" s="27">
        <f t="shared" si="2"/>
        <v>-314164.44629019871</v>
      </c>
      <c r="L17" s="27">
        <f t="shared" si="2"/>
        <v>-317202.74718524516</v>
      </c>
    </row>
    <row r="18" spans="2:12" ht="15" thickTop="1" x14ac:dyDescent="0.35"/>
    <row r="19" spans="2:12" x14ac:dyDescent="0.35">
      <c r="B19" s="6" t="s">
        <v>71</v>
      </c>
      <c r="C19" s="7"/>
    </row>
    <row r="20" spans="2:12" x14ac:dyDescent="0.35">
      <c r="B20" t="s">
        <v>9</v>
      </c>
      <c r="C20" s="18">
        <v>45</v>
      </c>
    </row>
    <row r="21" spans="2:12" x14ac:dyDescent="0.35">
      <c r="B21" t="s">
        <v>10</v>
      </c>
      <c r="C21" s="18">
        <v>50</v>
      </c>
    </row>
    <row r="22" spans="2:12" x14ac:dyDescent="0.35">
      <c r="B22" t="s">
        <v>11</v>
      </c>
      <c r="C22" s="18">
        <v>55</v>
      </c>
    </row>
    <row r="24" spans="2:12" x14ac:dyDescent="0.35">
      <c r="B24" s="6" t="s">
        <v>72</v>
      </c>
      <c r="C24" s="7"/>
    </row>
    <row r="25" spans="2:12" x14ac:dyDescent="0.35">
      <c r="B25" t="s">
        <v>9</v>
      </c>
      <c r="C25" s="18">
        <v>25</v>
      </c>
    </row>
    <row r="26" spans="2:12" x14ac:dyDescent="0.35">
      <c r="B26" t="s">
        <v>10</v>
      </c>
      <c r="C26" s="18">
        <v>30</v>
      </c>
    </row>
    <row r="27" spans="2:12" x14ac:dyDescent="0.35">
      <c r="B27" t="s">
        <v>11</v>
      </c>
      <c r="C27" s="18">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2BF1-1B55-43B3-9FC5-F7A09DFCA0BB}">
  <dimension ref="B1:M23"/>
  <sheetViews>
    <sheetView showGridLines="0" topLeftCell="A4" zoomScale="80" zoomScaleNormal="80" workbookViewId="0">
      <selection activeCell="G24" sqref="G24"/>
    </sheetView>
  </sheetViews>
  <sheetFormatPr defaultRowHeight="14.5" x14ac:dyDescent="0.35"/>
  <cols>
    <col min="1" max="1" width="1.81640625" customWidth="1"/>
    <col min="2" max="2" width="23.26953125" bestFit="1" customWidth="1"/>
    <col min="3" max="3" width="15.453125" bestFit="1" customWidth="1"/>
    <col min="4" max="13" width="14.26953125" bestFit="1" customWidth="1"/>
  </cols>
  <sheetData>
    <row r="1" spans="2:13" x14ac:dyDescent="0.35">
      <c r="B1" s="11" t="s">
        <v>73</v>
      </c>
      <c r="C1" s="12"/>
      <c r="D1" s="12"/>
      <c r="E1" s="12"/>
      <c r="F1" s="12"/>
      <c r="G1" s="12"/>
      <c r="H1" s="12"/>
      <c r="I1" s="12"/>
      <c r="J1" s="12"/>
      <c r="K1" s="12"/>
      <c r="L1" s="12"/>
      <c r="M1" s="12"/>
    </row>
    <row r="3" spans="2:13" x14ac:dyDescent="0.35">
      <c r="B3" s="5" t="s">
        <v>74</v>
      </c>
      <c r="C3" s="2">
        <f>'Fixed Asset Rollover'!$C$14</f>
        <v>256000000</v>
      </c>
    </row>
    <row r="5" spans="2:13" x14ac:dyDescent="0.35">
      <c r="B5" s="6" t="s">
        <v>17</v>
      </c>
      <c r="C5" s="6"/>
    </row>
    <row r="6" spans="2:13" x14ac:dyDescent="0.35">
      <c r="B6" t="s">
        <v>75</v>
      </c>
      <c r="C6" s="31">
        <f>Drivers!C36</f>
        <v>200000000</v>
      </c>
    </row>
    <row r="7" spans="2:13" x14ac:dyDescent="0.35">
      <c r="B7" t="s">
        <v>76</v>
      </c>
      <c r="C7" s="30">
        <f>Drivers!C37</f>
        <v>0.05</v>
      </c>
    </row>
    <row r="8" spans="2:13" x14ac:dyDescent="0.35">
      <c r="B8" t="s">
        <v>77</v>
      </c>
      <c r="C8" s="29" t="str">
        <f>Drivers!C38</f>
        <v>10 years</v>
      </c>
    </row>
    <row r="10" spans="2:13" x14ac:dyDescent="0.35">
      <c r="B10" s="6" t="s">
        <v>48</v>
      </c>
      <c r="C10" s="6">
        <v>0</v>
      </c>
      <c r="D10" s="6">
        <v>1</v>
      </c>
      <c r="E10" s="6">
        <v>2</v>
      </c>
      <c r="F10" s="6">
        <v>3</v>
      </c>
      <c r="G10" s="6">
        <v>4</v>
      </c>
      <c r="H10" s="6">
        <v>5</v>
      </c>
      <c r="I10" s="6">
        <v>6</v>
      </c>
      <c r="J10" s="6">
        <v>7</v>
      </c>
      <c r="K10" s="6">
        <v>8</v>
      </c>
      <c r="L10" s="6">
        <v>9</v>
      </c>
      <c r="M10" s="6">
        <v>10</v>
      </c>
    </row>
    <row r="11" spans="2:13" x14ac:dyDescent="0.35">
      <c r="B11" t="s">
        <v>78</v>
      </c>
      <c r="C11" s="20">
        <f>C6</f>
        <v>200000000</v>
      </c>
      <c r="D11" s="20">
        <f>C14</f>
        <v>200000000</v>
      </c>
      <c r="E11" s="20">
        <f t="shared" ref="E11:M11" si="0">D14</f>
        <v>200000000</v>
      </c>
      <c r="F11" s="20">
        <f t="shared" si="0"/>
        <v>190000000</v>
      </c>
      <c r="G11" s="20">
        <f t="shared" si="0"/>
        <v>170000000</v>
      </c>
      <c r="H11" s="20">
        <f t="shared" si="0"/>
        <v>150000000</v>
      </c>
      <c r="I11" s="20">
        <f t="shared" si="0"/>
        <v>130000000</v>
      </c>
      <c r="J11" s="20">
        <f t="shared" si="0"/>
        <v>110000000</v>
      </c>
      <c r="K11" s="20">
        <f t="shared" si="0"/>
        <v>90000000</v>
      </c>
      <c r="L11" s="20">
        <f t="shared" si="0"/>
        <v>70000000</v>
      </c>
      <c r="M11" s="20">
        <f t="shared" si="0"/>
        <v>50000000</v>
      </c>
    </row>
    <row r="12" spans="2:13" x14ac:dyDescent="0.35">
      <c r="B12" t="s">
        <v>79</v>
      </c>
      <c r="C12">
        <f>-$C$6*C13</f>
        <v>0</v>
      </c>
      <c r="D12">
        <f t="shared" ref="D12:M12" si="1">-$C$6*D13</f>
        <v>0</v>
      </c>
      <c r="E12" s="32">
        <f t="shared" si="1"/>
        <v>-10000000</v>
      </c>
      <c r="F12" s="32">
        <f t="shared" si="1"/>
        <v>-20000000</v>
      </c>
      <c r="G12" s="32">
        <f t="shared" si="1"/>
        <v>-20000000</v>
      </c>
      <c r="H12" s="32">
        <f t="shared" si="1"/>
        <v>-20000000</v>
      </c>
      <c r="I12" s="32">
        <f t="shared" si="1"/>
        <v>-20000000</v>
      </c>
      <c r="J12" s="32">
        <f t="shared" si="1"/>
        <v>-20000000</v>
      </c>
      <c r="K12" s="32">
        <f t="shared" si="1"/>
        <v>-20000000</v>
      </c>
      <c r="L12" s="32">
        <f t="shared" si="1"/>
        <v>-20000000</v>
      </c>
      <c r="M12" s="32">
        <f t="shared" si="1"/>
        <v>-20000000</v>
      </c>
    </row>
    <row r="13" spans="2:13" x14ac:dyDescent="0.35">
      <c r="B13" t="s">
        <v>23</v>
      </c>
      <c r="C13" s="1">
        <f>Drivers!C41</f>
        <v>0</v>
      </c>
      <c r="D13" s="1">
        <f>Drivers!D41</f>
        <v>0</v>
      </c>
      <c r="E13" s="1">
        <f>Drivers!E41</f>
        <v>0.05</v>
      </c>
      <c r="F13" s="1">
        <f>Drivers!F41</f>
        <v>0.1</v>
      </c>
      <c r="G13" s="1">
        <f>Drivers!G41</f>
        <v>0.1</v>
      </c>
      <c r="H13" s="1">
        <f>Drivers!H41</f>
        <v>0.1</v>
      </c>
      <c r="I13" s="1">
        <f>Drivers!I41</f>
        <v>0.1</v>
      </c>
      <c r="J13" s="1">
        <f>Drivers!J41</f>
        <v>0.1</v>
      </c>
      <c r="K13" s="1">
        <f>Drivers!K41</f>
        <v>0.1</v>
      </c>
      <c r="L13" s="1">
        <f>Drivers!L41</f>
        <v>0.1</v>
      </c>
      <c r="M13" s="1">
        <f>Drivers!M41</f>
        <v>0.1</v>
      </c>
    </row>
    <row r="14" spans="2:13" x14ac:dyDescent="0.35">
      <c r="B14" s="8" t="s">
        <v>80</v>
      </c>
      <c r="C14" s="33">
        <f>SUM(C11:C12)</f>
        <v>200000000</v>
      </c>
      <c r="D14" s="33">
        <f t="shared" ref="D14:M14" si="2">SUM(D11:D12)</f>
        <v>200000000</v>
      </c>
      <c r="E14" s="33">
        <f t="shared" si="2"/>
        <v>190000000</v>
      </c>
      <c r="F14" s="33">
        <f t="shared" si="2"/>
        <v>170000000</v>
      </c>
      <c r="G14" s="33">
        <f t="shared" si="2"/>
        <v>150000000</v>
      </c>
      <c r="H14" s="33">
        <f t="shared" si="2"/>
        <v>130000000</v>
      </c>
      <c r="I14" s="33">
        <f t="shared" si="2"/>
        <v>110000000</v>
      </c>
      <c r="J14" s="33">
        <f t="shared" si="2"/>
        <v>90000000</v>
      </c>
      <c r="K14" s="33">
        <f t="shared" si="2"/>
        <v>70000000</v>
      </c>
      <c r="L14" s="33">
        <f t="shared" si="2"/>
        <v>50000000</v>
      </c>
      <c r="M14" s="33">
        <f t="shared" si="2"/>
        <v>30000000</v>
      </c>
    </row>
    <row r="16" spans="2:13" x14ac:dyDescent="0.35">
      <c r="B16" s="5" t="s">
        <v>81</v>
      </c>
      <c r="C16">
        <f>IF(C10=0,0,-C11*$C$7)</f>
        <v>0</v>
      </c>
      <c r="D16" s="26">
        <f t="shared" ref="D16:M16" si="3">IF(D10=0,0,-D11*$C$7)</f>
        <v>-10000000</v>
      </c>
      <c r="E16" s="26">
        <f t="shared" si="3"/>
        <v>-10000000</v>
      </c>
      <c r="F16" s="26">
        <f t="shared" si="3"/>
        <v>-9500000</v>
      </c>
      <c r="G16" s="26">
        <f t="shared" si="3"/>
        <v>-8500000</v>
      </c>
      <c r="H16" s="26">
        <f t="shared" si="3"/>
        <v>-7500000</v>
      </c>
      <c r="I16" s="26">
        <f t="shared" si="3"/>
        <v>-6500000</v>
      </c>
      <c r="J16" s="26">
        <f t="shared" si="3"/>
        <v>-5500000</v>
      </c>
      <c r="K16" s="26">
        <f t="shared" si="3"/>
        <v>-4500000</v>
      </c>
      <c r="L16" s="26">
        <f t="shared" si="3"/>
        <v>-3500000</v>
      </c>
      <c r="M16" s="26">
        <f t="shared" si="3"/>
        <v>-2500000</v>
      </c>
    </row>
    <row r="18" spans="2:13" x14ac:dyDescent="0.35">
      <c r="B18" t="s">
        <v>82</v>
      </c>
      <c r="C18">
        <v>0</v>
      </c>
      <c r="D18" s="2">
        <f>'Savings Forecast'!C11</f>
        <v>18700</v>
      </c>
      <c r="E18" s="2">
        <f>'Savings Forecast'!D11</f>
        <v>19140</v>
      </c>
      <c r="F18" s="2">
        <f>'Savings Forecast'!E11</f>
        <v>19580</v>
      </c>
      <c r="G18" s="2">
        <f>'Savings Forecast'!F11</f>
        <v>20240</v>
      </c>
      <c r="H18" s="2">
        <f>'Savings Forecast'!G11</f>
        <v>19800</v>
      </c>
      <c r="I18" s="2">
        <f>'Savings Forecast'!H11</f>
        <v>19580</v>
      </c>
      <c r="J18" s="2">
        <f>'Savings Forecast'!I11</f>
        <v>19140</v>
      </c>
      <c r="K18" s="2">
        <f>'Savings Forecast'!J11</f>
        <v>18700</v>
      </c>
      <c r="L18" s="2">
        <f>'Savings Forecast'!K11</f>
        <v>18480</v>
      </c>
      <c r="M18" s="2">
        <f>'Savings Forecast'!L11</f>
        <v>18260</v>
      </c>
    </row>
    <row r="19" spans="2:13" x14ac:dyDescent="0.35">
      <c r="B19" t="s">
        <v>83</v>
      </c>
      <c r="C19" s="29" t="str">
        <f>IF(C18&lt;15000,"YES","NO")</f>
        <v>YES</v>
      </c>
      <c r="D19" s="29" t="str">
        <f t="shared" ref="D19:M19" si="4">IF(D18&lt;15000,"YES","NO")</f>
        <v>NO</v>
      </c>
      <c r="E19" s="29" t="str">
        <f t="shared" si="4"/>
        <v>NO</v>
      </c>
      <c r="F19" s="29" t="str">
        <f t="shared" si="4"/>
        <v>NO</v>
      </c>
      <c r="G19" s="29" t="str">
        <f t="shared" si="4"/>
        <v>NO</v>
      </c>
      <c r="H19" s="29" t="str">
        <f t="shared" si="4"/>
        <v>NO</v>
      </c>
      <c r="I19" s="29" t="str">
        <f t="shared" si="4"/>
        <v>NO</v>
      </c>
      <c r="J19" s="29" t="str">
        <f t="shared" si="4"/>
        <v>NO</v>
      </c>
      <c r="K19" s="29" t="str">
        <f t="shared" si="4"/>
        <v>NO</v>
      </c>
      <c r="L19" s="29" t="str">
        <f t="shared" si="4"/>
        <v>NO</v>
      </c>
      <c r="M19" s="29" t="str">
        <f t="shared" si="4"/>
        <v>NO</v>
      </c>
    </row>
    <row r="20" spans="2:13" x14ac:dyDescent="0.35">
      <c r="B20" s="8" t="s">
        <v>84</v>
      </c>
      <c r="C20" s="8">
        <f>IF(C10=0,0,IF(C19="YES",1000000,0))</f>
        <v>0</v>
      </c>
      <c r="D20" s="8">
        <f t="shared" ref="D20:M20" si="5">IF(D10=0,0,IF(D19="YES",1000000,0))</f>
        <v>0</v>
      </c>
      <c r="E20" s="8">
        <f t="shared" si="5"/>
        <v>0</v>
      </c>
      <c r="F20" s="8">
        <f t="shared" si="5"/>
        <v>0</v>
      </c>
      <c r="G20" s="8">
        <f t="shared" si="5"/>
        <v>0</v>
      </c>
      <c r="H20" s="8">
        <f t="shared" si="5"/>
        <v>0</v>
      </c>
      <c r="I20" s="8">
        <f t="shared" si="5"/>
        <v>0</v>
      </c>
      <c r="J20" s="8">
        <f t="shared" si="5"/>
        <v>0</v>
      </c>
      <c r="K20" s="8">
        <f t="shared" si="5"/>
        <v>0</v>
      </c>
      <c r="L20" s="8">
        <f t="shared" si="5"/>
        <v>0</v>
      </c>
      <c r="M20" s="8">
        <f t="shared" si="5"/>
        <v>0</v>
      </c>
    </row>
    <row r="22" spans="2:13" x14ac:dyDescent="0.35">
      <c r="B22" t="s">
        <v>98</v>
      </c>
      <c r="C22" s="26">
        <f>'Cash Flow'!C15</f>
        <v>-256000000</v>
      </c>
      <c r="D22" s="26">
        <f>'Cash Flow'!D15</f>
        <v>13300277.777777776</v>
      </c>
      <c r="E22" s="26">
        <f>'Cash Flow'!E15</f>
        <v>16811613.888888896</v>
      </c>
      <c r="F22" s="26">
        <f>'Cash Flow'!F15</f>
        <v>29307090.87222223</v>
      </c>
      <c r="G22" s="26">
        <f>'Cash Flow'!G15</f>
        <v>29269952.107999995</v>
      </c>
      <c r="H22" s="26">
        <f>'Cash Flow'!H15</f>
        <v>27155339.105561092</v>
      </c>
      <c r="I22" s="26">
        <f>'Cash Flow'!I15</f>
        <v>24498735.813540623</v>
      </c>
      <c r="J22" s="26">
        <f>'Cash Flow'!J15</f>
        <v>21650947.103663526</v>
      </c>
      <c r="K22" s="26">
        <f>'Cash Flow'!K15</f>
        <v>18620997.466094188</v>
      </c>
      <c r="L22" s="26">
        <f>'Cash Flow'!L15</f>
        <v>15828952.384652659</v>
      </c>
      <c r="M22" s="26">
        <f>'Cash Flow'!M15</f>
        <v>13177097.969553567</v>
      </c>
    </row>
    <row r="23" spans="2:13" x14ac:dyDescent="0.35">
      <c r="B23" s="36" t="s">
        <v>99</v>
      </c>
      <c r="C23" s="21">
        <f>-(C14+C22)</f>
        <v>56000000</v>
      </c>
      <c r="D23" s="21">
        <f>IF(C23&gt;0,C23,D23-C23)</f>
        <v>56000000</v>
      </c>
      <c r="E23" s="21">
        <f t="shared" ref="E23:M23" si="6">IF(D23&gt;0,D23,E23-D23)</f>
        <v>56000000</v>
      </c>
      <c r="F23" s="21">
        <f t="shared" si="6"/>
        <v>56000000</v>
      </c>
      <c r="G23" s="21">
        <f t="shared" si="6"/>
        <v>56000000</v>
      </c>
      <c r="H23" s="21">
        <f t="shared" si="6"/>
        <v>56000000</v>
      </c>
      <c r="I23" s="21">
        <f t="shared" si="6"/>
        <v>56000000</v>
      </c>
      <c r="J23" s="21">
        <f t="shared" si="6"/>
        <v>56000000</v>
      </c>
      <c r="K23" s="21">
        <f t="shared" si="6"/>
        <v>56000000</v>
      </c>
      <c r="L23" s="21">
        <f t="shared" si="6"/>
        <v>56000000</v>
      </c>
      <c r="M23" s="21">
        <f t="shared" si="6"/>
        <v>56000000</v>
      </c>
    </row>
  </sheetData>
  <pageMargins left="0.7" right="0.7" top="0.75" bottom="0.75" header="0.3" footer="0.3"/>
  <ignoredErrors>
    <ignoredError sqref="D23"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EDFF-7D75-4165-93B8-5F791215AB50}">
  <dimension ref="B1:M13"/>
  <sheetViews>
    <sheetView showGridLines="0" zoomScale="80" zoomScaleNormal="80" workbookViewId="0">
      <selection activeCell="B3" sqref="B3:L3"/>
    </sheetView>
  </sheetViews>
  <sheetFormatPr defaultRowHeight="14.5" x14ac:dyDescent="0.35"/>
  <cols>
    <col min="1" max="1" width="1.81640625" customWidth="1"/>
    <col min="2" max="2" width="26.81640625" bestFit="1" customWidth="1"/>
    <col min="3" max="12" width="12" bestFit="1" customWidth="1"/>
  </cols>
  <sheetData>
    <row r="1" spans="2:13" x14ac:dyDescent="0.35">
      <c r="B1" s="11" t="s">
        <v>85</v>
      </c>
      <c r="C1" s="12"/>
      <c r="D1" s="12"/>
      <c r="E1" s="12"/>
      <c r="F1" s="12"/>
      <c r="G1" s="12"/>
      <c r="H1" s="12"/>
      <c r="I1" s="12"/>
      <c r="J1" s="12"/>
      <c r="K1" s="12"/>
      <c r="L1" s="12"/>
      <c r="M1" s="12"/>
    </row>
    <row r="3" spans="2:13" x14ac:dyDescent="0.35">
      <c r="B3" s="6" t="s">
        <v>48</v>
      </c>
      <c r="C3" s="6">
        <v>1</v>
      </c>
      <c r="D3" s="6">
        <v>2</v>
      </c>
      <c r="E3" s="6">
        <v>3</v>
      </c>
      <c r="F3" s="6">
        <v>4</v>
      </c>
      <c r="G3" s="6">
        <v>5</v>
      </c>
      <c r="H3" s="6">
        <v>6</v>
      </c>
      <c r="I3" s="6">
        <v>7</v>
      </c>
      <c r="J3" s="6">
        <v>8</v>
      </c>
      <c r="K3" s="6">
        <v>9</v>
      </c>
      <c r="L3" s="6">
        <v>10</v>
      </c>
    </row>
    <row r="5" spans="2:13" x14ac:dyDescent="0.35">
      <c r="B5" t="s">
        <v>86</v>
      </c>
      <c r="C5" s="2">
        <f>'Savings Forecast'!C30</f>
        <v>84150000</v>
      </c>
      <c r="D5" s="2">
        <f>'Savings Forecast'!D30</f>
        <v>82780500</v>
      </c>
      <c r="E5" s="2">
        <f>'Savings Forecast'!E30</f>
        <v>81093507</v>
      </c>
      <c r="F5" s="2">
        <f>'Savings Forecast'!F30</f>
        <v>79941290.439999998</v>
      </c>
      <c r="G5" s="2">
        <f>'Savings Forecast'!G30</f>
        <v>74225551.850999981</v>
      </c>
      <c r="H5" s="2">
        <f>'Savings Forecast'!H30</f>
        <v>69286589.982114971</v>
      </c>
      <c r="I5" s="2">
        <f>'Savings Forecast'!I30</f>
        <v>63525412.56758298</v>
      </c>
      <c r="J5" s="2">
        <f>'Savings Forecast'!J30</f>
        <v>57773377.690321073</v>
      </c>
      <c r="K5" s="2">
        <f>'Savings Forecast'!K30</f>
        <v>52664452.615632661</v>
      </c>
      <c r="L5" s="2">
        <f>'Savings Forecast'!L30</f>
        <v>47469001.023912586</v>
      </c>
    </row>
    <row r="6" spans="2:13" x14ac:dyDescent="0.35">
      <c r="B6" t="s">
        <v>51</v>
      </c>
      <c r="C6" s="26">
        <f>'Fixed Asset Rollover'!C30</f>
        <v>-25600000</v>
      </c>
      <c r="D6" s="26">
        <f>'Fixed Asset Rollover'!D30</f>
        <v>-28800000</v>
      </c>
      <c r="E6" s="26">
        <f>'Fixed Asset Rollover'!E30</f>
        <v>-32000000</v>
      </c>
      <c r="F6" s="26">
        <f>'Fixed Asset Rollover'!F30</f>
        <v>-32960000</v>
      </c>
      <c r="G6" s="26">
        <f>'Fixed Asset Rollover'!G30</f>
        <v>-33920000</v>
      </c>
      <c r="H6" s="26">
        <f>'Fixed Asset Rollover'!H30</f>
        <v>-34880000</v>
      </c>
      <c r="I6" s="26">
        <f>'Fixed Asset Rollover'!I30</f>
        <v>-35840000</v>
      </c>
      <c r="J6" s="26">
        <f>'Fixed Asset Rollover'!J30</f>
        <v>-36800000</v>
      </c>
      <c r="K6" s="26">
        <f>'Fixed Asset Rollover'!K30</f>
        <v>-37760000</v>
      </c>
      <c r="L6" s="26">
        <f>'Fixed Asset Rollover'!L30</f>
        <v>-38720000</v>
      </c>
    </row>
    <row r="7" spans="2:13" x14ac:dyDescent="0.35">
      <c r="B7" s="8" t="s">
        <v>87</v>
      </c>
      <c r="C7" s="33">
        <f>SUM(C5:C6)</f>
        <v>58550000</v>
      </c>
      <c r="D7" s="33">
        <f t="shared" ref="D7:L7" si="0">SUM(D5:D6)</f>
        <v>53980500</v>
      </c>
      <c r="E7" s="33">
        <f t="shared" si="0"/>
        <v>49093507</v>
      </c>
      <c r="F7" s="33">
        <f t="shared" si="0"/>
        <v>46981290.439999998</v>
      </c>
      <c r="G7" s="33">
        <f t="shared" si="0"/>
        <v>40305551.850999981</v>
      </c>
      <c r="H7" s="33">
        <f t="shared" si="0"/>
        <v>34406589.982114971</v>
      </c>
      <c r="I7" s="33">
        <f t="shared" si="0"/>
        <v>27685412.56758298</v>
      </c>
      <c r="J7" s="33">
        <f t="shared" si="0"/>
        <v>20973377.690321073</v>
      </c>
      <c r="K7" s="33">
        <f t="shared" si="0"/>
        <v>14904452.615632661</v>
      </c>
      <c r="L7" s="33">
        <f t="shared" si="0"/>
        <v>8749001.0239125863</v>
      </c>
    </row>
    <row r="8" spans="2:13" x14ac:dyDescent="0.35">
      <c r="B8" t="s">
        <v>81</v>
      </c>
      <c r="C8" s="26">
        <f>'Debt Financing'!D16</f>
        <v>-10000000</v>
      </c>
      <c r="D8" s="26">
        <f>'Debt Financing'!E16</f>
        <v>-10000000</v>
      </c>
      <c r="E8" s="26">
        <f>'Debt Financing'!F16</f>
        <v>-9500000</v>
      </c>
      <c r="F8" s="26">
        <f>'Debt Financing'!G16</f>
        <v>-8500000</v>
      </c>
      <c r="G8" s="26">
        <f>'Debt Financing'!H16</f>
        <v>-7500000</v>
      </c>
      <c r="H8" s="26">
        <f>'Debt Financing'!I16</f>
        <v>-6500000</v>
      </c>
      <c r="I8" s="26">
        <f>'Debt Financing'!J16</f>
        <v>-5500000</v>
      </c>
      <c r="J8" s="26">
        <f>'Debt Financing'!K16</f>
        <v>-4500000</v>
      </c>
      <c r="K8" s="26">
        <f>'Debt Financing'!L16</f>
        <v>-3500000</v>
      </c>
      <c r="L8" s="26">
        <f>'Debt Financing'!M16</f>
        <v>-2500000</v>
      </c>
    </row>
    <row r="9" spans="2:13" x14ac:dyDescent="0.35">
      <c r="B9" t="s">
        <v>88</v>
      </c>
      <c r="C9">
        <f>'Debt Financing'!D20</f>
        <v>0</v>
      </c>
      <c r="D9">
        <f>'Debt Financing'!E20</f>
        <v>0</v>
      </c>
      <c r="E9">
        <f>'Debt Financing'!F20</f>
        <v>0</v>
      </c>
      <c r="F9">
        <f>'Debt Financing'!G20</f>
        <v>0</v>
      </c>
      <c r="G9">
        <f>'Debt Financing'!H20</f>
        <v>0</v>
      </c>
      <c r="H9">
        <f>'Debt Financing'!I20</f>
        <v>0</v>
      </c>
      <c r="I9">
        <f>'Debt Financing'!J20</f>
        <v>0</v>
      </c>
      <c r="J9">
        <f>'Debt Financing'!K20</f>
        <v>0</v>
      </c>
      <c r="K9">
        <f>'Debt Financing'!L20</f>
        <v>0</v>
      </c>
      <c r="L9">
        <f>'Debt Financing'!M20</f>
        <v>0</v>
      </c>
    </row>
    <row r="10" spans="2:13" x14ac:dyDescent="0.35">
      <c r="B10" s="8" t="s">
        <v>89</v>
      </c>
      <c r="C10" s="33">
        <f>SUM(C7:C9)</f>
        <v>48550000</v>
      </c>
      <c r="D10" s="33">
        <f t="shared" ref="D10:L10" si="1">SUM(D7:D9)</f>
        <v>43980500</v>
      </c>
      <c r="E10" s="33">
        <f t="shared" si="1"/>
        <v>39593507</v>
      </c>
      <c r="F10" s="33">
        <f t="shared" si="1"/>
        <v>38481290.439999998</v>
      </c>
      <c r="G10" s="33">
        <f t="shared" si="1"/>
        <v>32805551.850999981</v>
      </c>
      <c r="H10" s="33">
        <f t="shared" si="1"/>
        <v>27906589.982114971</v>
      </c>
      <c r="I10" s="33">
        <f t="shared" si="1"/>
        <v>22185412.56758298</v>
      </c>
      <c r="J10" s="33">
        <f t="shared" si="1"/>
        <v>16473377.690321073</v>
      </c>
      <c r="K10" s="33">
        <f t="shared" si="1"/>
        <v>11404452.615632661</v>
      </c>
      <c r="L10" s="33">
        <f t="shared" si="1"/>
        <v>6249001.0239125863</v>
      </c>
    </row>
    <row r="11" spans="2:13" x14ac:dyDescent="0.35">
      <c r="B11" t="s">
        <v>90</v>
      </c>
      <c r="C11" s="26">
        <f>IF(-C10*Drivers!$C$47&gt;0,0,-'P&amp;L'!C10*Drivers!$C$47)</f>
        <v>-14565000</v>
      </c>
      <c r="D11" s="26">
        <f>IF(-D10*Drivers!$C$47&gt;0,0,-'P&amp;L'!D10*Drivers!$C$47)</f>
        <v>-13194150</v>
      </c>
      <c r="E11" s="26">
        <f>IF(-E10*Drivers!$C$47&gt;0,0,-'P&amp;L'!E10*Drivers!$C$47)</f>
        <v>-11878052.1</v>
      </c>
      <c r="F11" s="26">
        <f>IF(-F10*Drivers!$C$47&gt;0,0,-'P&amp;L'!F10*Drivers!$C$47)</f>
        <v>-11544387.131999999</v>
      </c>
      <c r="G11" s="26">
        <f>IF(-G10*Drivers!$C$47&gt;0,0,-'P&amp;L'!G10*Drivers!$C$47)</f>
        <v>-9841665.5552999936</v>
      </c>
      <c r="H11" s="26">
        <f>IF(-H10*Drivers!$C$47&gt;0,0,-'P&amp;L'!H10*Drivers!$C$47)</f>
        <v>-8371976.9946344905</v>
      </c>
      <c r="I11" s="26">
        <f>IF(-I10*Drivers!$C$47&gt;0,0,-'P&amp;L'!I10*Drivers!$C$47)</f>
        <v>-6655623.7702748934</v>
      </c>
      <c r="J11" s="26">
        <f>IF(-J10*Drivers!$C$47&gt;0,0,-'P&amp;L'!J10*Drivers!$C$47)</f>
        <v>-4942013.3070963221</v>
      </c>
      <c r="K11" s="26">
        <f>IF(-K10*Drivers!$C$47&gt;0,0,-'P&amp;L'!K10*Drivers!$C$47)</f>
        <v>-3421335.784689798</v>
      </c>
      <c r="L11" s="26">
        <f>IF(-L10*Drivers!$C$47&gt;0,0,-'P&amp;L'!L10*Drivers!$C$47)</f>
        <v>-1874700.3071737757</v>
      </c>
    </row>
    <row r="12" spans="2:13" ht="15" thickBot="1" x14ac:dyDescent="0.4">
      <c r="B12" s="14" t="s">
        <v>91</v>
      </c>
      <c r="C12" s="22">
        <f>SUM(C10:C11)</f>
        <v>33985000</v>
      </c>
      <c r="D12" s="22">
        <f t="shared" ref="D12:L12" si="2">SUM(D10:D11)</f>
        <v>30786350</v>
      </c>
      <c r="E12" s="22">
        <f t="shared" si="2"/>
        <v>27715454.899999999</v>
      </c>
      <c r="F12" s="22">
        <f t="shared" si="2"/>
        <v>26936903.307999998</v>
      </c>
      <c r="G12" s="22">
        <f t="shared" si="2"/>
        <v>22963886.295699988</v>
      </c>
      <c r="H12" s="22">
        <f t="shared" si="2"/>
        <v>19534612.98748048</v>
      </c>
      <c r="I12" s="22">
        <f t="shared" si="2"/>
        <v>15529788.797308087</v>
      </c>
      <c r="J12" s="22">
        <f t="shared" si="2"/>
        <v>11531364.383224752</v>
      </c>
      <c r="K12" s="22">
        <f t="shared" si="2"/>
        <v>7983116.8309428627</v>
      </c>
      <c r="L12" s="22">
        <f t="shared" si="2"/>
        <v>4374300.7167388108</v>
      </c>
    </row>
    <row r="13" spans="2:13" ht="15" thickTop="1"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4B608-9685-4ACC-9478-38A2DE8D94C2}">
  <dimension ref="B1:M15"/>
  <sheetViews>
    <sheetView showGridLines="0" zoomScale="80" zoomScaleNormal="80" workbookViewId="0">
      <selection activeCell="J19" sqref="J19"/>
    </sheetView>
  </sheetViews>
  <sheetFormatPr defaultRowHeight="14.5" x14ac:dyDescent="0.35"/>
  <cols>
    <col min="1" max="1" width="1.81640625" customWidth="1"/>
    <col min="2" max="2" width="21.81640625" bestFit="1" customWidth="1"/>
    <col min="3" max="3" width="13.08984375" bestFit="1" customWidth="1"/>
    <col min="4" max="7" width="12.08984375" bestFit="1" customWidth="1"/>
    <col min="8" max="13" width="12" bestFit="1" customWidth="1"/>
  </cols>
  <sheetData>
    <row r="1" spans="2:13" x14ac:dyDescent="0.35">
      <c r="B1" s="11" t="s">
        <v>92</v>
      </c>
      <c r="C1" s="12"/>
      <c r="D1" s="12"/>
      <c r="E1" s="12"/>
      <c r="F1" s="12"/>
      <c r="G1" s="12"/>
      <c r="H1" s="12"/>
      <c r="I1" s="12"/>
      <c r="J1" s="12"/>
      <c r="K1" s="12"/>
      <c r="L1" s="12"/>
      <c r="M1" s="12"/>
    </row>
    <row r="3" spans="2:13" x14ac:dyDescent="0.35">
      <c r="B3" s="6" t="s">
        <v>48</v>
      </c>
      <c r="C3" s="6">
        <v>0</v>
      </c>
      <c r="D3" s="6">
        <v>1</v>
      </c>
      <c r="E3" s="6">
        <v>2</v>
      </c>
      <c r="F3" s="6">
        <v>3</v>
      </c>
      <c r="G3" s="6">
        <v>4</v>
      </c>
      <c r="H3" s="6">
        <v>5</v>
      </c>
      <c r="I3" s="6">
        <v>6</v>
      </c>
      <c r="J3" s="6">
        <v>7</v>
      </c>
      <c r="K3" s="6">
        <v>8</v>
      </c>
      <c r="L3" s="6">
        <v>9</v>
      </c>
      <c r="M3" s="6">
        <v>10</v>
      </c>
    </row>
    <row r="5" spans="2:13" x14ac:dyDescent="0.35">
      <c r="B5" t="s">
        <v>93</v>
      </c>
      <c r="C5">
        <v>0</v>
      </c>
      <c r="D5" s="2">
        <f>'P&amp;L'!C5</f>
        <v>84150000</v>
      </c>
      <c r="E5" s="2">
        <f>'P&amp;L'!D5</f>
        <v>82780500</v>
      </c>
      <c r="F5" s="2">
        <f>'P&amp;L'!E5</f>
        <v>81093507</v>
      </c>
      <c r="G5" s="2">
        <f>'P&amp;L'!F5</f>
        <v>79941290.439999998</v>
      </c>
      <c r="H5" s="2">
        <f>'P&amp;L'!G5</f>
        <v>74225551.850999981</v>
      </c>
      <c r="I5" s="2">
        <f>'P&amp;L'!H5</f>
        <v>69286589.982114971</v>
      </c>
      <c r="J5" s="2">
        <f>'P&amp;L'!I5</f>
        <v>63525412.56758298</v>
      </c>
      <c r="K5" s="2">
        <f>'P&amp;L'!J5</f>
        <v>57773377.690321073</v>
      </c>
      <c r="L5" s="2">
        <f>'P&amp;L'!K5</f>
        <v>52664452.615632661</v>
      </c>
      <c r="M5" s="2">
        <f>'P&amp;L'!L5</f>
        <v>47469001.023912586</v>
      </c>
    </row>
    <row r="6" spans="2:13" x14ac:dyDescent="0.35">
      <c r="B6" t="s">
        <v>90</v>
      </c>
      <c r="C6">
        <v>0</v>
      </c>
      <c r="D6" s="26">
        <f>'P&amp;L'!C11</f>
        <v>-14565000</v>
      </c>
      <c r="E6" s="26">
        <f>'P&amp;L'!D11</f>
        <v>-13194150</v>
      </c>
      <c r="F6" s="26">
        <f>'P&amp;L'!E11</f>
        <v>-11878052.1</v>
      </c>
      <c r="G6" s="26">
        <f>'P&amp;L'!F11</f>
        <v>-11544387.131999999</v>
      </c>
      <c r="H6" s="26">
        <f>'P&amp;L'!G11</f>
        <v>-9841665.5552999936</v>
      </c>
      <c r="I6" s="26">
        <f>'P&amp;L'!H11</f>
        <v>-8371976.9946344905</v>
      </c>
      <c r="J6" s="26">
        <f>'P&amp;L'!I11</f>
        <v>-6655623.7702748934</v>
      </c>
      <c r="K6" s="26">
        <f>'P&amp;L'!J11</f>
        <v>-4942013.3070963221</v>
      </c>
      <c r="L6" s="26">
        <f>'P&amp;L'!K11</f>
        <v>-3421335.784689798</v>
      </c>
      <c r="M6" s="26">
        <f>'P&amp;L'!L11</f>
        <v>-1874700.3071737757</v>
      </c>
    </row>
    <row r="7" spans="2:13" x14ac:dyDescent="0.35">
      <c r="B7" t="s">
        <v>70</v>
      </c>
      <c r="C7">
        <v>0</v>
      </c>
      <c r="D7" s="26">
        <f>'Working Capital'!C17</f>
        <v>-14284722.222222222</v>
      </c>
      <c r="E7" s="26">
        <f>'Working Capital'!D17</f>
        <v>-774736.11111111194</v>
      </c>
      <c r="F7" s="26">
        <f>'Working Capital'!E17</f>
        <v>-808364.02777777798</v>
      </c>
      <c r="G7" s="26">
        <f>'Working Capital'!F17</f>
        <v>-1026951.1999999993</v>
      </c>
      <c r="H7" s="26">
        <f>'Working Capital'!G17</f>
        <v>-128547.19013889134</v>
      </c>
      <c r="I7" s="26">
        <f>'Working Capital'!H17</f>
        <v>-315877.17393985763</v>
      </c>
      <c r="J7" s="26">
        <f>'Working Capital'!I17</f>
        <v>-118841.69364456087</v>
      </c>
      <c r="K7" s="26">
        <f>'Working Capital'!J17</f>
        <v>-110366.91713055968</v>
      </c>
      <c r="L7" s="26">
        <f>'Working Capital'!K17</f>
        <v>-314164.44629019871</v>
      </c>
      <c r="M7" s="26">
        <f>'Working Capital'!L17</f>
        <v>-317202.74718524516</v>
      </c>
    </row>
    <row r="8" spans="2:13" x14ac:dyDescent="0.35">
      <c r="B8" t="s">
        <v>50</v>
      </c>
      <c r="C8" s="26">
        <f>-'Fixed Asset Rollover'!C14</f>
        <v>-256000000</v>
      </c>
      <c r="D8" s="26">
        <f>-'Fixed Asset Rollover'!C15</f>
        <v>-32000000</v>
      </c>
      <c r="E8" s="26">
        <f>-'Fixed Asset Rollover'!D15</f>
        <v>-32000000</v>
      </c>
      <c r="F8" s="26">
        <f>-'Fixed Asset Rollover'!E15</f>
        <v>-9600000</v>
      </c>
      <c r="G8" s="26">
        <f>-'Fixed Asset Rollover'!F15</f>
        <v>-9600000</v>
      </c>
      <c r="H8" s="26">
        <f>-'Fixed Asset Rollover'!G15</f>
        <v>-9600000</v>
      </c>
      <c r="I8" s="26">
        <f>-'Fixed Asset Rollover'!H15</f>
        <v>-9600000</v>
      </c>
      <c r="J8" s="26">
        <f>-'Fixed Asset Rollover'!I15</f>
        <v>-9600000</v>
      </c>
      <c r="K8" s="26">
        <f>-'Fixed Asset Rollover'!J15</f>
        <v>-9600000</v>
      </c>
      <c r="L8" s="26">
        <f>-'Fixed Asset Rollover'!K15</f>
        <v>-9600000</v>
      </c>
      <c r="M8" s="26">
        <f>-'Fixed Asset Rollover'!L15</f>
        <v>-9600000</v>
      </c>
    </row>
    <row r="9" spans="2:13" x14ac:dyDescent="0.35">
      <c r="B9" s="36" t="s">
        <v>94</v>
      </c>
      <c r="C9" s="37">
        <f>SUM(C5:C8)</f>
        <v>-256000000</v>
      </c>
      <c r="D9" s="37">
        <f t="shared" ref="D9:M9" si="0">SUM(D5:D8)</f>
        <v>23300277.777777776</v>
      </c>
      <c r="E9" s="37">
        <f t="shared" si="0"/>
        <v>36811613.888888896</v>
      </c>
      <c r="F9" s="37">
        <f t="shared" si="0"/>
        <v>58807090.87222223</v>
      </c>
      <c r="G9" s="37">
        <f t="shared" si="0"/>
        <v>57769952.107999995</v>
      </c>
      <c r="H9" s="37">
        <f t="shared" si="0"/>
        <v>54655339.105561092</v>
      </c>
      <c r="I9" s="37">
        <f t="shared" si="0"/>
        <v>50998735.813540623</v>
      </c>
      <c r="J9" s="37">
        <f t="shared" si="0"/>
        <v>47150947.103663526</v>
      </c>
      <c r="K9" s="37">
        <f t="shared" si="0"/>
        <v>43120997.466094188</v>
      </c>
      <c r="L9" s="37">
        <f t="shared" si="0"/>
        <v>39328952.384652659</v>
      </c>
      <c r="M9" s="37">
        <f t="shared" si="0"/>
        <v>35677097.969553567</v>
      </c>
    </row>
    <row r="11" spans="2:13" x14ac:dyDescent="0.35">
      <c r="B11" t="s">
        <v>95</v>
      </c>
      <c r="C11" s="26">
        <f>'Debt Financing'!C12</f>
        <v>0</v>
      </c>
      <c r="D11" s="26">
        <f>'Debt Financing'!D12</f>
        <v>0</v>
      </c>
      <c r="E11" s="26">
        <f>'Debt Financing'!E12</f>
        <v>-10000000</v>
      </c>
      <c r="F11" s="26">
        <f>'Debt Financing'!F12</f>
        <v>-20000000</v>
      </c>
      <c r="G11" s="26">
        <f>'Debt Financing'!G12</f>
        <v>-20000000</v>
      </c>
      <c r="H11" s="26">
        <f>'Debt Financing'!H12</f>
        <v>-20000000</v>
      </c>
      <c r="I11" s="26">
        <f>'Debt Financing'!I12</f>
        <v>-20000000</v>
      </c>
      <c r="J11" s="26">
        <f>'Debt Financing'!J12</f>
        <v>-20000000</v>
      </c>
      <c r="K11" s="26">
        <f>'Debt Financing'!K12</f>
        <v>-20000000</v>
      </c>
      <c r="L11" s="26">
        <f>'Debt Financing'!L12</f>
        <v>-20000000</v>
      </c>
      <c r="M11" s="26">
        <f>'Debt Financing'!M12</f>
        <v>-20000000</v>
      </c>
    </row>
    <row r="12" spans="2:13" x14ac:dyDescent="0.35">
      <c r="B12" t="s">
        <v>81</v>
      </c>
      <c r="C12" s="26">
        <f>'Debt Financing'!C16</f>
        <v>0</v>
      </c>
      <c r="D12" s="26">
        <f>'Debt Financing'!D16</f>
        <v>-10000000</v>
      </c>
      <c r="E12" s="26">
        <f>'Debt Financing'!E16</f>
        <v>-10000000</v>
      </c>
      <c r="F12" s="26">
        <f>'Debt Financing'!F16</f>
        <v>-9500000</v>
      </c>
      <c r="G12" s="26">
        <f>'Debt Financing'!G16</f>
        <v>-8500000</v>
      </c>
      <c r="H12" s="26">
        <f>'Debt Financing'!H16</f>
        <v>-7500000</v>
      </c>
      <c r="I12" s="26">
        <f>'Debt Financing'!I16</f>
        <v>-6500000</v>
      </c>
      <c r="J12" s="26">
        <f>'Debt Financing'!J16</f>
        <v>-5500000</v>
      </c>
      <c r="K12" s="26">
        <f>'Debt Financing'!K16</f>
        <v>-4500000</v>
      </c>
      <c r="L12" s="26">
        <f>'Debt Financing'!L16</f>
        <v>-3500000</v>
      </c>
      <c r="M12" s="26">
        <f>'Debt Financing'!M16</f>
        <v>-2500000</v>
      </c>
    </row>
    <row r="13" spans="2:13" x14ac:dyDescent="0.35">
      <c r="B13" t="s">
        <v>84</v>
      </c>
      <c r="C13">
        <f>'Debt Financing'!C20</f>
        <v>0</v>
      </c>
      <c r="D13">
        <f>'Debt Financing'!D20</f>
        <v>0</v>
      </c>
      <c r="E13">
        <f>'Debt Financing'!E20</f>
        <v>0</v>
      </c>
      <c r="F13">
        <f>'Debt Financing'!F20</f>
        <v>0</v>
      </c>
      <c r="G13">
        <f>'Debt Financing'!G20</f>
        <v>0</v>
      </c>
      <c r="H13">
        <f>'Debt Financing'!H20</f>
        <v>0</v>
      </c>
      <c r="I13">
        <f>'Debt Financing'!I20</f>
        <v>0</v>
      </c>
      <c r="J13">
        <f>'Debt Financing'!J20</f>
        <v>0</v>
      </c>
      <c r="K13">
        <f>'Debt Financing'!K20</f>
        <v>0</v>
      </c>
      <c r="L13">
        <f>'Debt Financing'!L20</f>
        <v>0</v>
      </c>
      <c r="M13">
        <f>'Debt Financing'!M20</f>
        <v>0</v>
      </c>
    </row>
    <row r="14" spans="2:13" x14ac:dyDescent="0.35">
      <c r="B14" t="s">
        <v>96</v>
      </c>
      <c r="D14">
        <f>'Debt Financing'!D23-'Debt Financing'!C23</f>
        <v>0</v>
      </c>
      <c r="E14">
        <f>'Debt Financing'!E23-'Debt Financing'!D23</f>
        <v>0</v>
      </c>
      <c r="F14">
        <f>'Debt Financing'!F23-'Debt Financing'!E23</f>
        <v>0</v>
      </c>
      <c r="G14">
        <f>'Debt Financing'!G23-'Debt Financing'!F23</f>
        <v>0</v>
      </c>
      <c r="H14">
        <f>'Debt Financing'!H23-'Debt Financing'!G23</f>
        <v>0</v>
      </c>
      <c r="I14">
        <f>'Debt Financing'!I23-'Debt Financing'!H23</f>
        <v>0</v>
      </c>
      <c r="J14">
        <f>'Debt Financing'!J23-'Debt Financing'!I23</f>
        <v>0</v>
      </c>
      <c r="K14">
        <f>'Debt Financing'!K23-'Debt Financing'!J23</f>
        <v>0</v>
      </c>
      <c r="L14">
        <f>'Debt Financing'!L23-'Debt Financing'!K23</f>
        <v>0</v>
      </c>
      <c r="M14">
        <f>'Debt Financing'!M23-'Debt Financing'!L23</f>
        <v>0</v>
      </c>
    </row>
    <row r="15" spans="2:13" x14ac:dyDescent="0.35">
      <c r="B15" s="8" t="s">
        <v>97</v>
      </c>
      <c r="C15" s="37">
        <f>SUM(C9:C14)</f>
        <v>-256000000</v>
      </c>
      <c r="D15" s="37">
        <f t="shared" ref="D15:M15" si="1">SUM(D9:D14)</f>
        <v>13300277.777777776</v>
      </c>
      <c r="E15" s="37">
        <f t="shared" si="1"/>
        <v>16811613.888888896</v>
      </c>
      <c r="F15" s="37">
        <f t="shared" si="1"/>
        <v>29307090.87222223</v>
      </c>
      <c r="G15" s="37">
        <f t="shared" si="1"/>
        <v>29269952.107999995</v>
      </c>
      <c r="H15" s="37">
        <f t="shared" si="1"/>
        <v>27155339.105561092</v>
      </c>
      <c r="I15" s="37">
        <f t="shared" si="1"/>
        <v>24498735.813540623</v>
      </c>
      <c r="J15" s="37">
        <f t="shared" si="1"/>
        <v>21650947.103663526</v>
      </c>
      <c r="K15" s="37">
        <f t="shared" si="1"/>
        <v>18620997.466094188</v>
      </c>
      <c r="L15" s="37">
        <f t="shared" si="1"/>
        <v>15828952.384652659</v>
      </c>
      <c r="M15" s="37">
        <f t="shared" si="1"/>
        <v>13177097.969553567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66A9-22B6-4746-A541-18D68492DF93}">
  <dimension ref="B1:N34"/>
  <sheetViews>
    <sheetView showGridLines="0" topLeftCell="A19" zoomScale="80" zoomScaleNormal="80" workbookViewId="0">
      <selection activeCell="C31" sqref="C31"/>
    </sheetView>
  </sheetViews>
  <sheetFormatPr defaultRowHeight="14.5" x14ac:dyDescent="0.35"/>
  <cols>
    <col min="1" max="1" width="1.81640625" customWidth="1"/>
    <col min="2" max="2" width="34.1796875" bestFit="1" customWidth="1"/>
    <col min="3" max="3" width="13.1796875" bestFit="1" customWidth="1"/>
    <col min="4" max="12" width="12.6328125" bestFit="1" customWidth="1"/>
    <col min="13" max="13" width="11.54296875" bestFit="1" customWidth="1"/>
  </cols>
  <sheetData>
    <row r="1" spans="2:13" x14ac:dyDescent="0.35">
      <c r="B1" s="11" t="s">
        <v>100</v>
      </c>
      <c r="C1" s="12"/>
      <c r="D1" s="12"/>
      <c r="E1" s="12"/>
      <c r="F1" s="12"/>
      <c r="G1" s="12"/>
      <c r="H1" s="12"/>
      <c r="I1" s="12"/>
      <c r="J1" s="12"/>
      <c r="K1" s="12"/>
      <c r="L1" s="12"/>
      <c r="M1" s="12"/>
    </row>
    <row r="3" spans="2:13" x14ac:dyDescent="0.35">
      <c r="B3" s="5" t="s">
        <v>112</v>
      </c>
      <c r="C3" s="1">
        <f>Drivers!C37</f>
        <v>0.05</v>
      </c>
    </row>
    <row r="4" spans="2:13" x14ac:dyDescent="0.35">
      <c r="B4" s="5" t="s">
        <v>110</v>
      </c>
      <c r="C4" s="1">
        <f>Drivers!C61</f>
        <v>0.03</v>
      </c>
    </row>
    <row r="5" spans="2:13" x14ac:dyDescent="0.35">
      <c r="B5" s="5" t="s">
        <v>27</v>
      </c>
      <c r="C5" s="1">
        <f>Drivers!C47</f>
        <v>0.3</v>
      </c>
    </row>
    <row r="6" spans="2:13" x14ac:dyDescent="0.35">
      <c r="B6" s="5" t="s">
        <v>114</v>
      </c>
      <c r="C6" s="1">
        <f>Drivers!C58</f>
        <v>0.06</v>
      </c>
    </row>
    <row r="8" spans="2:13" x14ac:dyDescent="0.35">
      <c r="B8" s="6" t="s">
        <v>102</v>
      </c>
      <c r="C8" s="39" t="s">
        <v>103</v>
      </c>
      <c r="D8" s="39" t="s">
        <v>104</v>
      </c>
    </row>
    <row r="9" spans="2:13" x14ac:dyDescent="0.35">
      <c r="B9" s="5" t="s">
        <v>105</v>
      </c>
      <c r="C9" s="1">
        <f>Drivers!C54</f>
        <v>0.8</v>
      </c>
      <c r="D9" s="42">
        <f>Drivers!D54</f>
        <v>0.6</v>
      </c>
    </row>
    <row r="10" spans="2:13" x14ac:dyDescent="0.35">
      <c r="B10" s="5" t="s">
        <v>106</v>
      </c>
      <c r="C10" s="1">
        <f>Drivers!C55</f>
        <v>0.9</v>
      </c>
      <c r="D10" s="42">
        <f>Drivers!D55</f>
        <v>0.65</v>
      </c>
    </row>
    <row r="11" spans="2:13" x14ac:dyDescent="0.35">
      <c r="B11" s="5" t="s">
        <v>107</v>
      </c>
      <c r="C11" s="1">
        <f>Drivers!C56</f>
        <v>0.85</v>
      </c>
      <c r="D11" s="42">
        <f>Drivers!D56</f>
        <v>0.56999999999999995</v>
      </c>
    </row>
    <row r="13" spans="2:13" x14ac:dyDescent="0.35">
      <c r="B13" s="6" t="s">
        <v>48</v>
      </c>
      <c r="C13" s="6">
        <v>0</v>
      </c>
      <c r="D13" s="6">
        <v>1</v>
      </c>
      <c r="E13" s="6">
        <v>2</v>
      </c>
      <c r="F13" s="6">
        <v>3</v>
      </c>
      <c r="G13" s="6">
        <v>4</v>
      </c>
      <c r="H13" s="6">
        <v>5</v>
      </c>
      <c r="I13" s="6">
        <v>6</v>
      </c>
      <c r="J13" s="6">
        <v>7</v>
      </c>
      <c r="K13" s="6">
        <v>8</v>
      </c>
      <c r="L13" s="6">
        <v>9</v>
      </c>
      <c r="M13" s="6">
        <v>10</v>
      </c>
    </row>
    <row r="14" spans="2:13" x14ac:dyDescent="0.35">
      <c r="B14" s="43" t="s">
        <v>115</v>
      </c>
      <c r="C14" s="2">
        <f>'Debt Financing'!C14</f>
        <v>200000000</v>
      </c>
      <c r="D14" s="2">
        <f>'Debt Financing'!D14</f>
        <v>200000000</v>
      </c>
      <c r="E14" s="2">
        <f>'Debt Financing'!E14</f>
        <v>190000000</v>
      </c>
      <c r="F14" s="2">
        <f>'Debt Financing'!F14</f>
        <v>170000000</v>
      </c>
      <c r="G14" s="2">
        <f>'Debt Financing'!G14</f>
        <v>150000000</v>
      </c>
      <c r="H14" s="2">
        <f>'Debt Financing'!H14</f>
        <v>130000000</v>
      </c>
      <c r="I14" s="2">
        <f>'Debt Financing'!I14</f>
        <v>110000000</v>
      </c>
      <c r="J14" s="2">
        <f>'Debt Financing'!J14</f>
        <v>90000000</v>
      </c>
      <c r="K14" s="2">
        <f>'Debt Financing'!K14</f>
        <v>70000000</v>
      </c>
      <c r="L14" s="2">
        <f>'Debt Financing'!L14</f>
        <v>50000000</v>
      </c>
      <c r="M14" s="2">
        <f>'Debt Financing'!M14</f>
        <v>30000000</v>
      </c>
    </row>
    <row r="15" spans="2:13" x14ac:dyDescent="0.35">
      <c r="B15" s="43" t="s">
        <v>99</v>
      </c>
      <c r="C15" s="2">
        <f>'Debt Financing'!C23</f>
        <v>56000000</v>
      </c>
      <c r="D15" s="2">
        <f>'Debt Financing'!D23</f>
        <v>56000000</v>
      </c>
      <c r="E15" s="2">
        <f>'Debt Financing'!E23</f>
        <v>56000000</v>
      </c>
      <c r="F15" s="2">
        <f>'Debt Financing'!F23</f>
        <v>56000000</v>
      </c>
      <c r="G15" s="2">
        <f>'Debt Financing'!G23</f>
        <v>56000000</v>
      </c>
      <c r="H15" s="2">
        <f>'Debt Financing'!H23</f>
        <v>56000000</v>
      </c>
      <c r="I15" s="2">
        <f>'Debt Financing'!I23</f>
        <v>56000000</v>
      </c>
      <c r="J15" s="2">
        <f>'Debt Financing'!J23</f>
        <v>56000000</v>
      </c>
      <c r="K15" s="2">
        <f>'Debt Financing'!K23</f>
        <v>56000000</v>
      </c>
      <c r="L15" s="2">
        <f>'Debt Financing'!L23</f>
        <v>56000000</v>
      </c>
      <c r="M15" s="2">
        <f>'Debt Financing'!M23</f>
        <v>56000000</v>
      </c>
    </row>
    <row r="16" spans="2:13" x14ac:dyDescent="0.35">
      <c r="B16" s="44" t="s">
        <v>116</v>
      </c>
      <c r="C16" s="21">
        <f>SUM(C14:C15)</f>
        <v>256000000</v>
      </c>
      <c r="D16" s="21">
        <f t="shared" ref="D16:M16" si="0">SUM(D14:D15)</f>
        <v>256000000</v>
      </c>
      <c r="E16" s="21">
        <f t="shared" si="0"/>
        <v>246000000</v>
      </c>
      <c r="F16" s="21">
        <f t="shared" si="0"/>
        <v>226000000</v>
      </c>
      <c r="G16" s="21">
        <f t="shared" si="0"/>
        <v>206000000</v>
      </c>
      <c r="H16" s="21">
        <f t="shared" si="0"/>
        <v>186000000</v>
      </c>
      <c r="I16" s="21">
        <f t="shared" si="0"/>
        <v>166000000</v>
      </c>
      <c r="J16" s="21">
        <f t="shared" si="0"/>
        <v>146000000</v>
      </c>
      <c r="K16" s="21">
        <f t="shared" si="0"/>
        <v>126000000</v>
      </c>
      <c r="L16" s="21">
        <f t="shared" si="0"/>
        <v>106000000</v>
      </c>
      <c r="M16" s="21">
        <f t="shared" si="0"/>
        <v>86000000</v>
      </c>
    </row>
    <row r="18" spans="2:13" x14ac:dyDescent="0.35">
      <c r="B18" t="s">
        <v>117</v>
      </c>
      <c r="C18" s="41">
        <f>C14/C16</f>
        <v>0.78125</v>
      </c>
      <c r="D18" s="41">
        <f t="shared" ref="D18:M18" si="1">D14/D16</f>
        <v>0.78125</v>
      </c>
      <c r="E18" s="41">
        <f t="shared" si="1"/>
        <v>0.77235772357723576</v>
      </c>
      <c r="F18" s="41">
        <f t="shared" si="1"/>
        <v>0.75221238938053092</v>
      </c>
      <c r="G18" s="41">
        <f t="shared" si="1"/>
        <v>0.72815533980582525</v>
      </c>
      <c r="H18" s="41">
        <f t="shared" si="1"/>
        <v>0.69892473118279574</v>
      </c>
      <c r="I18" s="41">
        <f t="shared" si="1"/>
        <v>0.66265060240963858</v>
      </c>
      <c r="J18" s="41">
        <f t="shared" si="1"/>
        <v>0.61643835616438358</v>
      </c>
      <c r="K18" s="41">
        <f t="shared" si="1"/>
        <v>0.55555555555555558</v>
      </c>
      <c r="L18" s="41">
        <f t="shared" si="1"/>
        <v>0.47169811320754718</v>
      </c>
      <c r="M18" s="41">
        <f t="shared" si="1"/>
        <v>0.34883720930232559</v>
      </c>
    </row>
    <row r="19" spans="2:13" x14ac:dyDescent="0.35">
      <c r="B19" t="s">
        <v>118</v>
      </c>
      <c r="C19" s="41">
        <f>C15/C16</f>
        <v>0.21875</v>
      </c>
      <c r="D19" s="41">
        <f t="shared" ref="D19:M19" si="2">D15/D16</f>
        <v>0.21875</v>
      </c>
      <c r="E19" s="41">
        <f t="shared" si="2"/>
        <v>0.22764227642276422</v>
      </c>
      <c r="F19" s="41">
        <f t="shared" si="2"/>
        <v>0.24778761061946902</v>
      </c>
      <c r="G19" s="41">
        <f t="shared" si="2"/>
        <v>0.27184466019417475</v>
      </c>
      <c r="H19" s="41">
        <f t="shared" si="2"/>
        <v>0.30107526881720431</v>
      </c>
      <c r="I19" s="41">
        <f t="shared" si="2"/>
        <v>0.33734939759036142</v>
      </c>
      <c r="J19" s="41">
        <f t="shared" si="2"/>
        <v>0.38356164383561642</v>
      </c>
      <c r="K19" s="41">
        <f t="shared" si="2"/>
        <v>0.44444444444444442</v>
      </c>
      <c r="L19" s="41">
        <f t="shared" si="2"/>
        <v>0.52830188679245282</v>
      </c>
      <c r="M19" s="41">
        <f t="shared" si="2"/>
        <v>0.65116279069767447</v>
      </c>
    </row>
    <row r="20" spans="2:13" x14ac:dyDescent="0.35">
      <c r="B20" s="8" t="s">
        <v>119</v>
      </c>
      <c r="C20" s="45">
        <f>SUM(C18:C19)</f>
        <v>1</v>
      </c>
      <c r="D20" s="45">
        <f t="shared" ref="D20:M20" si="3">SUM(D18:D19)</f>
        <v>1</v>
      </c>
      <c r="E20" s="45">
        <f t="shared" si="3"/>
        <v>1</v>
      </c>
      <c r="F20" s="45">
        <f t="shared" si="3"/>
        <v>1</v>
      </c>
      <c r="G20" s="45">
        <f t="shared" si="3"/>
        <v>1</v>
      </c>
      <c r="H20" s="45">
        <f t="shared" si="3"/>
        <v>1</v>
      </c>
      <c r="I20" s="45">
        <f t="shared" si="3"/>
        <v>1</v>
      </c>
      <c r="J20" s="45">
        <f t="shared" si="3"/>
        <v>1</v>
      </c>
      <c r="K20" s="45">
        <f t="shared" si="3"/>
        <v>1</v>
      </c>
      <c r="L20" s="45">
        <f t="shared" si="3"/>
        <v>1</v>
      </c>
      <c r="M20" s="45">
        <f t="shared" si="3"/>
        <v>1</v>
      </c>
    </row>
    <row r="22" spans="2:13" x14ac:dyDescent="0.35">
      <c r="B22" s="5" t="s">
        <v>120</v>
      </c>
    </row>
    <row r="23" spans="2:13" x14ac:dyDescent="0.35">
      <c r="B23" t="s">
        <v>121</v>
      </c>
      <c r="C23" s="1">
        <f>AVERAGE(C9:C11)</f>
        <v>0.85000000000000009</v>
      </c>
    </row>
    <row r="24" spans="2:13" x14ac:dyDescent="0.35">
      <c r="B24" s="38" t="s">
        <v>122</v>
      </c>
      <c r="C24" s="46">
        <f>AVERAGE(D9:D11)</f>
        <v>0.60666666666666658</v>
      </c>
    </row>
    <row r="26" spans="2:13" x14ac:dyDescent="0.35">
      <c r="B26" s="5" t="s">
        <v>123</v>
      </c>
    </row>
    <row r="27" spans="2:13" x14ac:dyDescent="0.35">
      <c r="B27" t="s">
        <v>124</v>
      </c>
      <c r="C27" s="46">
        <f>C18/C19</f>
        <v>3.5714285714285716</v>
      </c>
      <c r="D27" s="46">
        <f t="shared" ref="D27:M27" si="4">D18/D19</f>
        <v>3.5714285714285716</v>
      </c>
      <c r="E27" s="46">
        <f t="shared" si="4"/>
        <v>3.3928571428571428</v>
      </c>
      <c r="F27" s="46">
        <f t="shared" si="4"/>
        <v>3.0357142857142856</v>
      </c>
      <c r="G27" s="46">
        <f t="shared" si="4"/>
        <v>2.6785714285714288</v>
      </c>
      <c r="H27" s="46">
        <f t="shared" si="4"/>
        <v>2.3214285714285716</v>
      </c>
      <c r="I27" s="46">
        <f t="shared" si="4"/>
        <v>1.9642857142857144</v>
      </c>
      <c r="J27" s="46">
        <f t="shared" si="4"/>
        <v>1.6071428571428572</v>
      </c>
      <c r="K27" s="46">
        <f t="shared" si="4"/>
        <v>1.2500000000000002</v>
      </c>
      <c r="L27" s="46">
        <f t="shared" si="4"/>
        <v>0.8928571428571429</v>
      </c>
      <c r="M27" s="46">
        <f t="shared" si="4"/>
        <v>0.5357142857142857</v>
      </c>
    </row>
    <row r="28" spans="2:13" x14ac:dyDescent="0.35">
      <c r="B28" t="s">
        <v>125</v>
      </c>
      <c r="C28" s="46">
        <f>$C$24/(1+((1-$C$5)*$C$23))</f>
        <v>0.38035527690700099</v>
      </c>
      <c r="D28" s="46">
        <f t="shared" ref="D28:M28" si="5">$C$24/(1+((1-$C$5)*$C$23))</f>
        <v>0.38035527690700099</v>
      </c>
      <c r="E28" s="46">
        <f t="shared" si="5"/>
        <v>0.38035527690700099</v>
      </c>
      <c r="F28" s="46">
        <f t="shared" si="5"/>
        <v>0.38035527690700099</v>
      </c>
      <c r="G28" s="46">
        <f t="shared" si="5"/>
        <v>0.38035527690700099</v>
      </c>
      <c r="H28" s="46">
        <f t="shared" si="5"/>
        <v>0.38035527690700099</v>
      </c>
      <c r="I28" s="46">
        <f t="shared" si="5"/>
        <v>0.38035527690700099</v>
      </c>
      <c r="J28" s="46">
        <f t="shared" si="5"/>
        <v>0.38035527690700099</v>
      </c>
      <c r="K28" s="46">
        <f t="shared" si="5"/>
        <v>0.38035527690700099</v>
      </c>
      <c r="L28" s="46">
        <f t="shared" si="5"/>
        <v>0.38035527690700099</v>
      </c>
      <c r="M28" s="46">
        <f t="shared" si="5"/>
        <v>0.38035527690700099</v>
      </c>
    </row>
    <row r="29" spans="2:13" x14ac:dyDescent="0.35">
      <c r="B29" s="8" t="s">
        <v>126</v>
      </c>
      <c r="C29" s="48">
        <f>C28*(1+(1-$C$5)*C27)</f>
        <v>1.3312434691745034</v>
      </c>
      <c r="D29" s="48">
        <f t="shared" ref="D29:M29" si="6">D28*(1+(1-$C$5)*D27)</f>
        <v>1.3312434691745034</v>
      </c>
      <c r="E29" s="48">
        <f t="shared" si="6"/>
        <v>1.2836990595611284</v>
      </c>
      <c r="F29" s="48">
        <f t="shared" si="6"/>
        <v>1.1886102403343779</v>
      </c>
      <c r="G29" s="48">
        <f t="shared" si="6"/>
        <v>1.0935214211076278</v>
      </c>
      <c r="H29" s="48">
        <f t="shared" si="6"/>
        <v>0.99843260188087757</v>
      </c>
      <c r="I29" s="48">
        <f t="shared" si="6"/>
        <v>0.9033437826541274</v>
      </c>
      <c r="J29" s="48">
        <f t="shared" si="6"/>
        <v>0.80825496342737713</v>
      </c>
      <c r="K29" s="48">
        <f t="shared" si="6"/>
        <v>0.71316614420062685</v>
      </c>
      <c r="L29" s="48">
        <f t="shared" si="6"/>
        <v>0.61807732497387657</v>
      </c>
      <c r="M29" s="48">
        <f t="shared" si="6"/>
        <v>0.52298850574712641</v>
      </c>
    </row>
    <row r="31" spans="2:13" x14ac:dyDescent="0.35">
      <c r="B31" s="5" t="s">
        <v>113</v>
      </c>
      <c r="C31" s="51">
        <f>$C$4+$C$6*C29</f>
        <v>0.1098746081504702</v>
      </c>
      <c r="D31" s="51">
        <f t="shared" ref="D31:M31" si="7">$C$4+$C$6*D29</f>
        <v>0.1098746081504702</v>
      </c>
      <c r="E31" s="51">
        <f t="shared" si="7"/>
        <v>0.1070219435736677</v>
      </c>
      <c r="F31" s="51">
        <f t="shared" si="7"/>
        <v>0.10131661442006266</v>
      </c>
      <c r="G31" s="51">
        <f t="shared" si="7"/>
        <v>9.5611285266457666E-2</v>
      </c>
      <c r="H31" s="51">
        <f t="shared" si="7"/>
        <v>8.9905956112852653E-2</v>
      </c>
      <c r="I31" s="51">
        <f t="shared" si="7"/>
        <v>8.420062695924764E-2</v>
      </c>
      <c r="J31" s="51">
        <f t="shared" si="7"/>
        <v>7.8495297805642628E-2</v>
      </c>
      <c r="K31" s="51">
        <f t="shared" si="7"/>
        <v>7.2789968652037601E-2</v>
      </c>
      <c r="L31" s="51">
        <f t="shared" si="7"/>
        <v>6.7084639498432602E-2</v>
      </c>
      <c r="M31" s="51">
        <f t="shared" si="7"/>
        <v>6.1379310344827583E-2</v>
      </c>
    </row>
    <row r="33" spans="2:14" ht="15" thickBot="1" x14ac:dyDescent="0.4">
      <c r="B33" s="14" t="s">
        <v>127</v>
      </c>
      <c r="C33" s="50">
        <f>(C18*(1-$C$5)*$C$3)+(C19*C31)</f>
        <v>5.1378820532915356E-2</v>
      </c>
      <c r="D33" s="50">
        <f t="shared" ref="D33:N33" si="8">(D18*(1-$C$5)*$C$3)+(D19*D31)</f>
        <v>5.1378820532915356E-2</v>
      </c>
      <c r="E33" s="50">
        <f t="shared" si="8"/>
        <v>5.1395239187501593E-2</v>
      </c>
      <c r="F33" s="50">
        <f t="shared" si="8"/>
        <v>5.143243543151995E-2</v>
      </c>
      <c r="G33" s="50">
        <f t="shared" si="8"/>
        <v>5.147685424719238E-2</v>
      </c>
      <c r="H33" s="50">
        <f t="shared" si="8"/>
        <v>5.1530825496342733E-2</v>
      </c>
      <c r="I33" s="50">
        <f t="shared" si="8"/>
        <v>5.1597801865770287E-2</v>
      </c>
      <c r="J33" s="50">
        <f t="shared" si="8"/>
        <v>5.1683127925451967E-2</v>
      </c>
      <c r="K33" s="50">
        <f t="shared" si="8"/>
        <v>5.1795541623127821E-2</v>
      </c>
      <c r="L33" s="50">
        <f t="shared" si="8"/>
        <v>5.1950375584077599E-2</v>
      </c>
      <c r="M33" s="50">
        <f t="shared" si="8"/>
        <v>5.2177225340817965E-2</v>
      </c>
      <c r="N33" s="49"/>
    </row>
    <row r="34" spans="2:14" ht="15" thickTop="1"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8FC73-D075-4D15-A7FD-8B66CAB8FA45}">
  <dimension ref="B1:N23"/>
  <sheetViews>
    <sheetView showGridLines="0" topLeftCell="A5" zoomScale="80" zoomScaleNormal="80" workbookViewId="0">
      <selection activeCell="G16" sqref="G16"/>
    </sheetView>
  </sheetViews>
  <sheetFormatPr defaultRowHeight="14.5" x14ac:dyDescent="0.35"/>
  <cols>
    <col min="1" max="1" width="1.81640625" customWidth="1"/>
    <col min="2" max="2" width="35.90625" bestFit="1" customWidth="1"/>
    <col min="3" max="3" width="15.36328125" bestFit="1" customWidth="1"/>
    <col min="4" max="5" width="10" bestFit="1" customWidth="1"/>
    <col min="6" max="10" width="11.54296875" bestFit="1" customWidth="1"/>
    <col min="11" max="12" width="10.90625" bestFit="1" customWidth="1"/>
    <col min="13" max="13" width="11.54296875" bestFit="1" customWidth="1"/>
    <col min="14" max="14" width="13.6328125" bestFit="1" customWidth="1"/>
  </cols>
  <sheetData>
    <row r="1" spans="2:14" x14ac:dyDescent="0.35">
      <c r="B1" s="11" t="s">
        <v>128</v>
      </c>
      <c r="C1" s="12"/>
      <c r="D1" s="12"/>
      <c r="E1" s="12"/>
      <c r="F1" s="12"/>
      <c r="G1" s="12"/>
      <c r="H1" s="12"/>
      <c r="I1" s="12"/>
      <c r="J1" s="12"/>
      <c r="K1" s="12"/>
      <c r="L1" s="12"/>
      <c r="M1" s="12"/>
    </row>
    <row r="3" spans="2:14" x14ac:dyDescent="0.35">
      <c r="B3" t="s">
        <v>129</v>
      </c>
      <c r="C3" s="2">
        <v>70000000</v>
      </c>
    </row>
    <row r="5" spans="2:14" x14ac:dyDescent="0.35">
      <c r="B5" s="6" t="s">
        <v>48</v>
      </c>
      <c r="C5" s="6">
        <v>0</v>
      </c>
      <c r="D5" s="6">
        <v>1</v>
      </c>
      <c r="E5" s="6">
        <v>2</v>
      </c>
      <c r="F5" s="6">
        <v>3</v>
      </c>
      <c r="G5" s="6">
        <v>4</v>
      </c>
      <c r="H5" s="6">
        <v>5</v>
      </c>
      <c r="I5" s="6">
        <v>6</v>
      </c>
      <c r="J5" s="6">
        <v>7</v>
      </c>
      <c r="K5" s="6">
        <v>8</v>
      </c>
      <c r="L5" s="6">
        <v>9</v>
      </c>
      <c r="M5" s="6">
        <v>10</v>
      </c>
      <c r="N5" s="6" t="s">
        <v>129</v>
      </c>
    </row>
    <row r="6" spans="2:14" x14ac:dyDescent="0.35">
      <c r="B6" t="s">
        <v>98</v>
      </c>
      <c r="C6" s="25">
        <f>-'Debt Financing'!C23</f>
        <v>-56000000</v>
      </c>
      <c r="D6" s="25">
        <f>'Cash Flow'!D15</f>
        <v>13300277.777777776</v>
      </c>
      <c r="E6" s="25">
        <f>'Cash Flow'!E15</f>
        <v>16811613.888888896</v>
      </c>
      <c r="F6" s="25">
        <f>'Cash Flow'!F15</f>
        <v>29307090.87222223</v>
      </c>
      <c r="G6" s="25">
        <f>'Cash Flow'!G15</f>
        <v>29269952.107999995</v>
      </c>
      <c r="H6" s="25">
        <f>'Cash Flow'!H15</f>
        <v>27155339.105561092</v>
      </c>
      <c r="I6" s="25">
        <f>'Cash Flow'!I15</f>
        <v>24498735.813540623</v>
      </c>
      <c r="J6" s="25">
        <f>'Cash Flow'!J15</f>
        <v>21650947.103663526</v>
      </c>
      <c r="K6" s="25">
        <f>'Cash Flow'!K15</f>
        <v>18620997.466094188</v>
      </c>
      <c r="L6" s="25">
        <f>'Cash Flow'!L15</f>
        <v>15828952.384652659</v>
      </c>
      <c r="M6" s="25">
        <f>'Cash Flow'!M15</f>
        <v>13177097.969553567</v>
      </c>
      <c r="N6" s="20">
        <f>C3</f>
        <v>70000000</v>
      </c>
    </row>
    <row r="8" spans="2:14" x14ac:dyDescent="0.35">
      <c r="B8" t="s">
        <v>113</v>
      </c>
      <c r="D8" s="51">
        <f>WACC!C31</f>
        <v>0.1098746081504702</v>
      </c>
      <c r="E8" s="51">
        <f>WACC!D31</f>
        <v>0.1098746081504702</v>
      </c>
      <c r="F8" s="51">
        <f>WACC!E31</f>
        <v>0.1070219435736677</v>
      </c>
      <c r="G8" s="51">
        <f>WACC!F31</f>
        <v>0.10131661442006266</v>
      </c>
      <c r="H8" s="51">
        <f>WACC!G31</f>
        <v>9.5611285266457666E-2</v>
      </c>
      <c r="I8" s="51">
        <f>WACC!H31</f>
        <v>8.9905956112852653E-2</v>
      </c>
      <c r="J8" s="51">
        <f>WACC!I31</f>
        <v>8.420062695924764E-2</v>
      </c>
      <c r="K8" s="51">
        <f>WACC!J31</f>
        <v>7.8495297805642628E-2</v>
      </c>
      <c r="L8" s="51">
        <f>WACC!K31</f>
        <v>7.2789968652037601E-2</v>
      </c>
      <c r="M8" s="51">
        <f>WACC!L31</f>
        <v>6.7084639498432602E-2</v>
      </c>
    </row>
    <row r="9" spans="2:14" x14ac:dyDescent="0.35">
      <c r="B9" t="s">
        <v>130</v>
      </c>
      <c r="C9" s="25">
        <f>C6/(1+C8)^C5</f>
        <v>-56000000</v>
      </c>
      <c r="D9" s="2">
        <f t="shared" ref="D9:M9" si="0">D6/(1+D8)^D5</f>
        <v>11983585.965572972</v>
      </c>
      <c r="E9" s="2">
        <f t="shared" si="0"/>
        <v>13647766.254128851</v>
      </c>
      <c r="F9" s="2">
        <f t="shared" si="0"/>
        <v>21602500.411128376</v>
      </c>
      <c r="G9" s="2">
        <f t="shared" si="0"/>
        <v>19896342.471412886</v>
      </c>
      <c r="H9" s="2">
        <f t="shared" si="0"/>
        <v>17201754.505311109</v>
      </c>
      <c r="I9" s="2">
        <f t="shared" si="0"/>
        <v>14615360.057663566</v>
      </c>
      <c r="J9" s="2">
        <f t="shared" si="0"/>
        <v>12294456.095500924</v>
      </c>
      <c r="K9" s="2">
        <f t="shared" si="0"/>
        <v>10173183.858521082</v>
      </c>
      <c r="L9" s="2">
        <f t="shared" si="0"/>
        <v>8410461.7026247419</v>
      </c>
      <c r="M9" s="2">
        <f t="shared" si="0"/>
        <v>6883845.1319331545</v>
      </c>
    </row>
    <row r="10" spans="2:14" x14ac:dyDescent="0.35">
      <c r="M10" s="20">
        <f>N6/(1+M8)^M5</f>
        <v>36568686.090723984</v>
      </c>
    </row>
    <row r="11" spans="2:14" ht="15" thickBot="1" x14ac:dyDescent="0.4">
      <c r="B11" s="14" t="s">
        <v>131</v>
      </c>
      <c r="C11" s="27">
        <f>SUM(C9:C10)</f>
        <v>-56000000</v>
      </c>
      <c r="D11" s="27">
        <f t="shared" ref="D11:M11" si="1">SUM(D9:D10)</f>
        <v>11983585.965572972</v>
      </c>
      <c r="E11" s="27">
        <f t="shared" si="1"/>
        <v>13647766.254128851</v>
      </c>
      <c r="F11" s="27">
        <f t="shared" si="1"/>
        <v>21602500.411128376</v>
      </c>
      <c r="G11" s="27">
        <f t="shared" si="1"/>
        <v>19896342.471412886</v>
      </c>
      <c r="H11" s="27">
        <f t="shared" si="1"/>
        <v>17201754.505311109</v>
      </c>
      <c r="I11" s="27">
        <f t="shared" si="1"/>
        <v>14615360.057663566</v>
      </c>
      <c r="J11" s="27">
        <f t="shared" si="1"/>
        <v>12294456.095500924</v>
      </c>
      <c r="K11" s="27">
        <f t="shared" si="1"/>
        <v>10173183.858521082</v>
      </c>
      <c r="L11" s="27">
        <f t="shared" si="1"/>
        <v>8410461.7026247419</v>
      </c>
      <c r="M11" s="27">
        <f t="shared" si="1"/>
        <v>43452531.222657137</v>
      </c>
    </row>
    <row r="12" spans="2:14" ht="15" thickTop="1" x14ac:dyDescent="0.35"/>
    <row r="13" spans="2:14" x14ac:dyDescent="0.35">
      <c r="B13" s="5" t="s">
        <v>132</v>
      </c>
      <c r="C13" s="35">
        <f>SUM(C11:M11)</f>
        <v>117277942.54452163</v>
      </c>
    </row>
    <row r="15" spans="2:14" x14ac:dyDescent="0.35">
      <c r="B15" s="5" t="s">
        <v>133</v>
      </c>
      <c r="C15" s="52">
        <f>IRR(C11:M11)</f>
        <v>0.25589395981553453</v>
      </c>
    </row>
    <row r="17" spans="2:4" x14ac:dyDescent="0.35">
      <c r="B17" s="54"/>
      <c r="C17" s="55" t="s">
        <v>134</v>
      </c>
      <c r="D17" s="55"/>
    </row>
    <row r="18" spans="2:4" x14ac:dyDescent="0.35">
      <c r="D18" s="47">
        <f>C15</f>
        <v>0.25589395981553453</v>
      </c>
    </row>
    <row r="19" spans="2:4" x14ac:dyDescent="0.35">
      <c r="C19" s="2">
        <v>70000000</v>
      </c>
      <c r="D19" s="53">
        <f t="dataTable" ref="D19:D23" dt2D="0" dtr="0" r1="N6"/>
        <v>0.25589395981553453</v>
      </c>
    </row>
    <row r="20" spans="2:4" x14ac:dyDescent="0.35">
      <c r="C20" s="2">
        <v>80000000</v>
      </c>
      <c r="D20" s="53">
        <v>0.2588185296945591</v>
      </c>
    </row>
    <row r="21" spans="2:4" x14ac:dyDescent="0.35">
      <c r="C21" s="2">
        <v>85000000</v>
      </c>
      <c r="D21" s="53">
        <v>0.26024789142065119</v>
      </c>
    </row>
    <row r="22" spans="2:4" x14ac:dyDescent="0.35">
      <c r="C22" s="2">
        <v>95000000</v>
      </c>
      <c r="D22" s="53">
        <v>0.26304438112534934</v>
      </c>
    </row>
    <row r="23" spans="2:4" x14ac:dyDescent="0.35">
      <c r="C23" s="2">
        <v>105000000</v>
      </c>
      <c r="D23" s="53">
        <v>0.26576228705530203</v>
      </c>
    </row>
  </sheetData>
  <mergeCells count="1">
    <mergeCell ref="C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Drivers</vt:lpstr>
      <vt:lpstr>Savings Forecast</vt:lpstr>
      <vt:lpstr>Fixed Asset Rollover</vt:lpstr>
      <vt:lpstr>Working Capital</vt:lpstr>
      <vt:lpstr>Debt Financing</vt:lpstr>
      <vt:lpstr>P&amp;L</vt:lpstr>
      <vt:lpstr>Cash Flow</vt:lpstr>
      <vt:lpstr>WACC</vt:lpstr>
      <vt:lpstr>DCF</vt:lpstr>
    </vt:vector>
  </TitlesOfParts>
  <Company>Morningstar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Ameya Panchpor</dc:creator>
  <cp:lastModifiedBy>Ameya Panchpor</cp:lastModifiedBy>
  <dcterms:created xsi:type="dcterms:W3CDTF">2024-09-15T05:26:07Z</dcterms:created>
  <dcterms:modified xsi:type="dcterms:W3CDTF">2024-09-15T14:16:47Z</dcterms:modified>
</cp:coreProperties>
</file>