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meya_panchpor_morningstar_com/Documents/Desktop/PERSONAL/Courses/PROJECTS/FINANCIAL MODELING/"/>
    </mc:Choice>
  </mc:AlternateContent>
  <xr:revisionPtr revIDLastSave="3312" documentId="8_{DB9D8DB3-FD39-46F3-AA4B-23C824540821}" xr6:coauthVersionLast="47" xr6:coauthVersionMax="47" xr10:uidLastSave="{C2CD8F30-FCB1-4C4E-B836-5D6EB9597435}"/>
  <bookViews>
    <workbookView xWindow="-110" yWindow="-110" windowWidth="19420" windowHeight="10300" activeTab="1" xr2:uid="{4DC553FE-1803-4BE2-87C4-016DF304F6E9}"/>
  </bookViews>
  <sheets>
    <sheet name="Drivers" sheetId="7" r:id="rId1"/>
    <sheet name="Income Statement" sheetId="1" r:id="rId2"/>
    <sheet name="Revenues By Segment" sheetId="15" r:id="rId3"/>
    <sheet name="Gross Profit Margin" sheetId="16" r:id="rId4"/>
    <sheet name="Balance Sheet" sheetId="2" r:id="rId5"/>
    <sheet name="Cash Flow" sheetId="6" r:id="rId6"/>
    <sheet name="Working Capital" sheetId="3" r:id="rId7"/>
    <sheet name="Fixed Asset Rollover" sheetId="4" r:id="rId8"/>
    <sheet name="WACC" sheetId="8" r:id="rId9"/>
    <sheet name="DCF" sheetId="9" r:id="rId10"/>
    <sheet name="Football Field Analysis" sheetId="14" r:id="rId11"/>
    <sheet name="Ratio Analysis" sheetId="10" r:id="rId12"/>
    <sheet name="Charts" sheetId="17" r:id="rId13"/>
    <sheet name="DuPont Analysis" sheetId="12" r:id="rId14"/>
    <sheet name="Relative Valuation" sheetId="13" r:id="rId15"/>
    <sheet name="PB_CACHE_JS" sheetId="11" state="veryHidden" r:id="rId16"/>
  </sheet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7" l="1"/>
  <c r="I6" i="1"/>
  <c r="J6" i="1"/>
  <c r="K6" i="1"/>
  <c r="L6" i="1"/>
  <c r="H6" i="1"/>
  <c r="I7" i="16"/>
  <c r="J7" i="16"/>
  <c r="K7" i="16"/>
  <c r="L7" i="16"/>
  <c r="H7" i="16"/>
  <c r="I9" i="16"/>
  <c r="J9" i="16"/>
  <c r="K9" i="16"/>
  <c r="L9" i="16"/>
  <c r="H9" i="16"/>
  <c r="E11" i="16"/>
  <c r="F11" i="16"/>
  <c r="G11" i="16"/>
  <c r="D11" i="16"/>
  <c r="E9" i="16"/>
  <c r="F9" i="16"/>
  <c r="G9" i="16"/>
  <c r="D9" i="16"/>
  <c r="E7" i="16"/>
  <c r="F7" i="16"/>
  <c r="G7" i="16"/>
  <c r="D7" i="16"/>
  <c r="E5" i="16"/>
  <c r="F5" i="16"/>
  <c r="G5" i="16"/>
  <c r="H5" i="16"/>
  <c r="I5" i="16"/>
  <c r="J5" i="16"/>
  <c r="K5" i="16"/>
  <c r="L5" i="16"/>
  <c r="D5" i="16"/>
  <c r="E3" i="16"/>
  <c r="F3" i="16" s="1"/>
  <c r="G3" i="16" s="1"/>
  <c r="H3" i="16" s="1"/>
  <c r="I3" i="16" s="1"/>
  <c r="J3" i="16" s="1"/>
  <c r="K3" i="16" s="1"/>
  <c r="L3" i="16" s="1"/>
  <c r="B1" i="16"/>
  <c r="B1" i="15"/>
  <c r="E19" i="15"/>
  <c r="F19" i="15"/>
  <c r="G19" i="15"/>
  <c r="D19" i="15"/>
  <c r="H16" i="15"/>
  <c r="I16" i="15" s="1"/>
  <c r="J16" i="15" s="1"/>
  <c r="K16" i="15" s="1"/>
  <c r="L16" i="15" s="1"/>
  <c r="H13" i="15"/>
  <c r="I13" i="15" s="1"/>
  <c r="J13" i="15" s="1"/>
  <c r="K13" i="15" s="1"/>
  <c r="L13" i="15" s="1"/>
  <c r="H10" i="15"/>
  <c r="I10" i="15" s="1"/>
  <c r="J10" i="15" s="1"/>
  <c r="K10" i="15" s="1"/>
  <c r="L10" i="15" s="1"/>
  <c r="H7" i="15"/>
  <c r="I7" i="15" s="1"/>
  <c r="F17" i="15"/>
  <c r="G17" i="15"/>
  <c r="E17" i="15"/>
  <c r="F14" i="15"/>
  <c r="G14" i="15"/>
  <c r="E14" i="15"/>
  <c r="F8" i="15"/>
  <c r="G8" i="15"/>
  <c r="E8" i="15"/>
  <c r="F11" i="15"/>
  <c r="G11" i="15"/>
  <c r="E11" i="15"/>
  <c r="E3" i="15"/>
  <c r="F3" i="15" s="1"/>
  <c r="G3" i="15" s="1"/>
  <c r="H3" i="15" s="1"/>
  <c r="I3" i="15" s="1"/>
  <c r="J3" i="15" s="1"/>
  <c r="K3" i="15" s="1"/>
  <c r="L3" i="15" s="1"/>
  <c r="M5" i="14"/>
  <c r="O5" i="14"/>
  <c r="P5" i="14"/>
  <c r="N5" i="14"/>
  <c r="O7" i="14"/>
  <c r="O6" i="14"/>
  <c r="M6" i="14"/>
  <c r="N6" i="14"/>
  <c r="M7" i="14"/>
  <c r="P6" i="14"/>
  <c r="P7" i="14"/>
  <c r="N7" i="14"/>
  <c r="O4" i="14"/>
  <c r="M4" i="14"/>
  <c r="P4" i="14"/>
  <c r="N4" i="14"/>
  <c r="B1" i="14"/>
  <c r="J7" i="15" l="1"/>
  <c r="I19" i="15"/>
  <c r="I5" i="1" s="1"/>
  <c r="H19" i="15"/>
  <c r="H5" i="1" s="1"/>
  <c r="E6" i="13"/>
  <c r="R34" i="13"/>
  <c r="S34" i="13"/>
  <c r="Q34" i="13"/>
  <c r="K8" i="13"/>
  <c r="Q8" i="13" s="1"/>
  <c r="K9" i="13"/>
  <c r="Q9" i="13" s="1"/>
  <c r="K10" i="13"/>
  <c r="Q10" i="13" s="1"/>
  <c r="K11" i="13"/>
  <c r="Q11" i="13" s="1"/>
  <c r="K12" i="13"/>
  <c r="Q12" i="13" s="1"/>
  <c r="K13" i="13"/>
  <c r="Q13" i="13" s="1"/>
  <c r="K14" i="13"/>
  <c r="Q14" i="13" s="1"/>
  <c r="K15" i="13"/>
  <c r="Q15" i="13" s="1"/>
  <c r="K16" i="13"/>
  <c r="Q16" i="13" s="1"/>
  <c r="K17" i="13"/>
  <c r="Q17" i="13" s="1"/>
  <c r="K6" i="13"/>
  <c r="R6" i="13" s="1"/>
  <c r="R32" i="13"/>
  <c r="S32" i="13"/>
  <c r="Q32" i="13"/>
  <c r="R31" i="13"/>
  <c r="S31" i="13"/>
  <c r="Q31" i="13"/>
  <c r="S8" i="13"/>
  <c r="S20" i="13" s="1"/>
  <c r="S9" i="13"/>
  <c r="S10" i="13"/>
  <c r="S11" i="13"/>
  <c r="S12" i="13"/>
  <c r="S13" i="13"/>
  <c r="S14" i="13"/>
  <c r="S15" i="13"/>
  <c r="S16" i="13"/>
  <c r="S17" i="13"/>
  <c r="S6" i="13"/>
  <c r="S23" i="13" s="1"/>
  <c r="S33" i="13" s="1"/>
  <c r="R10" i="13"/>
  <c r="Q6" i="13"/>
  <c r="K7" i="15" l="1"/>
  <c r="J19" i="15"/>
  <c r="J5" i="1" s="1"/>
  <c r="S35" i="13"/>
  <c r="S36" i="13" s="1"/>
  <c r="S30" i="13"/>
  <c r="R9" i="13"/>
  <c r="R8" i="13"/>
  <c r="R22" i="13" s="1"/>
  <c r="S25" i="13"/>
  <c r="R17" i="13"/>
  <c r="S21" i="13"/>
  <c r="R16" i="13"/>
  <c r="R21" i="13" s="1"/>
  <c r="S24" i="13"/>
  <c r="R15" i="13"/>
  <c r="S22" i="13"/>
  <c r="R14" i="13"/>
  <c r="R13" i="13"/>
  <c r="R12" i="13"/>
  <c r="R11" i="13"/>
  <c r="Q23" i="13"/>
  <c r="Q30" i="13" s="1"/>
  <c r="Q33" i="13" s="1"/>
  <c r="Q35" i="13" s="1"/>
  <c r="Q36" i="13" s="1"/>
  <c r="Q21" i="13"/>
  <c r="Q24" i="13"/>
  <c r="Q22" i="13"/>
  <c r="R24" i="13"/>
  <c r="Q20" i="13"/>
  <c r="Q25" i="13"/>
  <c r="L7" i="15" l="1"/>
  <c r="L19" i="15" s="1"/>
  <c r="L5" i="1" s="1"/>
  <c r="K19" i="15"/>
  <c r="K5" i="1" s="1"/>
  <c r="R23" i="13"/>
  <c r="R30" i="13" s="1"/>
  <c r="R33" i="13" s="1"/>
  <c r="R35" i="13" s="1"/>
  <c r="R36" i="13" s="1"/>
  <c r="R25" i="13"/>
  <c r="R20" i="13"/>
  <c r="D24" i="9" l="1"/>
  <c r="B1" i="13"/>
  <c r="D33" i="12"/>
  <c r="D36" i="12" s="1"/>
  <c r="E16" i="12"/>
  <c r="E19" i="12" s="1"/>
  <c r="F16" i="12"/>
  <c r="F19" i="12" s="1"/>
  <c r="G16" i="12"/>
  <c r="G19" i="12" s="1"/>
  <c r="D16" i="12"/>
  <c r="D19" i="12" s="1"/>
  <c r="E11" i="12"/>
  <c r="E27" i="12" s="1"/>
  <c r="F11" i="12"/>
  <c r="F27" i="12" s="1"/>
  <c r="G11" i="12"/>
  <c r="G27" i="12" s="1"/>
  <c r="E12" i="12"/>
  <c r="E13" i="12" s="1"/>
  <c r="F12" i="12"/>
  <c r="F13" i="12" s="1"/>
  <c r="G12" i="12"/>
  <c r="G33" i="12" s="1"/>
  <c r="G36" i="12" s="1"/>
  <c r="D12" i="12"/>
  <c r="D15" i="12" s="1"/>
  <c r="D11" i="12"/>
  <c r="E6" i="12"/>
  <c r="E8" i="12" s="1"/>
  <c r="F6" i="12"/>
  <c r="G6" i="12"/>
  <c r="E7" i="12"/>
  <c r="F7" i="12"/>
  <c r="F20" i="12" s="1"/>
  <c r="G7" i="12"/>
  <c r="D7" i="12"/>
  <c r="D20" i="12" s="1"/>
  <c r="D6" i="12"/>
  <c r="E3" i="12"/>
  <c r="F3" i="12" s="1"/>
  <c r="G3" i="12" s="1"/>
  <c r="H3" i="12" s="1"/>
  <c r="I3" i="12" s="1"/>
  <c r="J3" i="12" s="1"/>
  <c r="K3" i="12" s="1"/>
  <c r="L3" i="12" s="1"/>
  <c r="B1" i="12"/>
  <c r="F80" i="10"/>
  <c r="G80" i="10"/>
  <c r="E80" i="10"/>
  <c r="E79" i="10"/>
  <c r="F79" i="10"/>
  <c r="G79" i="10"/>
  <c r="D79" i="10"/>
  <c r="E78" i="10"/>
  <c r="F78" i="10"/>
  <c r="G78" i="10"/>
  <c r="D78" i="10"/>
  <c r="F76" i="10"/>
  <c r="G76" i="10"/>
  <c r="E76" i="10"/>
  <c r="E74" i="10"/>
  <c r="F74" i="10"/>
  <c r="G74" i="10"/>
  <c r="E75" i="10"/>
  <c r="F75" i="10"/>
  <c r="G75" i="10"/>
  <c r="D75" i="10"/>
  <c r="D74" i="10"/>
  <c r="E72" i="10"/>
  <c r="F72" i="10"/>
  <c r="G72" i="10"/>
  <c r="D72" i="10"/>
  <c r="E71" i="10"/>
  <c r="F71" i="10"/>
  <c r="G71" i="10"/>
  <c r="D71" i="10"/>
  <c r="E70" i="10"/>
  <c r="F70" i="10"/>
  <c r="G70" i="10"/>
  <c r="D70" i="10"/>
  <c r="E68" i="10"/>
  <c r="F68" i="10"/>
  <c r="G68" i="10"/>
  <c r="D68" i="10"/>
  <c r="E66" i="10"/>
  <c r="F66" i="10"/>
  <c r="G66" i="10"/>
  <c r="D66" i="10"/>
  <c r="E67" i="10"/>
  <c r="F67" i="10"/>
  <c r="G67" i="10"/>
  <c r="D67" i="10"/>
  <c r="E64" i="10"/>
  <c r="F64" i="10"/>
  <c r="G64" i="10"/>
  <c r="D64" i="10"/>
  <c r="E62" i="10"/>
  <c r="F62" i="10"/>
  <c r="G62" i="10"/>
  <c r="D62" i="10"/>
  <c r="E63" i="10"/>
  <c r="F63" i="10"/>
  <c r="G63" i="10"/>
  <c r="D63" i="10"/>
  <c r="E60" i="10"/>
  <c r="F60" i="10"/>
  <c r="G60" i="10"/>
  <c r="D60" i="10"/>
  <c r="E59" i="10"/>
  <c r="F59" i="10"/>
  <c r="G59" i="10"/>
  <c r="H59" i="10"/>
  <c r="H63" i="10" s="1"/>
  <c r="H67" i="10" s="1"/>
  <c r="H71" i="10" s="1"/>
  <c r="H12" i="12" s="1"/>
  <c r="D59" i="10"/>
  <c r="E58" i="10"/>
  <c r="F58" i="10"/>
  <c r="G58" i="10"/>
  <c r="D58" i="10"/>
  <c r="E54" i="10"/>
  <c r="F54" i="10"/>
  <c r="G54" i="10"/>
  <c r="D54" i="10"/>
  <c r="E53" i="10"/>
  <c r="F53" i="10"/>
  <c r="G53" i="10"/>
  <c r="D53" i="10"/>
  <c r="E52" i="10"/>
  <c r="F52" i="10"/>
  <c r="G52" i="10"/>
  <c r="D52" i="10"/>
  <c r="F50" i="10"/>
  <c r="G50" i="10"/>
  <c r="E50" i="10"/>
  <c r="E44" i="10"/>
  <c r="E43" i="10"/>
  <c r="F43" i="10"/>
  <c r="G43" i="10"/>
  <c r="D43" i="10"/>
  <c r="E42" i="10"/>
  <c r="F42" i="10"/>
  <c r="F44" i="10" s="1"/>
  <c r="G42" i="10"/>
  <c r="G44" i="10" s="1"/>
  <c r="D42" i="10"/>
  <c r="E39" i="10"/>
  <c r="F40" i="10" s="1"/>
  <c r="F39" i="10"/>
  <c r="G40" i="10" s="1"/>
  <c r="E38" i="10"/>
  <c r="E40" i="10" s="1"/>
  <c r="F38" i="10"/>
  <c r="G38" i="10"/>
  <c r="H38" i="10"/>
  <c r="D38" i="10"/>
  <c r="E49" i="10"/>
  <c r="F49" i="10"/>
  <c r="G49" i="10"/>
  <c r="D49" i="10"/>
  <c r="D32" i="10"/>
  <c r="E29" i="10"/>
  <c r="E33" i="10" s="1"/>
  <c r="F29" i="10"/>
  <c r="F33" i="10" s="1"/>
  <c r="G29" i="10"/>
  <c r="G39" i="10" s="1"/>
  <c r="D29" i="10"/>
  <c r="D39" i="10" s="1"/>
  <c r="E25" i="10"/>
  <c r="E32" i="10" s="1"/>
  <c r="F25" i="10"/>
  <c r="F32" i="10" s="1"/>
  <c r="G25" i="10"/>
  <c r="G32" i="10" s="1"/>
  <c r="D25" i="10"/>
  <c r="E24" i="10"/>
  <c r="E28" i="10" s="1"/>
  <c r="F24" i="10"/>
  <c r="F28" i="10" s="1"/>
  <c r="G24" i="10"/>
  <c r="G28" i="10" s="1"/>
  <c r="D24" i="10"/>
  <c r="D26" i="10" s="1"/>
  <c r="E17" i="10"/>
  <c r="E20" i="10" s="1"/>
  <c r="F17" i="10"/>
  <c r="G17" i="10"/>
  <c r="H17" i="10"/>
  <c r="I17" i="10"/>
  <c r="J17" i="10"/>
  <c r="K17" i="10"/>
  <c r="L17" i="10"/>
  <c r="E18" i="10"/>
  <c r="F18" i="10"/>
  <c r="G18" i="10"/>
  <c r="H18" i="10"/>
  <c r="H20" i="10" s="1"/>
  <c r="I18" i="10"/>
  <c r="I20" i="10" s="1"/>
  <c r="J18" i="10"/>
  <c r="K18" i="10"/>
  <c r="L18" i="10"/>
  <c r="E19" i="10"/>
  <c r="F19" i="10"/>
  <c r="G19" i="10"/>
  <c r="H19" i="10"/>
  <c r="I19" i="10"/>
  <c r="J19" i="10"/>
  <c r="K19" i="10"/>
  <c r="L19" i="10"/>
  <c r="L20" i="10" s="1"/>
  <c r="D18" i="10"/>
  <c r="D19" i="10"/>
  <c r="D17" i="10"/>
  <c r="H13" i="10"/>
  <c r="E12" i="10"/>
  <c r="F12" i="10"/>
  <c r="G12" i="10"/>
  <c r="D12" i="10"/>
  <c r="D11" i="10"/>
  <c r="D9" i="10"/>
  <c r="E8" i="10"/>
  <c r="E14" i="10" s="1"/>
  <c r="F8" i="10"/>
  <c r="F14" i="10" s="1"/>
  <c r="G8" i="10"/>
  <c r="G14" i="10" s="1"/>
  <c r="D8" i="10"/>
  <c r="D14" i="10" s="1"/>
  <c r="E7" i="10"/>
  <c r="E11" i="10" s="1"/>
  <c r="F7" i="10"/>
  <c r="F11" i="10" s="1"/>
  <c r="G7" i="10"/>
  <c r="D7" i="10"/>
  <c r="E3" i="10"/>
  <c r="F3" i="10" s="1"/>
  <c r="G3" i="10" s="1"/>
  <c r="H3" i="10" s="1"/>
  <c r="I3" i="10" s="1"/>
  <c r="J3" i="10" s="1"/>
  <c r="K3" i="10" s="1"/>
  <c r="L3" i="10" s="1"/>
  <c r="B1" i="10"/>
  <c r="D21" i="9"/>
  <c r="D19" i="9"/>
  <c r="D18" i="9"/>
  <c r="G32" i="12" l="1"/>
  <c r="G34" i="12" s="1"/>
  <c r="F32" i="12"/>
  <c r="E32" i="12"/>
  <c r="F28" i="12"/>
  <c r="F37" i="12" s="1"/>
  <c r="G38" i="12" s="1"/>
  <c r="E28" i="12"/>
  <c r="E37" i="12" s="1"/>
  <c r="F33" i="12"/>
  <c r="F36" i="12" s="1"/>
  <c r="F38" i="12" s="1"/>
  <c r="E33" i="12"/>
  <c r="E36" i="12" s="1"/>
  <c r="E38" i="12" s="1"/>
  <c r="D13" i="12"/>
  <c r="D27" i="12"/>
  <c r="D32" i="12" s="1"/>
  <c r="D34" i="12" s="1"/>
  <c r="D28" i="12"/>
  <c r="D37" i="12" s="1"/>
  <c r="G13" i="12"/>
  <c r="G28" i="12"/>
  <c r="G37" i="12" s="1"/>
  <c r="H15" i="12"/>
  <c r="H33" i="12"/>
  <c r="H36" i="12" s="1"/>
  <c r="G20" i="12"/>
  <c r="G21" i="12"/>
  <c r="F8" i="12"/>
  <c r="G8" i="12"/>
  <c r="F21" i="12"/>
  <c r="G15" i="12"/>
  <c r="G17" i="12" s="1"/>
  <c r="G23" i="12" s="1"/>
  <c r="E20" i="12"/>
  <c r="E21" i="12" s="1"/>
  <c r="F15" i="12"/>
  <c r="F17" i="12" s="1"/>
  <c r="E15" i="12"/>
  <c r="E17" i="12" s="1"/>
  <c r="F9" i="10"/>
  <c r="F34" i="10"/>
  <c r="E9" i="10"/>
  <c r="E34" i="10"/>
  <c r="D15" i="10"/>
  <c r="G26" i="10"/>
  <c r="F26" i="10"/>
  <c r="E26" i="10"/>
  <c r="K20" i="10"/>
  <c r="G20" i="10"/>
  <c r="G9" i="10"/>
  <c r="G33" i="10"/>
  <c r="G34" i="10" s="1"/>
  <c r="D20" i="10"/>
  <c r="J20" i="10"/>
  <c r="F20" i="10"/>
  <c r="F15" i="10"/>
  <c r="F48" i="10"/>
  <c r="F30" i="10"/>
  <c r="E15" i="10"/>
  <c r="G48" i="10"/>
  <c r="G30" i="10"/>
  <c r="E48" i="10"/>
  <c r="E30" i="10"/>
  <c r="D28" i="10"/>
  <c r="G11" i="10"/>
  <c r="G15" i="10" s="1"/>
  <c r="D33" i="10"/>
  <c r="D34" i="10" s="1"/>
  <c r="I13" i="10"/>
  <c r="F29" i="12" l="1"/>
  <c r="F34" i="12"/>
  <c r="F40" i="12" s="1"/>
  <c r="G29" i="12"/>
  <c r="E29" i="12"/>
  <c r="E34" i="12"/>
  <c r="E40" i="12" s="1"/>
  <c r="E23" i="12"/>
  <c r="G40" i="12"/>
  <c r="F23" i="12"/>
  <c r="J13" i="10"/>
  <c r="D48" i="10"/>
  <c r="D30" i="10"/>
  <c r="K13" i="10" l="1"/>
  <c r="L13" i="10" l="1"/>
  <c r="E6" i="9" l="1"/>
  <c r="F6" i="9" s="1"/>
  <c r="G6" i="9" s="1"/>
  <c r="H6" i="9" s="1"/>
  <c r="B1" i="9" l="1"/>
  <c r="M17" i="8"/>
  <c r="M15" i="8"/>
  <c r="M14" i="8"/>
  <c r="D35" i="8"/>
  <c r="D34" i="8"/>
  <c r="D33" i="8"/>
  <c r="M13" i="8"/>
  <c r="M16" i="8" s="1"/>
  <c r="M18" i="8" s="1"/>
  <c r="Q6" i="8" s="1"/>
  <c r="M8" i="8"/>
  <c r="M6" i="8"/>
  <c r="H26" i="8"/>
  <c r="D21" i="8"/>
  <c r="D20" i="8"/>
  <c r="G16" i="8" l="1"/>
  <c r="G17" i="8"/>
  <c r="G18" i="8"/>
  <c r="G19" i="8"/>
  <c r="H15" i="8"/>
  <c r="H16" i="8"/>
  <c r="H17" i="8"/>
  <c r="H18" i="8"/>
  <c r="H19" i="8"/>
  <c r="H14" i="8"/>
  <c r="G15" i="8"/>
  <c r="C7" i="8"/>
  <c r="F14" i="8" s="1"/>
  <c r="C6" i="8"/>
  <c r="C8" i="8" l="1"/>
  <c r="G8" i="8" s="1"/>
  <c r="I17" i="8"/>
  <c r="I18" i="8"/>
  <c r="E14" i="8"/>
  <c r="G14" i="8" s="1"/>
  <c r="I15" i="8"/>
  <c r="I19" i="8"/>
  <c r="I16" i="8"/>
  <c r="G6" i="8" l="1"/>
  <c r="Q7" i="8" s="1"/>
  <c r="G7" i="8"/>
  <c r="Q9" i="8" s="1"/>
  <c r="G21" i="8"/>
  <c r="G20" i="8"/>
  <c r="G26" i="8" s="1"/>
  <c r="I14" i="8"/>
  <c r="I21" i="8" l="1"/>
  <c r="I20" i="8"/>
  <c r="F26" i="8" s="1"/>
  <c r="I26" i="8" s="1"/>
  <c r="M7" i="8" s="1"/>
  <c r="M9" i="8" s="1"/>
  <c r="Q8" i="8" s="1"/>
  <c r="Q10" i="8" s="1"/>
  <c r="D4" i="9" l="1"/>
  <c r="B1" i="8"/>
  <c r="B1" i="4"/>
  <c r="B1" i="3"/>
  <c r="B1" i="6"/>
  <c r="B1" i="2"/>
  <c r="B1" i="1"/>
  <c r="F11" i="9" l="1"/>
  <c r="G11" i="9"/>
  <c r="E11" i="9"/>
  <c r="H11" i="9"/>
  <c r="D11" i="9"/>
  <c r="F32" i="1"/>
  <c r="G32" i="1"/>
  <c r="E36" i="1"/>
  <c r="F36" i="1"/>
  <c r="G36" i="1"/>
  <c r="D36" i="1"/>
  <c r="E32" i="1"/>
  <c r="D32" i="1"/>
  <c r="D26" i="6"/>
  <c r="E3" i="6" l="1"/>
  <c r="F3" i="6" s="1"/>
  <c r="G3" i="6" s="1"/>
  <c r="H3" i="6" s="1"/>
  <c r="E43" i="1"/>
  <c r="F43" i="1"/>
  <c r="G43" i="1"/>
  <c r="D43" i="1"/>
  <c r="E58" i="2"/>
  <c r="F58" i="2"/>
  <c r="G58" i="2"/>
  <c r="D58" i="2"/>
  <c r="E57" i="2"/>
  <c r="F57" i="2"/>
  <c r="G57" i="2"/>
  <c r="D57" i="2"/>
  <c r="E56" i="2"/>
  <c r="F56" i="2"/>
  <c r="G56" i="2"/>
  <c r="D56" i="2"/>
  <c r="E53" i="2"/>
  <c r="F53" i="2"/>
  <c r="G53" i="2"/>
  <c r="D53" i="2"/>
  <c r="E52" i="2"/>
  <c r="F52" i="2"/>
  <c r="G52" i="2"/>
  <c r="D52" i="2"/>
  <c r="E51" i="2"/>
  <c r="F51" i="2"/>
  <c r="G51" i="2"/>
  <c r="D51" i="2"/>
  <c r="E48" i="2"/>
  <c r="F48" i="2"/>
  <c r="G48" i="2"/>
  <c r="D48" i="2"/>
  <c r="E47" i="2"/>
  <c r="F47" i="2"/>
  <c r="G47" i="2"/>
  <c r="D47" i="2"/>
  <c r="E44" i="2"/>
  <c r="F44" i="2"/>
  <c r="G44" i="2"/>
  <c r="D44" i="2"/>
  <c r="E43" i="2"/>
  <c r="F43" i="2"/>
  <c r="G43" i="2"/>
  <c r="D43" i="2"/>
  <c r="E42" i="2"/>
  <c r="F42" i="2"/>
  <c r="G42" i="2"/>
  <c r="D42" i="2"/>
  <c r="F14" i="4"/>
  <c r="G14" i="4"/>
  <c r="E14" i="4"/>
  <c r="D14" i="4"/>
  <c r="H14" i="4"/>
  <c r="I14" i="4" s="1"/>
  <c r="J14" i="4" s="1"/>
  <c r="K14" i="4" s="1"/>
  <c r="L14" i="4" s="1"/>
  <c r="I15" i="4"/>
  <c r="J15" i="4"/>
  <c r="K15" i="4"/>
  <c r="D9" i="4"/>
  <c r="E5" i="4"/>
  <c r="E9" i="4" s="1"/>
  <c r="F5" i="4"/>
  <c r="F9" i="4" s="1"/>
  <c r="G5" i="4"/>
  <c r="G9" i="4" s="1"/>
  <c r="D5" i="4"/>
  <c r="H4" i="4"/>
  <c r="L15" i="4" s="1"/>
  <c r="F4" i="4"/>
  <c r="G4" i="4"/>
  <c r="E7" i="4"/>
  <c r="F7" i="4"/>
  <c r="G7" i="4"/>
  <c r="E4" i="4"/>
  <c r="D7" i="4"/>
  <c r="E3" i="4"/>
  <c r="F3" i="4" s="1"/>
  <c r="G3" i="4" s="1"/>
  <c r="H3" i="4" s="1"/>
  <c r="I3" i="4" s="1"/>
  <c r="J3" i="4" s="1"/>
  <c r="K3" i="4" s="1"/>
  <c r="L3" i="4" s="1"/>
  <c r="H7" i="2"/>
  <c r="I7" i="2" s="1"/>
  <c r="J7" i="2" s="1"/>
  <c r="K7" i="2" s="1"/>
  <c r="L7" i="2" s="1"/>
  <c r="I23" i="2"/>
  <c r="J23" i="2" s="1"/>
  <c r="K23" i="2" s="1"/>
  <c r="L23" i="2" s="1"/>
  <c r="H23" i="2"/>
  <c r="I21" i="2"/>
  <c r="J21" i="2" s="1"/>
  <c r="K21" i="2" s="1"/>
  <c r="L21" i="2" s="1"/>
  <c r="H21" i="2"/>
  <c r="E39" i="2"/>
  <c r="F39" i="2"/>
  <c r="G39" i="2"/>
  <c r="D39" i="2"/>
  <c r="E35" i="2"/>
  <c r="F35" i="2"/>
  <c r="G35" i="2"/>
  <c r="D35" i="2"/>
  <c r="E29" i="2"/>
  <c r="F29" i="2"/>
  <c r="G29" i="2"/>
  <c r="D29" i="2"/>
  <c r="E24" i="2"/>
  <c r="F24" i="2"/>
  <c r="G24" i="2"/>
  <c r="D24" i="2"/>
  <c r="E17" i="2"/>
  <c r="F17" i="2"/>
  <c r="G17" i="2"/>
  <c r="D17" i="2"/>
  <c r="E10" i="2"/>
  <c r="E19" i="2" s="1"/>
  <c r="F10" i="2"/>
  <c r="F19" i="2" s="1"/>
  <c r="G10" i="2"/>
  <c r="G19" i="2" s="1"/>
  <c r="D10" i="2"/>
  <c r="H16" i="3"/>
  <c r="I16" i="3"/>
  <c r="J16" i="3"/>
  <c r="K16" i="3"/>
  <c r="L16" i="3"/>
  <c r="H15" i="4" l="1"/>
  <c r="D19" i="2"/>
  <c r="D37" i="2"/>
  <c r="E37" i="2"/>
  <c r="G37" i="2"/>
  <c r="F37" i="2"/>
  <c r="E7" i="3" l="1"/>
  <c r="E14" i="3" s="1"/>
  <c r="F7" i="3"/>
  <c r="F14" i="3" s="1"/>
  <c r="G7" i="3"/>
  <c r="G14" i="3" s="1"/>
  <c r="D7" i="3"/>
  <c r="D14" i="3" s="1"/>
  <c r="E6" i="3"/>
  <c r="E13" i="3" s="1"/>
  <c r="F6" i="3"/>
  <c r="F13" i="3" s="1"/>
  <c r="G6" i="3"/>
  <c r="G13" i="3" s="1"/>
  <c r="D6" i="3"/>
  <c r="D13" i="3" s="1"/>
  <c r="D5" i="3"/>
  <c r="E5" i="3"/>
  <c r="F5" i="3"/>
  <c r="G5" i="3"/>
  <c r="E3" i="3"/>
  <c r="F3" i="3" s="1"/>
  <c r="G3" i="3" s="1"/>
  <c r="H3" i="3" s="1"/>
  <c r="I3" i="3" s="1"/>
  <c r="J3" i="3" s="1"/>
  <c r="K3" i="3" s="1"/>
  <c r="L3" i="3" s="1"/>
  <c r="E42" i="1"/>
  <c r="F42" i="1"/>
  <c r="G42" i="1"/>
  <c r="D42" i="1"/>
  <c r="E41" i="1"/>
  <c r="F41" i="1"/>
  <c r="G41" i="1"/>
  <c r="D41" i="1"/>
  <c r="E40" i="1"/>
  <c r="F40" i="1"/>
  <c r="G40" i="1"/>
  <c r="D40" i="1"/>
  <c r="H12" i="1"/>
  <c r="E8" i="1"/>
  <c r="F8" i="1"/>
  <c r="G8" i="1"/>
  <c r="D8" i="1"/>
  <c r="E3" i="2"/>
  <c r="F3" i="2" s="1"/>
  <c r="G3" i="2" s="1"/>
  <c r="H3" i="2" s="1"/>
  <c r="I3" i="2" s="1"/>
  <c r="J3" i="2" s="1"/>
  <c r="K3" i="2" s="1"/>
  <c r="L3" i="2" s="1"/>
  <c r="H10" i="1" l="1"/>
  <c r="H28" i="2"/>
  <c r="H26" i="2"/>
  <c r="H15" i="2"/>
  <c r="H5" i="3"/>
  <c r="H33" i="2"/>
  <c r="H6" i="2"/>
  <c r="H31" i="2"/>
  <c r="H5" i="4"/>
  <c r="H16" i="2"/>
  <c r="H20" i="1"/>
  <c r="H34" i="2"/>
  <c r="H8" i="2"/>
  <c r="H27" i="2"/>
  <c r="H9" i="2"/>
  <c r="H11" i="1"/>
  <c r="H42" i="10"/>
  <c r="F9" i="3"/>
  <c r="F12" i="3"/>
  <c r="F16" i="3" s="1"/>
  <c r="E12" i="3"/>
  <c r="E16" i="3" s="1"/>
  <c r="E9" i="3"/>
  <c r="D9" i="3"/>
  <c r="D12" i="3"/>
  <c r="D16" i="3" s="1"/>
  <c r="G12" i="3"/>
  <c r="G16" i="3" s="1"/>
  <c r="G9" i="3"/>
  <c r="D14" i="1"/>
  <c r="D18" i="1" s="1"/>
  <c r="D24" i="1" s="1"/>
  <c r="D28" i="1" s="1"/>
  <c r="G14" i="1"/>
  <c r="G18" i="1" s="1"/>
  <c r="F14" i="1"/>
  <c r="F18" i="1" s="1"/>
  <c r="F24" i="1" s="1"/>
  <c r="F28" i="1" s="1"/>
  <c r="E14" i="1"/>
  <c r="E18" i="1" s="1"/>
  <c r="E24" i="1" s="1"/>
  <c r="E28" i="1" s="1"/>
  <c r="H24" i="10" l="1"/>
  <c r="H28" i="10"/>
  <c r="D18" i="6"/>
  <c r="H53" i="10"/>
  <c r="I38" i="10"/>
  <c r="I59" i="10"/>
  <c r="I63" i="10" s="1"/>
  <c r="I67" i="10" s="1"/>
  <c r="I71" i="10" s="1"/>
  <c r="I12" i="12" s="1"/>
  <c r="D14" i="6"/>
  <c r="D13" i="6"/>
  <c r="I31" i="2"/>
  <c r="I20" i="1"/>
  <c r="I27" i="2"/>
  <c r="I33" i="2"/>
  <c r="I15" i="2"/>
  <c r="I6" i="2"/>
  <c r="I26" i="2"/>
  <c r="I9" i="2"/>
  <c r="I5" i="4"/>
  <c r="I8" i="2"/>
  <c r="I5" i="3"/>
  <c r="I16" i="2"/>
  <c r="I28" i="2"/>
  <c r="I34" i="2"/>
  <c r="I12" i="1"/>
  <c r="I42" i="10"/>
  <c r="I10" i="1"/>
  <c r="I11" i="1"/>
  <c r="D12" i="6"/>
  <c r="J16" i="4"/>
  <c r="K16" i="4"/>
  <c r="H16" i="4"/>
  <c r="H21" i="4" s="1"/>
  <c r="I16" i="4"/>
  <c r="L16" i="4"/>
  <c r="H7" i="3"/>
  <c r="H32" i="2" s="1"/>
  <c r="H35" i="2" s="1"/>
  <c r="H8" i="10" s="1"/>
  <c r="H14" i="10" s="1"/>
  <c r="H6" i="3"/>
  <c r="H13" i="2" s="1"/>
  <c r="H14" i="2"/>
  <c r="H8" i="1"/>
  <c r="G24" i="1"/>
  <c r="G28" i="1" s="1"/>
  <c r="D19" i="6"/>
  <c r="H29" i="2"/>
  <c r="E10" i="3"/>
  <c r="G10" i="3"/>
  <c r="F10" i="3"/>
  <c r="E3" i="1"/>
  <c r="F3" i="1" s="1"/>
  <c r="G3" i="1" s="1"/>
  <c r="H3" i="1" s="1"/>
  <c r="I3" i="1" s="1"/>
  <c r="J3" i="1" s="1"/>
  <c r="K3" i="1" s="1"/>
  <c r="L3" i="1" s="1"/>
  <c r="I8" i="1" l="1"/>
  <c r="I58" i="10" s="1"/>
  <c r="I33" i="12"/>
  <c r="I36" i="12" s="1"/>
  <c r="I15" i="12"/>
  <c r="I24" i="10"/>
  <c r="I60" i="10"/>
  <c r="E18" i="6"/>
  <c r="I53" i="10"/>
  <c r="H14" i="1"/>
  <c r="H58" i="10"/>
  <c r="H60" i="10" s="1"/>
  <c r="H9" i="3"/>
  <c r="H10" i="3" s="1"/>
  <c r="D11" i="6" s="1"/>
  <c r="H48" i="10"/>
  <c r="J59" i="10"/>
  <c r="J63" i="10" s="1"/>
  <c r="J67" i="10" s="1"/>
  <c r="J71" i="10" s="1"/>
  <c r="J12" i="12" s="1"/>
  <c r="J38" i="10"/>
  <c r="H12" i="10"/>
  <c r="H43" i="10"/>
  <c r="H44" i="10" s="1"/>
  <c r="E13" i="6"/>
  <c r="I14" i="1"/>
  <c r="E14" i="6"/>
  <c r="E12" i="6"/>
  <c r="J17" i="4"/>
  <c r="L17" i="4"/>
  <c r="K17" i="4"/>
  <c r="I17" i="4"/>
  <c r="I21" i="4" s="1"/>
  <c r="I6" i="3"/>
  <c r="I13" i="2" s="1"/>
  <c r="I7" i="3"/>
  <c r="I32" i="2" s="1"/>
  <c r="I35" i="2" s="1"/>
  <c r="I8" i="10" s="1"/>
  <c r="I14" i="10" s="1"/>
  <c r="E19" i="6"/>
  <c r="I29" i="2"/>
  <c r="J20" i="1"/>
  <c r="J15" i="2"/>
  <c r="J31" i="2"/>
  <c r="J34" i="2"/>
  <c r="J8" i="2"/>
  <c r="J28" i="2"/>
  <c r="J5" i="4"/>
  <c r="J27" i="2"/>
  <c r="J5" i="3"/>
  <c r="J16" i="2"/>
  <c r="J33" i="2"/>
  <c r="J6" i="2"/>
  <c r="J26" i="2"/>
  <c r="J9" i="2"/>
  <c r="J12" i="1"/>
  <c r="J10" i="1"/>
  <c r="J11" i="1"/>
  <c r="J42" i="10"/>
  <c r="H6" i="4"/>
  <c r="H7" i="4" s="1"/>
  <c r="H16" i="1"/>
  <c r="D8" i="6" s="1"/>
  <c r="I14" i="2"/>
  <c r="H49" i="10" l="1"/>
  <c r="H50" i="10" s="1"/>
  <c r="H62" i="10"/>
  <c r="H64" i="10" s="1"/>
  <c r="I49" i="10"/>
  <c r="I62" i="10"/>
  <c r="I64" i="10" s="1"/>
  <c r="I28" i="10"/>
  <c r="F18" i="6"/>
  <c r="J53" i="10"/>
  <c r="J24" i="10"/>
  <c r="K59" i="10"/>
  <c r="K63" i="10" s="1"/>
  <c r="K67" i="10" s="1"/>
  <c r="K71" i="10" s="1"/>
  <c r="K12" i="12" s="1"/>
  <c r="K38" i="10"/>
  <c r="I12" i="10"/>
  <c r="I43" i="10"/>
  <c r="I44" i="10" s="1"/>
  <c r="J15" i="12"/>
  <c r="J33" i="12"/>
  <c r="J36" i="12" s="1"/>
  <c r="J8" i="1"/>
  <c r="J58" i="10" s="1"/>
  <c r="J60" i="10" s="1"/>
  <c r="F14" i="6"/>
  <c r="H18" i="1"/>
  <c r="I6" i="4"/>
  <c r="I16" i="1"/>
  <c r="F12" i="6"/>
  <c r="K18" i="4"/>
  <c r="J18" i="4"/>
  <c r="J21" i="4" s="1"/>
  <c r="L18" i="4"/>
  <c r="J6" i="3"/>
  <c r="J13" i="2" s="1"/>
  <c r="J7" i="3"/>
  <c r="J32" i="2" s="1"/>
  <c r="J35" i="2" s="1"/>
  <c r="J8" i="10" s="1"/>
  <c r="J14" i="10" s="1"/>
  <c r="F13" i="6"/>
  <c r="F19" i="6"/>
  <c r="J29" i="2"/>
  <c r="I9" i="3"/>
  <c r="I10" i="3" s="1"/>
  <c r="E11" i="6" s="1"/>
  <c r="K28" i="2"/>
  <c r="K31" i="2"/>
  <c r="K15" i="2"/>
  <c r="K5" i="4"/>
  <c r="K20" i="1"/>
  <c r="K26" i="2"/>
  <c r="K9" i="2"/>
  <c r="K34" i="2"/>
  <c r="K8" i="2"/>
  <c r="K27" i="2"/>
  <c r="K5" i="3"/>
  <c r="K16" i="2"/>
  <c r="K33" i="2"/>
  <c r="K6" i="2"/>
  <c r="K11" i="1"/>
  <c r="K10" i="1"/>
  <c r="K12" i="1"/>
  <c r="I4" i="4"/>
  <c r="H5" i="2"/>
  <c r="H10" i="2" s="1"/>
  <c r="J14" i="2"/>
  <c r="K24" i="10" l="1"/>
  <c r="K28" i="10" s="1"/>
  <c r="L59" i="10"/>
  <c r="L63" i="10" s="1"/>
  <c r="L67" i="10" s="1"/>
  <c r="L71" i="10" s="1"/>
  <c r="L12" i="12" s="1"/>
  <c r="L38" i="10"/>
  <c r="K15" i="12"/>
  <c r="K33" i="12"/>
  <c r="K36" i="12" s="1"/>
  <c r="J28" i="10"/>
  <c r="D5" i="6"/>
  <c r="D6" i="6" s="1"/>
  <c r="D7" i="6" s="1"/>
  <c r="D9" i="6" s="1"/>
  <c r="D16" i="6" s="1"/>
  <c r="D8" i="9" s="1"/>
  <c r="D13" i="9" s="1"/>
  <c r="H52" i="10"/>
  <c r="H54" i="10" s="1"/>
  <c r="H66" i="10"/>
  <c r="H68" i="10" s="1"/>
  <c r="I48" i="10"/>
  <c r="I50" i="10" s="1"/>
  <c r="J12" i="10"/>
  <c r="J43" i="10"/>
  <c r="J44" i="10" s="1"/>
  <c r="J14" i="1"/>
  <c r="K8" i="1"/>
  <c r="K58" i="10" s="1"/>
  <c r="K60" i="10" s="1"/>
  <c r="K42" i="10"/>
  <c r="G18" i="6"/>
  <c r="K53" i="10"/>
  <c r="I7" i="4"/>
  <c r="I5" i="2" s="1"/>
  <c r="I10" i="2" s="1"/>
  <c r="H24" i="1"/>
  <c r="H26" i="1" s="1"/>
  <c r="G13" i="6"/>
  <c r="J6" i="4"/>
  <c r="J16" i="1"/>
  <c r="F8" i="6" s="1"/>
  <c r="K14" i="2"/>
  <c r="G14" i="6"/>
  <c r="G19" i="6"/>
  <c r="K29" i="2"/>
  <c r="K14" i="1"/>
  <c r="L9" i="2"/>
  <c r="L31" i="2"/>
  <c r="L5" i="4"/>
  <c r="L26" i="2"/>
  <c r="L20" i="1"/>
  <c r="L27" i="2"/>
  <c r="L5" i="3"/>
  <c r="L34" i="2"/>
  <c r="L8" i="2"/>
  <c r="L16" i="2"/>
  <c r="L33" i="2"/>
  <c r="L6" i="2"/>
  <c r="L28" i="2"/>
  <c r="L15" i="2"/>
  <c r="L11" i="1"/>
  <c r="L12" i="1"/>
  <c r="L10" i="1"/>
  <c r="E8" i="6"/>
  <c r="I18" i="1"/>
  <c r="G12" i="6"/>
  <c r="K19" i="4"/>
  <c r="K21" i="4" s="1"/>
  <c r="L19" i="4"/>
  <c r="J9" i="3"/>
  <c r="J10" i="3" s="1"/>
  <c r="F11" i="6" s="1"/>
  <c r="K6" i="3"/>
  <c r="K13" i="2" s="1"/>
  <c r="K7" i="3"/>
  <c r="K32" i="2" s="1"/>
  <c r="K35" i="2" s="1"/>
  <c r="K8" i="10" s="1"/>
  <c r="K14" i="10" s="1"/>
  <c r="L24" i="10" l="1"/>
  <c r="J18" i="1"/>
  <c r="F5" i="6" s="1"/>
  <c r="K62" i="10"/>
  <c r="K64" i="10" s="1"/>
  <c r="K49" i="10"/>
  <c r="I52" i="10"/>
  <c r="I54" i="10" s="1"/>
  <c r="I66" i="10"/>
  <c r="I68" i="10" s="1"/>
  <c r="J52" i="10"/>
  <c r="J54" i="10" s="1"/>
  <c r="J66" i="10"/>
  <c r="J68" i="10" s="1"/>
  <c r="K48" i="10"/>
  <c r="H18" i="6"/>
  <c r="L53" i="10"/>
  <c r="J48" i="10"/>
  <c r="L28" i="10"/>
  <c r="J62" i="10"/>
  <c r="J64" i="10" s="1"/>
  <c r="J49" i="10"/>
  <c r="L8" i="1"/>
  <c r="L58" i="10" s="1"/>
  <c r="L60" i="10" s="1"/>
  <c r="L42" i="10"/>
  <c r="K12" i="10"/>
  <c r="K43" i="10"/>
  <c r="K44" i="10" s="1"/>
  <c r="L15" i="12"/>
  <c r="L33" i="12"/>
  <c r="L36" i="12" s="1"/>
  <c r="J4" i="4"/>
  <c r="J7" i="4" s="1"/>
  <c r="K4" i="4" s="1"/>
  <c r="H14" i="6"/>
  <c r="H28" i="1"/>
  <c r="K9" i="3"/>
  <c r="K10" i="3" s="1"/>
  <c r="G11" i="6" s="1"/>
  <c r="K6" i="4"/>
  <c r="K16" i="1"/>
  <c r="G8" i="6" s="1"/>
  <c r="H19" i="6"/>
  <c r="L29" i="2"/>
  <c r="H12" i="6"/>
  <c r="L20" i="4"/>
  <c r="L21" i="4" s="1"/>
  <c r="L6" i="3"/>
  <c r="L13" i="2" s="1"/>
  <c r="L7" i="3"/>
  <c r="L32" i="2" s="1"/>
  <c r="L35" i="2" s="1"/>
  <c r="L8" i="10" s="1"/>
  <c r="L14" i="10" s="1"/>
  <c r="H13" i="6"/>
  <c r="D21" i="6"/>
  <c r="J24" i="1"/>
  <c r="L14" i="2"/>
  <c r="E5" i="6"/>
  <c r="I24" i="1"/>
  <c r="K18" i="1" l="1"/>
  <c r="L9" i="3"/>
  <c r="J50" i="10"/>
  <c r="H22" i="2"/>
  <c r="D20" i="6" s="1"/>
  <c r="D24" i="6" s="1"/>
  <c r="D27" i="6" s="1"/>
  <c r="H12" i="2" s="1"/>
  <c r="H17" i="2" s="1"/>
  <c r="H32" i="1"/>
  <c r="H36" i="1" s="1"/>
  <c r="H70" i="10" s="1"/>
  <c r="L12" i="10"/>
  <c r="L43" i="10"/>
  <c r="L44" i="10" s="1"/>
  <c r="L14" i="1"/>
  <c r="L48" i="10"/>
  <c r="K50" i="10"/>
  <c r="K52" i="10"/>
  <c r="K54" i="10" s="1"/>
  <c r="K66" i="10"/>
  <c r="K68" i="10" s="1"/>
  <c r="J5" i="2"/>
  <c r="J10" i="2" s="1"/>
  <c r="K7" i="4"/>
  <c r="K5" i="2" s="1"/>
  <c r="K10" i="2" s="1"/>
  <c r="L10" i="3"/>
  <c r="H11" i="6" s="1"/>
  <c r="L6" i="4"/>
  <c r="L16" i="1"/>
  <c r="H8" i="6" s="1"/>
  <c r="G5" i="6"/>
  <c r="K24" i="1"/>
  <c r="J26" i="1"/>
  <c r="F6" i="6"/>
  <c r="F7" i="6" s="1"/>
  <c r="F9" i="6" s="1"/>
  <c r="F16" i="6" s="1"/>
  <c r="F8" i="9" s="1"/>
  <c r="F13" i="9" s="1"/>
  <c r="I26" i="1"/>
  <c r="E6" i="6"/>
  <c r="E7" i="6" s="1"/>
  <c r="E9" i="6" s="1"/>
  <c r="E16" i="6" s="1"/>
  <c r="E8" i="9" s="1"/>
  <c r="E13" i="9" s="1"/>
  <c r="H24" i="2" l="1"/>
  <c r="L4" i="4"/>
  <c r="L62" i="10"/>
  <c r="L64" i="10" s="1"/>
  <c r="L49" i="10"/>
  <c r="L50" i="10" s="1"/>
  <c r="H11" i="12"/>
  <c r="H74" i="10"/>
  <c r="H72" i="10"/>
  <c r="H37" i="2"/>
  <c r="H25" i="10"/>
  <c r="H19" i="2"/>
  <c r="H7" i="10"/>
  <c r="E26" i="6"/>
  <c r="L18" i="1"/>
  <c r="L24" i="1" s="1"/>
  <c r="F21" i="6"/>
  <c r="E21" i="6"/>
  <c r="K26" i="1"/>
  <c r="G6" i="6"/>
  <c r="G7" i="6" s="1"/>
  <c r="G9" i="6" s="1"/>
  <c r="G16" i="6" s="1"/>
  <c r="G8" i="9" s="1"/>
  <c r="G13" i="9" s="1"/>
  <c r="J28" i="1"/>
  <c r="J32" i="1" s="1"/>
  <c r="J36" i="1" s="1"/>
  <c r="J70" i="10" s="1"/>
  <c r="I28" i="1"/>
  <c r="L7" i="4"/>
  <c r="L5" i="2" s="1"/>
  <c r="L10" i="2" s="1"/>
  <c r="H5" i="6" l="1"/>
  <c r="H9" i="10"/>
  <c r="H11" i="10"/>
  <c r="H15" i="10" s="1"/>
  <c r="H39" i="2"/>
  <c r="H29" i="10"/>
  <c r="H32" i="10"/>
  <c r="H79" i="10"/>
  <c r="H7" i="12" s="1"/>
  <c r="H20" i="12" s="1"/>
  <c r="H26" i="10"/>
  <c r="H78" i="10"/>
  <c r="L66" i="10"/>
  <c r="L68" i="10" s="1"/>
  <c r="L52" i="10"/>
  <c r="L54" i="10" s="1"/>
  <c r="J74" i="10"/>
  <c r="J11" i="12"/>
  <c r="J72" i="10"/>
  <c r="H27" i="12"/>
  <c r="H13" i="12"/>
  <c r="I22" i="2"/>
  <c r="E20" i="6" s="1"/>
  <c r="E24" i="6" s="1"/>
  <c r="E27" i="6" s="1"/>
  <c r="I32" i="1"/>
  <c r="I36" i="1" s="1"/>
  <c r="I70" i="10" s="1"/>
  <c r="G21" i="6"/>
  <c r="H6" i="6"/>
  <c r="H7" i="6" s="1"/>
  <c r="H9" i="6" s="1"/>
  <c r="H16" i="6" s="1"/>
  <c r="H8" i="9" s="1"/>
  <c r="L26" i="1"/>
  <c r="K28" i="1"/>
  <c r="K32" i="1" s="1"/>
  <c r="K36" i="1" s="1"/>
  <c r="K70" i="10" s="1"/>
  <c r="J22" i="2" l="1"/>
  <c r="I24" i="2"/>
  <c r="I37" i="2"/>
  <c r="I25" i="10"/>
  <c r="H80" i="10"/>
  <c r="H6" i="12"/>
  <c r="H8" i="12" s="1"/>
  <c r="I11" i="12"/>
  <c r="I74" i="10"/>
  <c r="I72" i="10"/>
  <c r="J8" i="9"/>
  <c r="D15" i="9" s="1"/>
  <c r="H13" i="9"/>
  <c r="H33" i="10"/>
  <c r="H34" i="10" s="1"/>
  <c r="H39" i="10"/>
  <c r="H30" i="10"/>
  <c r="J78" i="10"/>
  <c r="H32" i="12"/>
  <c r="H34" i="12" s="1"/>
  <c r="K74" i="10"/>
  <c r="K11" i="12"/>
  <c r="K72" i="10"/>
  <c r="J27" i="12"/>
  <c r="J13" i="12"/>
  <c r="H21" i="6"/>
  <c r="F20" i="6"/>
  <c r="F24" i="6" s="1"/>
  <c r="K22" i="2"/>
  <c r="J24" i="2"/>
  <c r="L28" i="1"/>
  <c r="L32" i="1" s="1"/>
  <c r="L36" i="1" s="1"/>
  <c r="L70" i="10" s="1"/>
  <c r="I12" i="2"/>
  <c r="I17" i="2" s="1"/>
  <c r="F26" i="6"/>
  <c r="D17" i="9" l="1"/>
  <c r="D20" i="9" s="1"/>
  <c r="D23" i="9" s="1"/>
  <c r="N5" i="9" s="1"/>
  <c r="J32" i="12"/>
  <c r="J34" i="12" s="1"/>
  <c r="K27" i="12"/>
  <c r="K13" i="12"/>
  <c r="H75" i="10"/>
  <c r="H40" i="10"/>
  <c r="K78" i="10"/>
  <c r="I78" i="10"/>
  <c r="I27" i="12"/>
  <c r="I13" i="12"/>
  <c r="L72" i="10"/>
  <c r="L11" i="12"/>
  <c r="L74" i="10"/>
  <c r="J37" i="2"/>
  <c r="J25" i="10"/>
  <c r="I19" i="2"/>
  <c r="I7" i="10"/>
  <c r="J6" i="12"/>
  <c r="I32" i="10"/>
  <c r="I79" i="10"/>
  <c r="I7" i="12" s="1"/>
  <c r="I20" i="12" s="1"/>
  <c r="I26" i="10"/>
  <c r="F27" i="6"/>
  <c r="G20" i="6"/>
  <c r="G24" i="6" s="1"/>
  <c r="K24" i="2"/>
  <c r="L22" i="2"/>
  <c r="E26" i="9" l="1"/>
  <c r="D26" i="9"/>
  <c r="I9" i="10"/>
  <c r="I11" i="10"/>
  <c r="I15" i="10" s="1"/>
  <c r="K6" i="12"/>
  <c r="I39" i="2"/>
  <c r="I29" i="10"/>
  <c r="H16" i="12"/>
  <c r="H76" i="10"/>
  <c r="L78" i="10"/>
  <c r="K32" i="12"/>
  <c r="K34" i="12" s="1"/>
  <c r="L27" i="12"/>
  <c r="L13" i="12"/>
  <c r="K37" i="2"/>
  <c r="K25" i="10"/>
  <c r="I32" i="12"/>
  <c r="I34" i="12" s="1"/>
  <c r="I80" i="10"/>
  <c r="I6" i="12"/>
  <c r="I8" i="12" s="1"/>
  <c r="J32" i="10"/>
  <c r="J79" i="10"/>
  <c r="J26" i="10"/>
  <c r="L24" i="2"/>
  <c r="H20" i="6"/>
  <c r="H24" i="6" s="1"/>
  <c r="G26" i="6"/>
  <c r="G27" i="6" s="1"/>
  <c r="J12" i="2"/>
  <c r="J17" i="2" s="1"/>
  <c r="L6" i="12" l="1"/>
  <c r="H19" i="12"/>
  <c r="H28" i="12"/>
  <c r="H17" i="12"/>
  <c r="J7" i="12"/>
  <c r="J80" i="10"/>
  <c r="I33" i="10"/>
  <c r="I34" i="10" s="1"/>
  <c r="I39" i="10"/>
  <c r="I30" i="10"/>
  <c r="K80" i="10"/>
  <c r="J19" i="2"/>
  <c r="J7" i="10"/>
  <c r="K32" i="10"/>
  <c r="K79" i="10"/>
  <c r="K7" i="12" s="1"/>
  <c r="K20" i="12" s="1"/>
  <c r="K26" i="10"/>
  <c r="L32" i="12"/>
  <c r="L34" i="12" s="1"/>
  <c r="L37" i="2"/>
  <c r="L25" i="10"/>
  <c r="H26" i="6"/>
  <c r="H27" i="6" s="1"/>
  <c r="L12" i="2" s="1"/>
  <c r="L17" i="2" s="1"/>
  <c r="K12" i="2"/>
  <c r="K17" i="2" s="1"/>
  <c r="I75" i="10" l="1"/>
  <c r="I40" i="10"/>
  <c r="J20" i="12"/>
  <c r="J8" i="12"/>
  <c r="J11" i="10"/>
  <c r="J15" i="10" s="1"/>
  <c r="J9" i="10"/>
  <c r="J39" i="2"/>
  <c r="J29" i="10"/>
  <c r="H23" i="12"/>
  <c r="H37" i="12"/>
  <c r="H29" i="12"/>
  <c r="K19" i="2"/>
  <c r="K7" i="10"/>
  <c r="H21" i="12"/>
  <c r="L19" i="2"/>
  <c r="L7" i="10"/>
  <c r="K8" i="12"/>
  <c r="L79" i="10"/>
  <c r="L7" i="12" s="1"/>
  <c r="L20" i="12" s="1"/>
  <c r="L32" i="10"/>
  <c r="L26" i="10"/>
  <c r="J33" i="10" l="1"/>
  <c r="J34" i="10" s="1"/>
  <c r="J39" i="10"/>
  <c r="J30" i="10"/>
  <c r="H38" i="12"/>
  <c r="H40" i="12" s="1"/>
  <c r="L9" i="10"/>
  <c r="L11" i="10"/>
  <c r="L15" i="10" s="1"/>
  <c r="K11" i="10"/>
  <c r="K15" i="10" s="1"/>
  <c r="K9" i="10"/>
  <c r="L80" i="10"/>
  <c r="K39" i="2"/>
  <c r="K29" i="10"/>
  <c r="L8" i="12"/>
  <c r="I16" i="12"/>
  <c r="I76" i="10"/>
  <c r="L39" i="2"/>
  <c r="L29" i="10"/>
  <c r="L39" i="10" l="1"/>
  <c r="L75" i="10" s="1"/>
  <c r="L16" i="12" s="1"/>
  <c r="L33" i="10"/>
  <c r="L34" i="10" s="1"/>
  <c r="L30" i="10"/>
  <c r="J75" i="10"/>
  <c r="J40" i="10"/>
  <c r="K39" i="10"/>
  <c r="K33" i="10"/>
  <c r="K34" i="10" s="1"/>
  <c r="K30" i="10"/>
  <c r="I19" i="12"/>
  <c r="I28" i="12"/>
  <c r="I17" i="12"/>
  <c r="I37" i="12" l="1"/>
  <c r="I29" i="12"/>
  <c r="I21" i="12"/>
  <c r="K75" i="10"/>
  <c r="K76" i="10" s="1"/>
  <c r="L40" i="10"/>
  <c r="J16" i="12"/>
  <c r="J76" i="10"/>
  <c r="K40" i="10"/>
  <c r="I23" i="12"/>
  <c r="L19" i="12"/>
  <c r="L28" i="12"/>
  <c r="L37" i="12" s="1"/>
  <c r="K16" i="12" l="1"/>
  <c r="K17" i="12" s="1"/>
  <c r="L76" i="10"/>
  <c r="J28" i="12"/>
  <c r="J19" i="12"/>
  <c r="J17" i="12"/>
  <c r="I38" i="12"/>
  <c r="I40" i="12" s="1"/>
  <c r="J21" i="12" l="1"/>
  <c r="J23" i="12" s="1"/>
  <c r="J37" i="12"/>
  <c r="J29" i="12"/>
  <c r="K28" i="12"/>
  <c r="K19" i="12"/>
  <c r="L21" i="12" s="1"/>
  <c r="L17" i="12"/>
  <c r="L23" i="12" s="1"/>
  <c r="K37" i="12" l="1"/>
  <c r="L38" i="12" s="1"/>
  <c r="L40" i="12" s="1"/>
  <c r="L29" i="12"/>
  <c r="K29" i="12"/>
  <c r="K38" i="12"/>
  <c r="K40" i="12" s="1"/>
  <c r="J38" i="12"/>
  <c r="J40" i="12" s="1"/>
  <c r="K21" i="12"/>
  <c r="K23" i="12" s="1"/>
</calcChain>
</file>

<file path=xl/sharedStrings.xml><?xml version="1.0" encoding="utf-8"?>
<sst xmlns="http://schemas.openxmlformats.org/spreadsheetml/2006/main" count="387" uniqueCount="253">
  <si>
    <t>Particulars</t>
  </si>
  <si>
    <t>Revenue</t>
  </si>
  <si>
    <t>Cost of Goods Sold</t>
  </si>
  <si>
    <t>Gross Profit</t>
  </si>
  <si>
    <t>Employee Benefit Expense</t>
  </si>
  <si>
    <t>Other Expense</t>
  </si>
  <si>
    <t>Other Income</t>
  </si>
  <si>
    <t>EBITDA</t>
  </si>
  <si>
    <t>Depreciation &amp; Amortisation</t>
  </si>
  <si>
    <t>EBIT</t>
  </si>
  <si>
    <t>EBT</t>
  </si>
  <si>
    <t>Income tax expense</t>
  </si>
  <si>
    <t>Net Income</t>
  </si>
  <si>
    <t>Fixed Assets</t>
  </si>
  <si>
    <t>Intangible Assets</t>
  </si>
  <si>
    <t>Goodwill</t>
  </si>
  <si>
    <t>Financial Assets</t>
  </si>
  <si>
    <t>Other Non-Current Assets</t>
  </si>
  <si>
    <t>Non-Current Assets</t>
  </si>
  <si>
    <t>Cash &amp; Equivalents</t>
  </si>
  <si>
    <t>Inventories</t>
  </si>
  <si>
    <t>Trade Receivables</t>
  </si>
  <si>
    <t>Other Current Assets</t>
  </si>
  <si>
    <t>Current Assets</t>
  </si>
  <si>
    <t>Total Assets</t>
  </si>
  <si>
    <t>Share Capital</t>
  </si>
  <si>
    <t>Other Equity</t>
  </si>
  <si>
    <t>NCI</t>
  </si>
  <si>
    <t>Equity</t>
  </si>
  <si>
    <t>Long Term Debt</t>
  </si>
  <si>
    <t>Financial Liabilities</t>
  </si>
  <si>
    <t>Other Non-Current Liabilities</t>
  </si>
  <si>
    <t>Non-Current Liabilites</t>
  </si>
  <si>
    <t>Short Term Debt</t>
  </si>
  <si>
    <t>Trade Payables</t>
  </si>
  <si>
    <t>Other Current Liabilities</t>
  </si>
  <si>
    <t>Current Liabilities</t>
  </si>
  <si>
    <t>Equity &amp; Liabilities</t>
  </si>
  <si>
    <t>Share loss of equity</t>
  </si>
  <si>
    <t>Exceptional Item</t>
  </si>
  <si>
    <t>Employee Benefit Expense (% of Revenue)</t>
  </si>
  <si>
    <t>Other Expense (% of Revenue)</t>
  </si>
  <si>
    <t>Other Income (% of Revenue)</t>
  </si>
  <si>
    <t>Net Working Capital</t>
  </si>
  <si>
    <t>Changes in Working Capital</t>
  </si>
  <si>
    <t>Days Sales Outstanding</t>
  </si>
  <si>
    <t>Days Inventory Outstanding</t>
  </si>
  <si>
    <t>Days Payables Outstanding</t>
  </si>
  <si>
    <t>Cash Conversion Cycle (Days)</t>
  </si>
  <si>
    <t>Check</t>
  </si>
  <si>
    <t>Beginning PPE</t>
  </si>
  <si>
    <t>Capex</t>
  </si>
  <si>
    <t>Depreciation</t>
  </si>
  <si>
    <t>Ending PPE</t>
  </si>
  <si>
    <t>Capex (% of Revenue)</t>
  </si>
  <si>
    <t>Historical PPE</t>
  </si>
  <si>
    <t>Depreciation Schedule</t>
  </si>
  <si>
    <t>Total Depreciation</t>
  </si>
  <si>
    <t>Non Current Assets (% of Revenue)</t>
  </si>
  <si>
    <t>Current Assets (% of Revenue)</t>
  </si>
  <si>
    <t>Non Current Liabilities (% of Revenue)</t>
  </si>
  <si>
    <t>Current Liabilities (% of Revenue)</t>
  </si>
  <si>
    <t>Finance Cost</t>
  </si>
  <si>
    <t>Finance Cost (% of Revenue)</t>
  </si>
  <si>
    <t>Tax Rate</t>
  </si>
  <si>
    <t>Taxes</t>
  </si>
  <si>
    <t>NOPAT</t>
  </si>
  <si>
    <t>Gross Cash Flow</t>
  </si>
  <si>
    <t>Investments in Working Capital</t>
  </si>
  <si>
    <t>Other Assets</t>
  </si>
  <si>
    <t>Other Liabilities</t>
  </si>
  <si>
    <t>Unlevered Cash Flow</t>
  </si>
  <si>
    <t>Interest Expense</t>
  </si>
  <si>
    <t>Delta Financial Liabilities</t>
  </si>
  <si>
    <t>Delta Equity Movements</t>
  </si>
  <si>
    <t>Tax Movements</t>
  </si>
  <si>
    <t>Minority Interest</t>
  </si>
  <si>
    <t>Net Income attributable to owners</t>
  </si>
  <si>
    <t>Discontinued Operations</t>
  </si>
  <si>
    <t>Net Income from Continuous Operations</t>
  </si>
  <si>
    <t>-</t>
  </si>
  <si>
    <t>Minority Interests</t>
  </si>
  <si>
    <t>Net Cash Flow</t>
  </si>
  <si>
    <t>Opening Cash Flow</t>
  </si>
  <si>
    <t>Ending Cash Flow</t>
  </si>
  <si>
    <t xml:space="preserve">Company </t>
  </si>
  <si>
    <t>Hindustan Unilever Limited</t>
  </si>
  <si>
    <t>BSE|NSE</t>
  </si>
  <si>
    <t>Incorporation</t>
  </si>
  <si>
    <t>India</t>
  </si>
  <si>
    <t>Cost of Equity</t>
  </si>
  <si>
    <t>Risk Free Rate</t>
  </si>
  <si>
    <t>Beta</t>
  </si>
  <si>
    <t>Market Risk Premium</t>
  </si>
  <si>
    <t>Corporate Tax Rate</t>
  </si>
  <si>
    <t>Debt</t>
  </si>
  <si>
    <t>Capital</t>
  </si>
  <si>
    <t>Number of shares (In Millions)</t>
  </si>
  <si>
    <t>CMP (28th July 2024)</t>
  </si>
  <si>
    <t>Capital Structure of the Company</t>
  </si>
  <si>
    <t>Debt to Capitalization</t>
  </si>
  <si>
    <t>Equity to Capitalization</t>
  </si>
  <si>
    <t>Comparable Companies Unlevered Beta</t>
  </si>
  <si>
    <t>Company</t>
  </si>
  <si>
    <t>Debt/Equity</t>
  </si>
  <si>
    <t>HUL</t>
  </si>
  <si>
    <t>Nestle</t>
  </si>
  <si>
    <t>Varun Beverages</t>
  </si>
  <si>
    <t>Colgate Palmolive</t>
  </si>
  <si>
    <t>Godrej Consumers</t>
  </si>
  <si>
    <t>Dabur India</t>
  </si>
  <si>
    <t>Mean</t>
  </si>
  <si>
    <t>Median</t>
  </si>
  <si>
    <t>Hindustan Unilever Limited Relevered Beta</t>
  </si>
  <si>
    <t>Target
Debt/Equity</t>
  </si>
  <si>
    <t>Relevered
Beta</t>
  </si>
  <si>
    <t>Mean
Unlevered Beta</t>
  </si>
  <si>
    <t>Cost of Debt</t>
  </si>
  <si>
    <t>Unlevered Beta</t>
  </si>
  <si>
    <t>Levered Beta</t>
  </si>
  <si>
    <t>Country Default Spread</t>
  </si>
  <si>
    <t>Company Default Spread</t>
  </si>
  <si>
    <t>Note **</t>
  </si>
  <si>
    <t>Interest Coverage Ratio</t>
  </si>
  <si>
    <t>Country Spread</t>
  </si>
  <si>
    <t>Company Default Spread **</t>
  </si>
  <si>
    <t>Pre tax Cost of Debt</t>
  </si>
  <si>
    <t>Country Default Spread and Company Default Spread is collected from Prof. Aswath Damodaran's website.</t>
  </si>
  <si>
    <t>Weighted Average Cost of Capital</t>
  </si>
  <si>
    <t>Weight of Debt</t>
  </si>
  <si>
    <t>Weight of Equity</t>
  </si>
  <si>
    <t>WACC</t>
  </si>
  <si>
    <t>Terminal Growth Rate</t>
  </si>
  <si>
    <t>Terminal Value</t>
  </si>
  <si>
    <t>Free Cash Flow to Firm</t>
  </si>
  <si>
    <t>Mid Year Convention</t>
  </si>
  <si>
    <t>Discounting Factor</t>
  </si>
  <si>
    <t>PV of Future Cash Flow</t>
  </si>
  <si>
    <t>PV of Terminal Value</t>
  </si>
  <si>
    <t>Add: Cash</t>
  </si>
  <si>
    <t>Less: Debt</t>
  </si>
  <si>
    <t>Shares Outstanding</t>
  </si>
  <si>
    <t>Value per Share</t>
  </si>
  <si>
    <t>CMP</t>
  </si>
  <si>
    <t>Shares Outstanding (Millions)</t>
  </si>
  <si>
    <t>Current Liabilties</t>
  </si>
  <si>
    <t>Current Ratio</t>
  </si>
  <si>
    <t>Inventory</t>
  </si>
  <si>
    <t>Prepaid Expenses</t>
  </si>
  <si>
    <t>Quick Ratio</t>
  </si>
  <si>
    <t>Solvency Ratios</t>
  </si>
  <si>
    <t>Liquidity Ratios</t>
  </si>
  <si>
    <t>Debt/EBITDA</t>
  </si>
  <si>
    <t>Efficiency Ratios</t>
  </si>
  <si>
    <t>Debt/ Total Assets</t>
  </si>
  <si>
    <t>Equity/Total Assets</t>
  </si>
  <si>
    <t>Asset Turnover Ratio</t>
  </si>
  <si>
    <t>COGS</t>
  </si>
  <si>
    <t>Inventory Turnover</t>
  </si>
  <si>
    <t>Coverage Ratios</t>
  </si>
  <si>
    <t>Profitability Ratios</t>
  </si>
  <si>
    <t>Gross Profit Margin</t>
  </si>
  <si>
    <t>EBITDA Margin</t>
  </si>
  <si>
    <t>EBIT Margin</t>
  </si>
  <si>
    <t>Net Income Margin</t>
  </si>
  <si>
    <t>Return on Assets</t>
  </si>
  <si>
    <t>Average Shareholder's Equity</t>
  </si>
  <si>
    <t>Return on Equity</t>
  </si>
  <si>
    <t>Return on Equity - DuPont Equation</t>
  </si>
  <si>
    <t>Average Total Assets</t>
  </si>
  <si>
    <t>Net Income Margin (A)</t>
  </si>
  <si>
    <t>Asset Turnover Ratio (B)</t>
  </si>
  <si>
    <t>Equity Multiplier (C)</t>
  </si>
  <si>
    <t>Return on Equity (A * B * C)</t>
  </si>
  <si>
    <t xml:space="preserve">Net Income </t>
  </si>
  <si>
    <t>Return on Assets - DuPont Equation</t>
  </si>
  <si>
    <t xml:space="preserve">Average Total Assets </t>
  </si>
  <si>
    <t>Return on Assets (A * B)</t>
  </si>
  <si>
    <t>Companies</t>
  </si>
  <si>
    <t>Ticker 
(BSE|NSE)</t>
  </si>
  <si>
    <t xml:space="preserve">CMP
(Per Share) </t>
  </si>
  <si>
    <t>Shares
Outstanding</t>
  </si>
  <si>
    <t>Equity
Value</t>
  </si>
  <si>
    <t>Debt
Value</t>
  </si>
  <si>
    <t>Cash</t>
  </si>
  <si>
    <t>Enterprise 
Value</t>
  </si>
  <si>
    <t>EV/Revenue</t>
  </si>
  <si>
    <t>EV/EBITDA</t>
  </si>
  <si>
    <t>P/E</t>
  </si>
  <si>
    <t>Nestle India</t>
  </si>
  <si>
    <t>Godrej Consumer</t>
  </si>
  <si>
    <t>Britannia Industries</t>
  </si>
  <si>
    <t>P &amp; G Hygiene</t>
  </si>
  <si>
    <t>Emami</t>
  </si>
  <si>
    <t>Hatsun Agro</t>
  </si>
  <si>
    <t>Gillete India</t>
  </si>
  <si>
    <t>High</t>
  </si>
  <si>
    <t>75th Percentile</t>
  </si>
  <si>
    <t>Average</t>
  </si>
  <si>
    <t>25th Percentile</t>
  </si>
  <si>
    <t>Low</t>
  </si>
  <si>
    <t>Relative Valuation - Hindustan Unilever Limited</t>
  </si>
  <si>
    <t>Implied Enterprise Value</t>
  </si>
  <si>
    <t>Overvalued/Undervalued</t>
  </si>
  <si>
    <t>Enterprise Value</t>
  </si>
  <si>
    <t>Equity Value</t>
  </si>
  <si>
    <t>Implied Equity Value</t>
  </si>
  <si>
    <t>Implied Equity Per Share Value</t>
  </si>
  <si>
    <t>500696|HINDUNILVR</t>
  </si>
  <si>
    <t>500790|NESTLEIND</t>
  </si>
  <si>
    <t>540180|VBL</t>
  </si>
  <si>
    <t>532424|GODREJCP</t>
  </si>
  <si>
    <t>500825|BRITANNIA</t>
  </si>
  <si>
    <t>500096|DABUR</t>
  </si>
  <si>
    <t>500830|COLPAL</t>
  </si>
  <si>
    <t>500459|PGHH</t>
  </si>
  <si>
    <t>531162|EMAMILTD</t>
  </si>
  <si>
    <t>531531|HATSUN</t>
  </si>
  <si>
    <t>GILLETTE</t>
  </si>
  <si>
    <t>Contents</t>
  </si>
  <si>
    <t>1. Income Statement</t>
  </si>
  <si>
    <t>Sensitivity Analysis</t>
  </si>
  <si>
    <t>Terminal
Value</t>
  </si>
  <si>
    <t>Comps</t>
  </si>
  <si>
    <t>DCF Base</t>
  </si>
  <si>
    <t>DCF Bear</t>
  </si>
  <si>
    <t>DCF Bull</t>
  </si>
  <si>
    <t>52W H/L</t>
  </si>
  <si>
    <t>OpenLow</t>
  </si>
  <si>
    <t xml:space="preserve">OpenHigh </t>
  </si>
  <si>
    <t>HOME CARE</t>
  </si>
  <si>
    <t>BEAUTY &amp; PERSONAL CARE</t>
  </si>
  <si>
    <t>FOODS &amp; REFRESHMENT</t>
  </si>
  <si>
    <t>OTHERS</t>
  </si>
  <si>
    <t>Total</t>
  </si>
  <si>
    <t>Revenues</t>
  </si>
  <si>
    <t>REVENUES</t>
  </si>
  <si>
    <t xml:space="preserve">Gross Profit </t>
  </si>
  <si>
    <t xml:space="preserve">Particulars </t>
  </si>
  <si>
    <t>(All values in INR million)</t>
  </si>
  <si>
    <t>3. Gross Profit Margin</t>
  </si>
  <si>
    <t>4. Balance Sheet</t>
  </si>
  <si>
    <t xml:space="preserve">2. Revenue By Segment </t>
  </si>
  <si>
    <t>5. Cash Flow</t>
  </si>
  <si>
    <t>6. Working Capital</t>
  </si>
  <si>
    <t>7. Fixed Asset Rollover</t>
  </si>
  <si>
    <t>8. Weighted Average Cost of Capital</t>
  </si>
  <si>
    <t>9. Discounted Cash Flow Valuation</t>
  </si>
  <si>
    <t>10. Football Field Analysis</t>
  </si>
  <si>
    <t>11. Ratio Analysis</t>
  </si>
  <si>
    <t>12. Charts</t>
  </si>
  <si>
    <t>13. DuPont Analysis</t>
  </si>
  <si>
    <t>14. Relative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</si>
</sst>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 * #,##0.00_ ;_ * \-#,##0.00_ ;_ * &quot;-&quot;??_ ;_ @_ "/>
    <numFmt numFmtId="164" formatCode="0&quot;A&quot;"/>
    <numFmt numFmtId="165" formatCode="0&quot;F&quot;"/>
    <numFmt numFmtId="166" formatCode="#,##0;\(#,##0\);\-"/>
    <numFmt numFmtId="167" formatCode="0\ &quot;years&quot;"/>
    <numFmt numFmtId="168" formatCode="0.000000"/>
    <numFmt numFmtId="169" formatCode="0.000"/>
    <numFmt numFmtId="170" formatCode="_ * #,##0_ ;_ * \-#,##0_ ;_ * &quot;-&quot;??_ ;_ @_ "/>
    <numFmt numFmtId="171" formatCode="0.00&quot;x&quot;"/>
    <numFmt numFmtId="172" formatCode="#,##0.0;\(#,##0.0\);\-"/>
    <numFmt numFmtId="173" formatCode="#,##0.00;\(#,##0.00\);\-"/>
    <numFmt numFmtId="174" formatCode="0.000&quot;x&quot;"/>
    <numFmt numFmtId="175" formatCode="0.00\ &quot;x&quot;"/>
    <numFmt numFmtId="176" formatCode="0.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4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66" fontId="0" fillId="0" borderId="0" xfId="0" applyNumberFormat="1"/>
    <xf numFmtId="166" fontId="2" fillId="0" borderId="1" xfId="0" applyNumberFormat="1" applyFont="1" applyBorder="1"/>
    <xf numFmtId="166" fontId="3" fillId="0" borderId="0" xfId="0" applyNumberFormat="1" applyFont="1"/>
    <xf numFmtId="0" fontId="0" fillId="0" borderId="0" xfId="0" applyAlignment="1">
      <alignment horizontal="right"/>
    </xf>
    <xf numFmtId="10" fontId="0" fillId="0" borderId="0" xfId="1" applyNumberFormat="1" applyFont="1"/>
    <xf numFmtId="10" fontId="3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  <xf numFmtId="166" fontId="2" fillId="0" borderId="2" xfId="0" applyNumberFormat="1" applyFont="1" applyBorder="1"/>
    <xf numFmtId="0" fontId="2" fillId="0" borderId="3" xfId="0" applyFont="1" applyBorder="1"/>
    <xf numFmtId="166" fontId="2" fillId="0" borderId="3" xfId="0" applyNumberFormat="1" applyFont="1" applyBorder="1"/>
    <xf numFmtId="0" fontId="2" fillId="0" borderId="4" xfId="0" applyFont="1" applyBorder="1"/>
    <xf numFmtId="166" fontId="2" fillId="0" borderId="4" xfId="0" applyNumberFormat="1" applyFont="1" applyBorder="1"/>
    <xf numFmtId="0" fontId="3" fillId="0" borderId="0" xfId="0" applyFont="1"/>
    <xf numFmtId="9" fontId="0" fillId="0" borderId="0" xfId="1" applyFont="1"/>
    <xf numFmtId="9" fontId="3" fillId="0" borderId="0" xfId="0" applyNumberFormat="1" applyFont="1"/>
    <xf numFmtId="167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66" fontId="2" fillId="0" borderId="0" xfId="0" applyNumberFormat="1" applyFont="1"/>
    <xf numFmtId="166" fontId="0" fillId="0" borderId="0" xfId="0" applyNumberFormat="1" applyAlignment="1">
      <alignment horizontal="right"/>
    </xf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6" fillId="3" borderId="0" xfId="0" applyFont="1" applyFill="1"/>
    <xf numFmtId="0" fontId="5" fillId="3" borderId="0" xfId="0" applyFont="1" applyFill="1"/>
    <xf numFmtId="0" fontId="0" fillId="2" borderId="0" xfId="0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0" fillId="0" borderId="5" xfId="0" applyBorder="1"/>
    <xf numFmtId="16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3" xfId="0" applyBorder="1"/>
    <xf numFmtId="0" fontId="0" fillId="4" borderId="0" xfId="0" applyFill="1"/>
    <xf numFmtId="2" fontId="2" fillId="0" borderId="3" xfId="0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4" borderId="0" xfId="0" applyFont="1" applyFill="1"/>
    <xf numFmtId="10" fontId="2" fillId="0" borderId="3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  <xf numFmtId="0" fontId="9" fillId="0" borderId="0" xfId="0" applyFont="1"/>
    <xf numFmtId="0" fontId="2" fillId="4" borderId="1" xfId="0" applyFont="1" applyFill="1" applyBorder="1"/>
    <xf numFmtId="10" fontId="0" fillId="4" borderId="0" xfId="0" applyNumberFormat="1" applyFill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69" fontId="0" fillId="0" borderId="0" xfId="0" applyNumberFormat="1"/>
    <xf numFmtId="170" fontId="0" fillId="0" borderId="3" xfId="2" applyNumberFormat="1" applyFont="1" applyBorder="1"/>
    <xf numFmtId="0" fontId="0" fillId="0" borderId="4" xfId="0" applyBorder="1"/>
    <xf numFmtId="170" fontId="0" fillId="0" borderId="4" xfId="2" applyNumberFormat="1" applyFont="1" applyBorder="1"/>
    <xf numFmtId="0" fontId="0" fillId="3" borderId="0" xfId="0" applyFill="1"/>
    <xf numFmtId="174" fontId="2" fillId="0" borderId="1" xfId="0" applyNumberFormat="1" applyFont="1" applyBorder="1"/>
    <xf numFmtId="10" fontId="2" fillId="0" borderId="1" xfId="1" applyNumberFormat="1" applyFont="1" applyBorder="1"/>
    <xf numFmtId="0" fontId="11" fillId="3" borderId="0" xfId="0" applyFont="1" applyFill="1"/>
    <xf numFmtId="0" fontId="0" fillId="0" borderId="0" xfId="0" applyAlignment="1">
      <alignment horizontal="center"/>
    </xf>
    <xf numFmtId="0" fontId="2" fillId="5" borderId="1" xfId="0" applyFont="1" applyFill="1" applyBorder="1"/>
    <xf numFmtId="10" fontId="2" fillId="5" borderId="1" xfId="1" applyNumberFormat="1" applyFont="1" applyFill="1" applyBorder="1"/>
    <xf numFmtId="0" fontId="12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3" fillId="2" borderId="0" xfId="0" applyFont="1" applyFill="1"/>
    <xf numFmtId="175" fontId="0" fillId="0" borderId="0" xfId="0" applyNumberFormat="1" applyAlignment="1">
      <alignment horizontal="center" vertical="center"/>
    </xf>
    <xf numFmtId="0" fontId="2" fillId="6" borderId="0" xfId="0" applyFont="1" applyFill="1"/>
    <xf numFmtId="166" fontId="14" fillId="6" borderId="0" xfId="0" applyNumberFormat="1" applyFont="1" applyFill="1" applyAlignment="1">
      <alignment horizontal="center" vertical="center"/>
    </xf>
    <xf numFmtId="166" fontId="2" fillId="6" borderId="0" xfId="0" applyNumberFormat="1" applyFont="1" applyFill="1" applyAlignment="1">
      <alignment horizontal="center" vertical="center"/>
    </xf>
    <xf numFmtId="175" fontId="2" fillId="6" borderId="0" xfId="0" applyNumberFormat="1" applyFont="1" applyFill="1" applyAlignment="1">
      <alignment horizontal="center" vertical="center"/>
    </xf>
    <xf numFmtId="0" fontId="0" fillId="6" borderId="6" xfId="0" applyFill="1" applyBorder="1"/>
    <xf numFmtId="175" fontId="0" fillId="6" borderId="6" xfId="0" applyNumberFormat="1" applyFill="1" applyBorder="1" applyAlignment="1">
      <alignment horizontal="center" vertical="center"/>
    </xf>
    <xf numFmtId="175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6" fontId="2" fillId="5" borderId="1" xfId="0" applyNumberFormat="1" applyFont="1" applyFill="1" applyBorder="1"/>
    <xf numFmtId="0" fontId="2" fillId="5" borderId="0" xfId="0" applyFont="1" applyFill="1"/>
    <xf numFmtId="0" fontId="0" fillId="5" borderId="0" xfId="0" applyFill="1"/>
    <xf numFmtId="171" fontId="2" fillId="5" borderId="0" xfId="0" applyNumberFormat="1" applyFont="1" applyFill="1"/>
    <xf numFmtId="171" fontId="2" fillId="5" borderId="1" xfId="0" applyNumberFormat="1" applyFont="1" applyFill="1" applyBorder="1"/>
    <xf numFmtId="1" fontId="2" fillId="5" borderId="1" xfId="0" applyNumberFormat="1" applyFont="1" applyFill="1" applyBorder="1"/>
    <xf numFmtId="0" fontId="0" fillId="5" borderId="1" xfId="0" applyFill="1" applyBorder="1"/>
    <xf numFmtId="174" fontId="2" fillId="5" borderId="1" xfId="0" applyNumberFormat="1" applyFont="1" applyFill="1" applyBorder="1"/>
    <xf numFmtId="166" fontId="0" fillId="6" borderId="6" xfId="0" applyNumberFormat="1" applyFill="1" applyBorder="1" applyAlignment="1">
      <alignment horizontal="center" vertical="center"/>
    </xf>
    <xf numFmtId="172" fontId="0" fillId="6" borderId="6" xfId="0" applyNumberFormat="1" applyFill="1" applyBorder="1" applyAlignment="1">
      <alignment horizontal="center" vertical="center"/>
    </xf>
    <xf numFmtId="172" fontId="14" fillId="6" borderId="0" xfId="0" applyNumberFormat="1" applyFont="1" applyFill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3" fontId="14" fillId="6" borderId="0" xfId="0" applyNumberFormat="1" applyFont="1" applyFill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173" fontId="2" fillId="6" borderId="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170" fontId="10" fillId="0" borderId="0" xfId="0" applyNumberFormat="1" applyFont="1"/>
    <xf numFmtId="170" fontId="0" fillId="0" borderId="0" xfId="2" applyNumberFormat="1" applyFont="1"/>
    <xf numFmtId="176" fontId="0" fillId="0" borderId="0" xfId="1" applyNumberFormat="1" applyFont="1"/>
    <xf numFmtId="170" fontId="0" fillId="0" borderId="0" xfId="0" applyNumberFormat="1"/>
    <xf numFmtId="176" fontId="3" fillId="0" borderId="0" xfId="0" applyNumberFormat="1" applyFont="1"/>
    <xf numFmtId="170" fontId="2" fillId="0" borderId="1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9" fontId="0" fillId="0" borderId="7" xfId="0" applyNumberFormat="1" applyBorder="1"/>
    <xf numFmtId="0" fontId="16" fillId="3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0" fontId="20" fillId="0" borderId="0" xfId="3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REVENUES</a:t>
            </a:r>
            <a:r>
              <a:rPr lang="en-IN" b="1" baseline="0"/>
              <a:t> BY SEGMENT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'Revenues By Segment'!$B$7</c:f>
              <c:strCache>
                <c:ptCount val="1"/>
                <c:pt idx="0">
                  <c:v>HOME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'Revenues By Segment'!$C$3:$L$3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'Revenues By Segment'!$C$7:$L$7</c:f>
              <c:numCache>
                <c:formatCode>_ * #,##0_ ;_ * \-#,##0_ ;_ * "-"??_ ;_ @_ </c:formatCode>
                <c:ptCount val="10"/>
                <c:pt idx="1">
                  <c:v>139570</c:v>
                </c:pt>
                <c:pt idx="2">
                  <c:v>165700</c:v>
                </c:pt>
                <c:pt idx="3">
                  <c:v>212230</c:v>
                </c:pt>
                <c:pt idx="4">
                  <c:v>218820</c:v>
                </c:pt>
                <c:pt idx="5">
                  <c:v>225384.6</c:v>
                </c:pt>
                <c:pt idx="6">
                  <c:v>234399.98400000003</c:v>
                </c:pt>
                <c:pt idx="7">
                  <c:v>243775.98336000004</c:v>
                </c:pt>
                <c:pt idx="8">
                  <c:v>253527.02269440005</c:v>
                </c:pt>
                <c:pt idx="9">
                  <c:v>261132.83337523206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7-4DEE-9613-904939B32EC5}"/>
            </c:ext>
          </c:extLst>
        </c:ser>
        <c:ser>
          <c:idx val="1"/>
          <c:order val="1"/>
          <c:tx>
            <c:strRef>
              <c:f>'Revenues By Segment'!$B$10</c:f>
              <c:strCache>
                <c:ptCount val="1"/>
                <c:pt idx="0">
                  <c:v>BEAUTY &amp; PERSONAL CARE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'Revenues By Segment'!$C$3:$L$3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'Revenues By Segment'!$C$10:$L$10</c:f>
              <c:numCache>
                <c:formatCode>_ * #,##0_ ;_ * \-#,##0_ ;_ * "-"??_ ;_ @_ </c:formatCode>
                <c:ptCount val="10"/>
                <c:pt idx="1">
                  <c:v>180380</c:v>
                </c:pt>
                <c:pt idx="2">
                  <c:v>195670</c:v>
                </c:pt>
                <c:pt idx="3">
                  <c:v>220220</c:v>
                </c:pt>
                <c:pt idx="4">
                  <c:v>224480</c:v>
                </c:pt>
                <c:pt idx="5">
                  <c:v>228969.60000000001</c:v>
                </c:pt>
                <c:pt idx="6">
                  <c:v>235838.68800000002</c:v>
                </c:pt>
                <c:pt idx="7">
                  <c:v>242913.84864000004</c:v>
                </c:pt>
                <c:pt idx="8">
                  <c:v>250201.26409920005</c:v>
                </c:pt>
                <c:pt idx="9">
                  <c:v>255205.28938118406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7-4DEE-9613-904939B32EC5}"/>
            </c:ext>
          </c:extLst>
        </c:ser>
        <c:ser>
          <c:idx val="2"/>
          <c:order val="2"/>
          <c:tx>
            <c:strRef>
              <c:f>'Revenues By Segment'!$B$13</c:f>
              <c:strCache>
                <c:ptCount val="1"/>
                <c:pt idx="0">
                  <c:v>FOODS &amp; REFRESHMENT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'Revenues By Segment'!$C$3:$L$3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'Revenues By Segment'!$C$13:$L$13</c:f>
              <c:numCache>
                <c:formatCode>_ * #,##0_ ;_ * \-#,##0_ ;_ * "-"??_ ;_ @_ </c:formatCode>
                <c:ptCount val="10"/>
                <c:pt idx="1">
                  <c:v>132040</c:v>
                </c:pt>
                <c:pt idx="2">
                  <c:v>141050</c:v>
                </c:pt>
                <c:pt idx="3">
                  <c:v>148760</c:v>
                </c:pt>
                <c:pt idx="4">
                  <c:v>152910</c:v>
                </c:pt>
                <c:pt idx="5">
                  <c:v>156732.75</c:v>
                </c:pt>
                <c:pt idx="6">
                  <c:v>160651.06874999998</c:v>
                </c:pt>
                <c:pt idx="7">
                  <c:v>164667.34546874996</c:v>
                </c:pt>
                <c:pt idx="8">
                  <c:v>167960.69237812495</c:v>
                </c:pt>
                <c:pt idx="9">
                  <c:v>171319.90622568745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7-4DEE-9613-904939B32EC5}"/>
            </c:ext>
          </c:extLst>
        </c:ser>
        <c:ser>
          <c:idx val="3"/>
          <c:order val="3"/>
          <c:tx>
            <c:strRef>
              <c:f>'Revenues By Segment'!$B$16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'Revenues By Segment'!$C$3:$L$3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'Revenues By Segment'!$C$16:$L$16</c:f>
              <c:numCache>
                <c:formatCode>_ * #,##0_ ;_ * \-#,##0_ ;_ * "-"??_ ;_ @_ </c:formatCode>
                <c:ptCount val="10"/>
                <c:pt idx="1">
                  <c:v>18290</c:v>
                </c:pt>
                <c:pt idx="2">
                  <c:v>22040</c:v>
                </c:pt>
                <c:pt idx="3">
                  <c:v>24590</c:v>
                </c:pt>
                <c:pt idx="4">
                  <c:v>22750</c:v>
                </c:pt>
                <c:pt idx="5">
                  <c:v>22977.5</c:v>
                </c:pt>
                <c:pt idx="6">
                  <c:v>23207.275000000001</c:v>
                </c:pt>
                <c:pt idx="7">
                  <c:v>23439.347750000001</c:v>
                </c:pt>
                <c:pt idx="8">
                  <c:v>23673.741227500002</c:v>
                </c:pt>
                <c:pt idx="9">
                  <c:v>23910.478639775003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B7-4DEE-9613-904939B32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767471"/>
        <c:axId val="933766511"/>
      </c:barChart>
      <c:catAx>
        <c:axId val="933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66511"/>
        <c:crosses val="autoZero"/>
        <c:auto val="1"/>
        <c:lblAlgn val="ctr"/>
        <c:lblOffset val="100"/>
        <c:noMultiLvlLbl val="0"/>
      </c:catAx>
      <c:valAx>
        <c:axId val="9337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GROSS</a:t>
            </a:r>
            <a:r>
              <a:rPr lang="en-IN" b="1" baseline="0"/>
              <a:t> PROFIT MARGIN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'Gross Profit Margin'!$B$5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'Gross Profit Margin'!$C$3:$L$3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'Gross Profit Margin'!$C$5:$L$5</c:f>
              <c:numCache>
                <c:formatCode>_ * #,##0_ ;_ * \-#,##0_ ;_ * "-"??_ ;_ @_ </c:formatCode>
                <c:ptCount val="10"/>
                <c:pt idx="1">
                  <c:v>470280</c:v>
                </c:pt>
                <c:pt idx="2">
                  <c:v>524460</c:v>
                </c:pt>
                <c:pt idx="3">
                  <c:v>605800</c:v>
                </c:pt>
                <c:pt idx="4">
                  <c:v>618960</c:v>
                </c:pt>
                <c:pt idx="5">
                  <c:v>634064.44999999995</c:v>
                </c:pt>
                <c:pt idx="6">
                  <c:v>654097.01575000002</c:v>
                </c:pt>
                <c:pt idx="7">
                  <c:v>674796.52521875</c:v>
                </c:pt>
                <c:pt idx="8">
                  <c:v>695362.72039922501</c:v>
                </c:pt>
                <c:pt idx="9">
                  <c:v>711568.50762187853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6-4417-9F58-9A97037BB99B}"/>
            </c:ext>
          </c:extLst>
        </c:ser>
        <c:ser>
          <c:idx val="1"/>
          <c:order val="1"/>
          <c:tx>
            <c:strRef>
              <c:f>'Gross Profit Margin'!$B$9</c:f>
              <c:strCache>
                <c:ptCount val="1"/>
                <c:pt idx="0">
                  <c:v>Gross 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'Gross Profit Margin'!$C$3:$L$3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'Gross Profit Margin'!$C$9:$L$9</c:f>
              <c:numCache>
                <c:formatCode>_ * #,##0_ ;_ * \-#,##0_ ;_ * "-"??_ ;_ @_ </c:formatCode>
                <c:ptCount val="10"/>
                <c:pt idx="1">
                  <c:v>248800</c:v>
                </c:pt>
                <c:pt idx="2">
                  <c:v>267110</c:v>
                </c:pt>
                <c:pt idx="3">
                  <c:v>288640</c:v>
                </c:pt>
                <c:pt idx="4">
                  <c:v>321360</c:v>
                </c:pt>
                <c:pt idx="5">
                  <c:v>323372.86949999997</c:v>
                </c:pt>
                <c:pt idx="6">
                  <c:v>333589.47803250002</c:v>
                </c:pt>
                <c:pt idx="7">
                  <c:v>344146.22786156251</c:v>
                </c:pt>
                <c:pt idx="8">
                  <c:v>354634.98740360478</c:v>
                </c:pt>
                <c:pt idx="9">
                  <c:v>362899.93888715806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6-4417-9F58-9A97037B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732511"/>
        <c:axId val="493733471"/>
      </c:barChart>
      <c:lineChart>
        <c:grouping val="standard"/>
        <c:varyColors val="0"/>
        <c:ser>
          <c:idx val="2"/>
          <c:order val="2"/>
          <c:tx>
            <c:strRef>
              <c:f>'Gross Profit Margin'!$B$11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'Gross Profit Margin'!$C$3:$L$3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'Gross Profit Margin'!$C$11:$L$11</c:f>
              <c:numCache>
                <c:formatCode>0%</c:formatCode>
                <c:ptCount val="10"/>
                <c:pt idx="1">
                  <c:v>0.52904652547418562</c:v>
                </c:pt>
                <c:pt idx="2">
                  <c:v>0.50930480875567252</c:v>
                </c:pt>
                <c:pt idx="3">
                  <c:v>0.4764608781776164</c:v>
                </c:pt>
                <c:pt idx="4">
                  <c:v>0.51919348584722758</c:v>
                </c:pt>
                <c:pt idx="5">
                  <c:v>0.51</c:v>
                </c:pt>
                <c:pt idx="6">
                  <c:v>0.51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46-4417-9F58-9A97037B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951967"/>
        <c:axId val="934951007"/>
      </c:lineChart>
      <c:catAx>
        <c:axId val="49373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3471"/>
        <c:crosses val="autoZero"/>
        <c:auto val="1"/>
        <c:lblAlgn val="ctr"/>
        <c:lblOffset val="100"/>
        <c:noMultiLvlLbl val="0"/>
      </c:catAx>
      <c:valAx>
        <c:axId val="49373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32511"/>
        <c:crosses val="autoZero"/>
        <c:crossBetween val="between"/>
      </c:valAx>
      <c:valAx>
        <c:axId val="93495100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951967"/>
        <c:crosses val="max"/>
        <c:crossBetween val="between"/>
      </c:valAx>
      <c:catAx>
        <c:axId val="934951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49510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WORKING</a:t>
            </a:r>
            <a:r>
              <a:rPr lang="en-IN" b="1" baseline="0"/>
              <a:t> CAPITAL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'Working Capital'!$B$5</c:f>
              <c:strCache>
                <c:ptCount val="1"/>
                <c:pt idx="0">
                  <c:v>Trade Receivables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'Working Capital'!$C$3:$L$3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'Working Capital'!$C$5:$L$5</c:f>
              <c:numCache>
                <c:formatCode>#,##0;\(#,##0\);\-</c:formatCode>
                <c:ptCount val="10"/>
                <c:pt idx="1">
                  <c:v>17580</c:v>
                </c:pt>
                <c:pt idx="2">
                  <c:v>22360</c:v>
                </c:pt>
                <c:pt idx="3">
                  <c:v>30790</c:v>
                </c:pt>
                <c:pt idx="4">
                  <c:v>29970</c:v>
                </c:pt>
                <c:pt idx="5">
                  <c:v>31268.931780821917</c:v>
                </c:pt>
                <c:pt idx="6">
                  <c:v>32256.839132876714</c:v>
                </c:pt>
                <c:pt idx="7">
                  <c:v>33277.636860102743</c:v>
                </c:pt>
                <c:pt idx="8">
                  <c:v>34291.860184071375</c:v>
                </c:pt>
                <c:pt idx="9">
                  <c:v>35091.049690941953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0-4A2A-83F6-E9F0EA222096}"/>
            </c:ext>
          </c:extLst>
        </c:ser>
        <c:ser>
          <c:idx val="2"/>
          <c:order val="2"/>
          <c:tx>
            <c:strRef>
              <c:f>'Working Capital'!$B$6</c:f>
              <c:strCache>
                <c:ptCount val="1"/>
                <c:pt idx="0">
                  <c:v>Inventories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'Working Capital'!$C$3:$L$3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'Working Capital'!$C$6:$L$6</c:f>
              <c:numCache>
                <c:formatCode>#,##0;\(#,##0\);\-</c:formatCode>
                <c:ptCount val="10"/>
                <c:pt idx="1">
                  <c:v>35790</c:v>
                </c:pt>
                <c:pt idx="2">
                  <c:v>40960</c:v>
                </c:pt>
                <c:pt idx="3">
                  <c:v>42510</c:v>
                </c:pt>
                <c:pt idx="4">
                  <c:v>40220</c:v>
                </c:pt>
                <c:pt idx="5">
                  <c:v>41709.280669863008</c:v>
                </c:pt>
                <c:pt idx="6">
                  <c:v>43027.039310020547</c:v>
                </c:pt>
                <c:pt idx="7">
                  <c:v>44388.670056170376</c:v>
                </c:pt>
                <c:pt idx="8">
                  <c:v>45741.531278864088</c:v>
                </c:pt>
                <c:pt idx="9">
                  <c:v>46807.561282195355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0-4A2A-83F6-E9F0EA222096}"/>
            </c:ext>
          </c:extLst>
        </c:ser>
        <c:ser>
          <c:idx val="3"/>
          <c:order val="3"/>
          <c:tx>
            <c:strRef>
              <c:f>'Working Capital'!$B$7</c:f>
              <c:strCache>
                <c:ptCount val="1"/>
                <c:pt idx="0">
                  <c:v>Trade Payables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'Working Capital'!$C$3:$L$3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'Working Capital'!$C$7:$L$7</c:f>
              <c:numCache>
                <c:formatCode>#,##0;\(#,##0\);\-</c:formatCode>
                <c:ptCount val="10"/>
                <c:pt idx="1">
                  <c:v>88020</c:v>
                </c:pt>
                <c:pt idx="2">
                  <c:v>90680</c:v>
                </c:pt>
                <c:pt idx="3">
                  <c:v>95740</c:v>
                </c:pt>
                <c:pt idx="4">
                  <c:v>104860</c:v>
                </c:pt>
                <c:pt idx="5">
                  <c:v>109806.06543698629</c:v>
                </c:pt>
                <c:pt idx="6">
                  <c:v>113275.26675495206</c:v>
                </c:pt>
                <c:pt idx="7">
                  <c:v>116859.96810706078</c:v>
                </c:pt>
                <c:pt idx="8">
                  <c:v>120421.58234639729</c:v>
                </c:pt>
                <c:pt idx="9">
                  <c:v>123228.06949802449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0-4A2A-83F6-E9F0EA222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657311"/>
        <c:axId val="9976587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'Working Capital'!$B$4</c15:sqref>
                        </c15:formulaRef>
                      </c:ext>
                    </c:extLst>
                    <c:strCache>
                      <c:ptCount val="1"/>
                      <c:pt idx="0">
                        <c:v>(All values in INR million)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'Working Capital'!$C$3:$L$3</c15:sqref>
                        </c15:formulaRef>
                      </c:ext>
                    </c:extLst>
                    <c:numCache>
                      <c:formatCode>0"A"</c:formatCode>
                      <c:ptCount val="10"/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  <c:pt idx="5" formatCode="0&quot;F&quot;">
                        <c:v>2025</c:v>
                      </c:pt>
                      <c:pt idx="6" formatCode="0&quot;F&quot;">
                        <c:v>2026</c:v>
                      </c:pt>
                      <c:pt idx="7" formatCode="0&quot;F&quot;">
                        <c:v>2027</c:v>
                      </c:pt>
                      <c:pt idx="8" formatCode="0&quot;F&quot;">
                        <c:v>2028</c:v>
                      </c:pt>
                      <c:pt idx="9" formatCode="0&quot;F&quot;">
                        <c:v>2029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'Working Capital'!$C$4:$L$4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AA0-4A2A-83F6-E9F0EA222096}"/>
                  </c:ext>
                </c:extLst>
              </c15:ser>
            </c15:filteredLineSeries>
          </c:ext>
        </c:extLst>
      </c:lineChart>
      <c:catAx>
        <c:axId val="99765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58751"/>
        <c:crosses val="autoZero"/>
        <c:auto val="1"/>
        <c:lblAlgn val="ctr"/>
        <c:lblOffset val="100"/>
        <c:noMultiLvlLbl val="0"/>
      </c:catAx>
      <c:valAx>
        <c:axId val="9976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Football</a:t>
            </a:r>
            <a:r>
              <a:rPr lang="en-IN" b="1" baseline="0"/>
              <a:t> Field Analysis - Valuation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Analysis'!$M$4:$M$8</c:f>
              <c:numCache>
                <c:formatCode>General</c:formatCode>
                <c:ptCount val="5"/>
                <c:pt idx="0">
                  <c:v>2711.0399216887981</c:v>
                </c:pt>
                <c:pt idx="1">
                  <c:v>748.44856914720162</c:v>
                </c:pt>
                <c:pt idx="2">
                  <c:v>803.85066321394811</c:v>
                </c:pt>
                <c:pt idx="3">
                  <c:v>869.46680393943291</c:v>
                </c:pt>
                <c:pt idx="4" formatCode="0.000">
                  <c:v>2170.25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B-42AF-9B5C-6333D896AF3C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Analysis'!$N$4:$N$8</c:f>
              <c:numCache>
                <c:formatCode>General</c:formatCode>
                <c:ptCount val="5"/>
                <c:pt idx="0">
                  <c:v>2711.0399216887981</c:v>
                </c:pt>
                <c:pt idx="1">
                  <c:v>748.44856914720162</c:v>
                </c:pt>
                <c:pt idx="2">
                  <c:v>803.85066321394811</c:v>
                </c:pt>
                <c:pt idx="3">
                  <c:v>869.46680393943291</c:v>
                </c:pt>
                <c:pt idx="4" formatCode="0.000">
                  <c:v>2170.25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B-42AF-9B5C-6333D896AF3C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Analysis'!$O$4:$O$8</c:f>
              <c:numCache>
                <c:formatCode>General</c:formatCode>
                <c:ptCount val="5"/>
                <c:pt idx="0">
                  <c:v>2881.9342305110108</c:v>
                </c:pt>
                <c:pt idx="1">
                  <c:v>2286.0783536234817</c:v>
                </c:pt>
                <c:pt idx="2">
                  <c:v>2469.5824000308385</c:v>
                </c:pt>
                <c:pt idx="3">
                  <c:v>2687.4055703314066</c:v>
                </c:pt>
                <c:pt idx="4" formatCode="0.000">
                  <c:v>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B-42AF-9B5C-6333D896AF3C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Analysis'!$P$4:$P$8</c:f>
              <c:numCache>
                <c:formatCode>General</c:formatCode>
                <c:ptCount val="5"/>
                <c:pt idx="0">
                  <c:v>2881.9342305110108</c:v>
                </c:pt>
                <c:pt idx="1">
                  <c:v>2286.0783536234817</c:v>
                </c:pt>
                <c:pt idx="2">
                  <c:v>2469.5824000308385</c:v>
                </c:pt>
                <c:pt idx="3">
                  <c:v>2687.4055703314066</c:v>
                </c:pt>
                <c:pt idx="4" formatCode="0.000">
                  <c:v>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B-42AF-9B5C-6333D896A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F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319081471"/>
        <c:axId val="1358493616"/>
      </c:stockChart>
      <c:catAx>
        <c:axId val="131908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93616"/>
        <c:crosses val="autoZero"/>
        <c:auto val="1"/>
        <c:lblAlgn val="ctr"/>
        <c:lblOffset val="100"/>
        <c:noMultiLvlLbl val="0"/>
      </c:catAx>
      <c:valAx>
        <c:axId val="1358493616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8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Analysis'!$B$9</c:f>
              <c:strCache>
                <c:ptCount val="1"/>
                <c:pt idx="0">
                  <c:v>Current Ratio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Analysis'!$C$9:$L$9</c:f>
              <c:numCache>
                <c:formatCode>0.00"x"</c:formatCode>
                <c:ptCount val="10"/>
                <c:pt idx="1">
                  <c:v>1.2804647392596595</c:v>
                </c:pt>
                <c:pt idx="2">
                  <c:v>1.3760638297872341</c:v>
                </c:pt>
                <c:pt idx="3">
                  <c:v>1.4132025274359827</c:v>
                </c:pt>
                <c:pt idx="4">
                  <c:v>1.6561043802423112</c:v>
                </c:pt>
                <c:pt idx="5">
                  <c:v>2.387885355758347</c:v>
                </c:pt>
                <c:pt idx="6">
                  <c:v>3.0730542679920454</c:v>
                </c:pt>
                <c:pt idx="7">
                  <c:v>3.7399372859909183</c:v>
                </c:pt>
                <c:pt idx="8">
                  <c:v>4.3935377042302655</c:v>
                </c:pt>
                <c:pt idx="9">
                  <c:v>5.0622319291898021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C-441A-A522-FD3DF40F58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68094111"/>
        <c:axId val="968094591"/>
      </c:lineChart>
      <c:catAx>
        <c:axId val="9680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94591"/>
        <c:crosses val="autoZero"/>
        <c:auto val="1"/>
        <c:lblAlgn val="ctr"/>
        <c:lblOffset val="100"/>
        <c:noMultiLvlLbl val="0"/>
      </c:catAx>
      <c:valAx>
        <c:axId val="968094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Analysis'!$B$15</c:f>
              <c:strCache>
                <c:ptCount val="1"/>
                <c:pt idx="0">
                  <c:v>Quick Ratio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Analysis'!$C$15:$L$15</c:f>
              <c:numCache>
                <c:formatCode>0.00"x"</c:formatCode>
                <c:ptCount val="10"/>
                <c:pt idx="1">
                  <c:v>0.92812753309916241</c:v>
                </c:pt>
                <c:pt idx="2">
                  <c:v>0.97499999999999998</c:v>
                </c:pt>
                <c:pt idx="3">
                  <c:v>1.023611572996342</c:v>
                </c:pt>
                <c:pt idx="4">
                  <c:v>1.3127524075799939</c:v>
                </c:pt>
                <c:pt idx="5">
                  <c:v>2.0457825756920838</c:v>
                </c:pt>
                <c:pt idx="6">
                  <c:v>2.7318662634670079</c:v>
                </c:pt>
                <c:pt idx="7">
                  <c:v>3.3996374565542626</c:v>
                </c:pt>
                <c:pt idx="8">
                  <c:v>4.054067961103196</c:v>
                </c:pt>
                <c:pt idx="9">
                  <c:v>4.7233824771616728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1-4359-91D3-3E0276EF53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9130719"/>
        <c:axId val="1059127839"/>
      </c:lineChart>
      <c:catAx>
        <c:axId val="105913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39"/>
        <c:crosses val="autoZero"/>
        <c:auto val="1"/>
        <c:lblAlgn val="ctr"/>
        <c:lblOffset val="100"/>
        <c:noMultiLvlLbl val="0"/>
      </c:catAx>
      <c:valAx>
        <c:axId val="1059127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Analysis'!$B$20</c:f>
              <c:strCache>
                <c:ptCount val="1"/>
                <c:pt idx="0">
                  <c:v>Cash Conversion Cycle (Days)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Analysis'!$C$20:$L$20</c:f>
              <c:numCache>
                <c:formatCode>0</c:formatCode>
                <c:ptCount val="10"/>
                <c:pt idx="1">
                  <c:v>-72.430841791629945</c:v>
                </c:pt>
                <c:pt idx="2">
                  <c:v>-54.956441679341523</c:v>
                </c:pt>
                <c:pt idx="3">
                  <c:v>-42.707889110440831</c:v>
                </c:pt>
                <c:pt idx="4">
                  <c:v>-61.606295367463431</c:v>
                </c:pt>
                <c:pt idx="5">
                  <c:v>-62</c:v>
                </c:pt>
                <c:pt idx="6">
                  <c:v>-62</c:v>
                </c:pt>
                <c:pt idx="7">
                  <c:v>-62</c:v>
                </c:pt>
                <c:pt idx="8">
                  <c:v>-62</c:v>
                </c:pt>
                <c:pt idx="9">
                  <c:v>-62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0-4BA9-84F2-5D991EA29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42291264"/>
        <c:axId val="1042292224"/>
      </c:barChart>
      <c:catAx>
        <c:axId val="104229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292224"/>
        <c:crosses val="autoZero"/>
        <c:auto val="1"/>
        <c:lblAlgn val="ctr"/>
        <c:lblOffset val="100"/>
        <c:noMultiLvlLbl val="0"/>
      </c:catAx>
      <c:valAx>
        <c:axId val="104229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2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Analysis'!$B$26</c:f>
              <c:strCache>
                <c:ptCount val="1"/>
                <c:pt idx="0">
                  <c:v>Debt/Equity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Analysis'!$C$26:$L$26</c:f>
              <c:numCache>
                <c:formatCode>0.000"x"</c:formatCode>
                <c:ptCount val="10"/>
                <c:pt idx="1">
                  <c:v>2.1155700926741308E-2</c:v>
                </c:pt>
                <c:pt idx="2">
                  <c:v>2.1247988265732272E-2</c:v>
                </c:pt>
                <c:pt idx="3">
                  <c:v>2.4128102608764499E-2</c:v>
                </c:pt>
                <c:pt idx="4">
                  <c:v>2.8858681912762772E-2</c:v>
                </c:pt>
                <c:pt idx="5">
                  <c:v>2.1332788954338034E-2</c:v>
                </c:pt>
                <c:pt idx="6">
                  <c:v>1.8653451672083345E-2</c:v>
                </c:pt>
                <c:pt idx="7">
                  <c:v>1.6653226483329765E-2</c:v>
                </c:pt>
                <c:pt idx="8">
                  <c:v>1.5089242280089638E-2</c:v>
                </c:pt>
                <c:pt idx="9">
                  <c:v>1.375970406488938E-2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A-49B3-A605-6D53ED7F74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1180255"/>
        <c:axId val="1011180735"/>
      </c:lineChart>
      <c:catAx>
        <c:axId val="101118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80735"/>
        <c:crosses val="autoZero"/>
        <c:auto val="1"/>
        <c:lblAlgn val="ctr"/>
        <c:lblOffset val="100"/>
        <c:noMultiLvlLbl val="0"/>
      </c:catAx>
      <c:valAx>
        <c:axId val="101118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8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Analysis'!$B$30</c:f>
              <c:strCache>
                <c:ptCount val="1"/>
                <c:pt idx="0">
                  <c:v>Debt/ Total Assets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Analysis'!$C$30:$L$30</c:f>
              <c:numCache>
                <c:formatCode>0.000"x"</c:formatCode>
                <c:ptCount val="10"/>
                <c:pt idx="1">
                  <c:v>1.4674869467836003E-2</c:v>
                </c:pt>
                <c:pt idx="2">
                  <c:v>1.4790759674971992E-2</c:v>
                </c:pt>
                <c:pt idx="3">
                  <c:v>1.6678752719361856E-2</c:v>
                </c:pt>
                <c:pt idx="4">
                  <c:v>1.8904699422922586E-2</c:v>
                </c:pt>
                <c:pt idx="5">
                  <c:v>1.4767120382122478E-2</c:v>
                </c:pt>
                <c:pt idx="6">
                  <c:v>1.3431617932568345E-2</c:v>
                </c:pt>
                <c:pt idx="7">
                  <c:v>1.2362431305290059E-2</c:v>
                </c:pt>
                <c:pt idx="8">
                  <c:v>1.1479185644075721E-2</c:v>
                </c:pt>
                <c:pt idx="9">
                  <c:v>1.0693152026977079E-2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C-44EF-A1D6-D69FFFB8AD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0314239"/>
        <c:axId val="891412351"/>
      </c:lineChart>
      <c:catAx>
        <c:axId val="106031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412351"/>
        <c:crosses val="autoZero"/>
        <c:auto val="1"/>
        <c:lblAlgn val="ctr"/>
        <c:lblOffset val="100"/>
        <c:noMultiLvlLbl val="0"/>
      </c:catAx>
      <c:valAx>
        <c:axId val="891412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31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Analysis'!$B$34</c:f>
              <c:strCache>
                <c:ptCount val="1"/>
                <c:pt idx="0">
                  <c:v>Equity/Total Assets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Analysis'!$C$34:$L$34</c:f>
              <c:numCache>
                <c:formatCode>0.000"x"</c:formatCode>
                <c:ptCount val="10"/>
                <c:pt idx="1">
                  <c:v>0.6936602818622104</c:v>
                </c:pt>
                <c:pt idx="2">
                  <c:v>0.69610164924769913</c:v>
                </c:pt>
                <c:pt idx="3">
                  <c:v>0.69125836332042634</c:v>
                </c:pt>
                <c:pt idx="4">
                  <c:v>0.65507840864214828</c:v>
                </c:pt>
                <c:pt idx="5">
                  <c:v>0.69222643198368938</c:v>
                </c:pt>
                <c:pt idx="6">
                  <c:v>0.72006072488289297</c:v>
                </c:pt>
                <c:pt idx="7">
                  <c:v>0.74234451309871485</c:v>
                </c:pt>
                <c:pt idx="8">
                  <c:v>0.76075295438940549</c:v>
                </c:pt>
                <c:pt idx="9">
                  <c:v>0.77713532039273892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D-4F66-BCAE-DFA5250C21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0671247"/>
        <c:axId val="914609391"/>
      </c:lineChart>
      <c:catAx>
        <c:axId val="91067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09391"/>
        <c:crosses val="autoZero"/>
        <c:auto val="1"/>
        <c:lblAlgn val="ctr"/>
        <c:lblOffset val="100"/>
        <c:noMultiLvlLbl val="0"/>
      </c:catAx>
      <c:valAx>
        <c:axId val="914609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7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Analysis'!$B$60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Analysis'!$C$60:$L$60</c:f>
              <c:numCache>
                <c:formatCode>0.00%</c:formatCode>
                <c:ptCount val="10"/>
                <c:pt idx="1">
                  <c:v>0.52904652547418562</c:v>
                </c:pt>
                <c:pt idx="2">
                  <c:v>0.50930480875567252</c:v>
                </c:pt>
                <c:pt idx="3">
                  <c:v>0.4764608781776164</c:v>
                </c:pt>
                <c:pt idx="4">
                  <c:v>0.51919348584722758</c:v>
                </c:pt>
                <c:pt idx="5">
                  <c:v>0.51</c:v>
                </c:pt>
                <c:pt idx="6">
                  <c:v>0.51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B-423D-963E-6FDF0A1201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5678431"/>
        <c:axId val="995677951"/>
      </c:lineChart>
      <c:catAx>
        <c:axId val="99567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77951"/>
        <c:crosses val="autoZero"/>
        <c:auto val="1"/>
        <c:lblAlgn val="ctr"/>
        <c:lblOffset val="100"/>
        <c:noMultiLvlLbl val="0"/>
      </c:catAx>
      <c:valAx>
        <c:axId val="995677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Analysis'!$B$64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Analysis'!$C$64:$L$64</c:f>
              <c:numCache>
                <c:formatCode>0.00%</c:formatCode>
                <c:ptCount val="10"/>
                <c:pt idx="1">
                  <c:v>0.25593263587649911</c:v>
                </c:pt>
                <c:pt idx="2">
                  <c:v>0.2500667353086985</c:v>
                </c:pt>
                <c:pt idx="3">
                  <c:v>0.24199405744470123</c:v>
                </c:pt>
                <c:pt idx="4">
                  <c:v>0.25</c:v>
                </c:pt>
                <c:pt idx="5">
                  <c:v>0.25099999999999989</c:v>
                </c:pt>
                <c:pt idx="6">
                  <c:v>0.251</c:v>
                </c:pt>
                <c:pt idx="7">
                  <c:v>0.25100000000000006</c:v>
                </c:pt>
                <c:pt idx="8">
                  <c:v>0.251</c:v>
                </c:pt>
                <c:pt idx="9">
                  <c:v>0.25100000000000006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0-49D7-86FD-BD8871E927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9885743"/>
        <c:axId val="589886223"/>
      </c:lineChart>
      <c:catAx>
        <c:axId val="5898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6223"/>
        <c:crosses val="autoZero"/>
        <c:auto val="1"/>
        <c:lblAlgn val="ctr"/>
        <c:lblOffset val="100"/>
        <c:noMultiLvlLbl val="0"/>
      </c:catAx>
      <c:valAx>
        <c:axId val="58988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Net Income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Analysis'!$B$72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'Ratio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'Ratio Analysis'!$C$72:$L$72</c:f>
              <c:numCache>
                <c:formatCode>0.00%</c:formatCode>
                <c:ptCount val="10"/>
                <c:pt idx="1">
                  <c:v>0.17000510334268945</c:v>
                </c:pt>
                <c:pt idx="2">
                  <c:v>0.16929794455249209</c:v>
                </c:pt>
                <c:pt idx="3">
                  <c:v>0.16705183228788378</c:v>
                </c:pt>
                <c:pt idx="4">
                  <c:v>0.16603657748481324</c:v>
                </c:pt>
                <c:pt idx="5">
                  <c:v>0.1733942353525891</c:v>
                </c:pt>
                <c:pt idx="6">
                  <c:v>0.17154540878224966</c:v>
                </c:pt>
                <c:pt idx="7">
                  <c:v>0.16975392765162367</c:v>
                </c:pt>
                <c:pt idx="8">
                  <c:v>0.16799918747871734</c:v>
                </c:pt>
                <c:pt idx="9">
                  <c:v>0.16617169179756935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9-43A5-8CA6-00313B5C3D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21103423"/>
        <c:axId val="1021101503"/>
      </c:lineChart>
      <c:catAx>
        <c:axId val="102110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01503"/>
        <c:crosses val="autoZero"/>
        <c:auto val="1"/>
        <c:lblAlgn val="ctr"/>
        <c:lblOffset val="100"/>
        <c:noMultiLvlLbl val="0"/>
      </c:catAx>
      <c:valAx>
        <c:axId val="1021101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0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'DuPont Analysis'!$B$8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'DuPont Analysis'!$C$3:$L$3</c:f>
              <c:numCache>
                <c:formatCode>0"A"</c:formatCode>
                <c:ptCount val="10"/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  <c:pt idx="8" formatCode="0&quot;F&quot;">
                  <c:v>2028</c:v>
                </c:pt>
                <c:pt idx="9" formatCode="0&quot;F&quot;">
                  <c:v>2029</c:v>
                </c:pt>
              </c:numCache>
            </c:numRef>
          </c:cat>
          <c:val>
            <c:numRef>
              <c:f>'DuPont Analysis'!$C$8:$L$8</c:f>
              <c:numCache>
                <c:formatCode>General</c:formatCode>
                <c:ptCount val="10"/>
                <c:pt idx="2" formatCode="0.00%">
                  <c:v>0.18348642812122215</c:v>
                </c:pt>
                <c:pt idx="3" formatCode="0.00%">
                  <c:v>0.20319449045768956</c:v>
                </c:pt>
                <c:pt idx="4" formatCode="0.00%">
                  <c:v>0.20161851979008288</c:v>
                </c:pt>
                <c:pt idx="5" formatCode="0.00%">
                  <c:v>0.19315323103897472</c:v>
                </c:pt>
                <c:pt idx="6" formatCode="0.00%">
                  <c:v>0.16494365459145682</c:v>
                </c:pt>
                <c:pt idx="7" formatCode="0.00%">
                  <c:v>0.14433140371646977</c:v>
                </c:pt>
                <c:pt idx="8" formatCode="0.00%">
                  <c:v>0.12846720823465246</c:v>
                </c:pt>
                <c:pt idx="9" formatCode="0.00%">
                  <c:v>0.11514833827512187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1-416F-A58B-BB4DC5C863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5835024"/>
        <c:axId val="1035846064"/>
      </c:lineChart>
      <c:catAx>
        <c:axId val="103583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46064"/>
        <c:crosses val="autoZero"/>
        <c:auto val="1"/>
        <c:lblAlgn val="ctr"/>
        <c:lblOffset val="100"/>
        <c:noMultiLvlLbl val="0"/>
      </c:catAx>
      <c:valAx>
        <c:axId val="10358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3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301623</xdr:colOff>
      <xdr:row>0</xdr:row>
      <xdr:rowOff>134945</xdr:rowOff>
    </xdr:from>
    <xdr:to>
      <xdr:col>17</xdr:col>
      <xdr:colOff>111125</xdr:colOff>
      <xdr:row>12</xdr:row>
      <xdr:rowOff>111133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508E7-F805-08C1-5F7B-167945059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86" y="134945"/>
          <a:ext cx="5310189" cy="2778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472278</xdr:colOff>
      <xdr:row>2</xdr:row>
      <xdr:rowOff>84928</xdr:rowOff>
    </xdr:from>
    <xdr:to>
      <xdr:col>21</xdr:col>
      <xdr:colOff>373060</xdr:colOff>
      <xdr:row>19</xdr:row>
      <xdr:rowOff>39684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16A8F6-604B-8398-0DC4-BAC597832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392904</xdr:colOff>
      <xdr:row>0</xdr:row>
      <xdr:rowOff>164306</xdr:rowOff>
    </xdr:from>
    <xdr:to>
      <xdr:col>22</xdr:col>
      <xdr:colOff>238124</xdr:colOff>
      <xdr:row>15</xdr:row>
      <xdr:rowOff>89693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D3D36-8CA0-9886-AF2F-F3E0ADE8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337342</xdr:colOff>
      <xdr:row>1</xdr:row>
      <xdr:rowOff>13493</xdr:rowOff>
    </xdr:from>
    <xdr:to>
      <xdr:col>22</xdr:col>
      <xdr:colOff>460374</xdr:colOff>
      <xdr:row>15</xdr:row>
      <xdr:rowOff>184943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21157-5409-2D0D-129A-790C8B9A8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250031</xdr:colOff>
      <xdr:row>2</xdr:row>
      <xdr:rowOff>61119</xdr:rowOff>
    </xdr:from>
    <xdr:to>
      <xdr:col>8</xdr:col>
      <xdr:colOff>543718</xdr:colOff>
      <xdr:row>17</xdr:row>
      <xdr:rowOff>65881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FD6D1-092A-17DB-168A-F1C19B0EC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2</xdr:row>
      <xdr:rowOff>111125</xdr:rowOff>
    </xdr:from>
    <xdr:to>
      <xdr:col>8</xdr:col>
      <xdr:colOff>31750</xdr:colOff>
      <xdr:row>13</xdr:row>
      <xdr:rowOff>103187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8E1F5-CAEF-428F-BDE0-10B5D3501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492123</xdr:colOff>
      <xdr:row>2</xdr:row>
      <xdr:rowOff>111126</xdr:rowOff>
    </xdr:from>
    <xdr:to>
      <xdr:col>15</xdr:col>
      <xdr:colOff>150812</xdr:colOff>
      <xdr:row>13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BF2047-80BD-4CE4-91CA-331D22C3F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71429</xdr:colOff>
      <xdr:row>2</xdr:row>
      <xdr:rowOff>103188</xdr:rowOff>
    </xdr:from>
    <xdr:to>
      <xdr:col>22</xdr:col>
      <xdr:colOff>206366</xdr:colOff>
      <xdr:row>13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86BBD5-8A9B-42EF-9EAC-093EBB299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71438</xdr:colOff>
      <xdr:row>15</xdr:row>
      <xdr:rowOff>0</xdr:rowOff>
    </xdr:from>
    <xdr:to>
      <xdr:col>8</xdr:col>
      <xdr:colOff>47625</xdr:colOff>
      <xdr:row>26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BE8C53-79F0-4B25-96AD-923794285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492125</xdr:colOff>
      <xdr:row>14</xdr:row>
      <xdr:rowOff>174625</xdr:rowOff>
    </xdr:from>
    <xdr:to>
      <xdr:col>15</xdr:col>
      <xdr:colOff>174625</xdr:colOff>
      <xdr:row>26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FFACFB-B8F2-42A1-B7C5-368B76395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47625</xdr:colOff>
      <xdr:row>14</xdr:row>
      <xdr:rowOff>166688</xdr:rowOff>
    </xdr:from>
    <xdr:to>
      <xdr:col>22</xdr:col>
      <xdr:colOff>254000</xdr:colOff>
      <xdr:row>26</xdr:row>
      <xdr:rowOff>103188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261EE1-0A90-4A6C-AE1A-C45E656D8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79375</xdr:colOff>
      <xdr:row>27</xdr:row>
      <xdr:rowOff>142875</xdr:rowOff>
    </xdr:from>
    <xdr:to>
      <xdr:col>8</xdr:col>
      <xdr:colOff>79375</xdr:colOff>
      <xdr:row>40</xdr:row>
      <xdr:rowOff>71438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710E22-4CDE-4F0C-A034-427A8A292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508000</xdr:colOff>
      <xdr:row>27</xdr:row>
      <xdr:rowOff>166687</xdr:rowOff>
    </xdr:from>
    <xdr:to>
      <xdr:col>15</xdr:col>
      <xdr:colOff>198438</xdr:colOff>
      <xdr:row>40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E22AF53-AC07-48B2-A2A1-CF7E9B826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31750</xdr:colOff>
      <xdr:row>28</xdr:row>
      <xdr:rowOff>7938</xdr:rowOff>
    </xdr:from>
    <xdr:to>
      <xdr:col>22</xdr:col>
      <xdr:colOff>317500</xdr:colOff>
      <xdr:row>40</xdr:row>
      <xdr:rowOff>119063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6E210A-EB8D-4B86-882A-33AA22A75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456405</xdr:colOff>
      <xdr:row>1</xdr:row>
      <xdr:rowOff>92868</xdr:rowOff>
    </xdr:from>
    <xdr:to>
      <xdr:col>22</xdr:col>
      <xdr:colOff>539749</xdr:colOff>
      <xdr:row>16</xdr:row>
      <xdr:rowOff>65881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A4E7B-E3FD-8EA4-B19A-8FE990873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641C24-C3FF-4D35-9262-B2FEFBAD9508}">
  <we:reference id="wa200002663" version="1.8.0.0" store="en-US" storeType="OMEX"/>
  <we:alternateReferences>
    <we:reference id="WA200002663" version="1.8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PBF</we:customFunctionIds>
        <we:customFunctionIds>PBM</we:customFunctionIds>
        <we:customFunctionIds>PBD</we:customFunctionIds>
        <we:customFunctionIds>PBA</we:customFunctionIds>
        <we:customFunctionIds>PBS</we:customFunctionIds>
        <we:customFunctionIds>PBEQR</we:customFunctionIds>
        <we:customFunctionIds>PBIMAGE</we:customFunctionIds>
        <we:customFunctionIds>PBFS</we:customFunctionIds>
        <we:customFunctionIds>PBMATCHPBID</we:customFunctionIds>
        <we:customFunctionIds>PBMATCHSYMBOL</we:customFunctionIds>
        <we:customFunctionIds>PBR</we:customFunctionIds>
        <we:customFunctionIds>PBCHARTMARKET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E6F1-34DA-41A7-892C-7308571A8CB0}">
  <dimension ref="B2:P56"/>
  <sheetViews>
    <sheetView showGridLines="0" zoomScale="80" zoomScaleNormal="80" workbookViewId="0">
      <selection activeCell="F4" sqref="F4"/>
    </sheetView>
  </sheetViews>
  <sheetFormatPr defaultRowHeight="14.5" x14ac:dyDescent="0.35"/>
  <cols>
    <col min="1" max="1" width="1.81640625" customWidth="1"/>
    <col min="2" max="2" width="31.453125" customWidth="1"/>
    <col min="3" max="3" width="22.6328125" customWidth="1"/>
    <col min="6" max="6" width="32.6328125" bestFit="1" customWidth="1"/>
  </cols>
  <sheetData>
    <row r="2" spans="2:16" ht="18.5" x14ac:dyDescent="0.45">
      <c r="B2" s="112" t="s">
        <v>85</v>
      </c>
      <c r="C2" s="127" t="s">
        <v>86</v>
      </c>
      <c r="D2" s="33"/>
      <c r="E2" s="33"/>
      <c r="F2" s="112" t="s">
        <v>219</v>
      </c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2:16" ht="18.5" x14ac:dyDescent="0.45">
      <c r="B3" s="112" t="s">
        <v>88</v>
      </c>
      <c r="C3" s="128" t="s">
        <v>89</v>
      </c>
      <c r="D3" s="33"/>
      <c r="E3" s="33"/>
      <c r="F3" s="131" t="s">
        <v>220</v>
      </c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2:16" ht="18.5" x14ac:dyDescent="0.45">
      <c r="B4" s="112" t="s">
        <v>87</v>
      </c>
      <c r="C4" s="128" t="s">
        <v>208</v>
      </c>
      <c r="D4" s="33"/>
      <c r="E4" s="33"/>
      <c r="F4" s="131" t="s">
        <v>242</v>
      </c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2:16" ht="18.5" x14ac:dyDescent="0.45">
      <c r="B5" s="112" t="s">
        <v>91</v>
      </c>
      <c r="C5" s="129">
        <v>6.9900000000000004E-2</v>
      </c>
      <c r="D5" s="33"/>
      <c r="E5" s="33"/>
      <c r="F5" s="131" t="s">
        <v>240</v>
      </c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2:16" ht="18.5" x14ac:dyDescent="0.45">
      <c r="B6" s="112" t="s">
        <v>92</v>
      </c>
      <c r="C6" s="128">
        <v>0.21</v>
      </c>
      <c r="D6" s="33"/>
      <c r="E6" s="33"/>
      <c r="F6" s="131" t="s">
        <v>241</v>
      </c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2:16" ht="18.5" x14ac:dyDescent="0.45">
      <c r="B7" s="112" t="s">
        <v>93</v>
      </c>
      <c r="C7" s="129">
        <v>1.55E-2</v>
      </c>
      <c r="D7" s="33"/>
      <c r="E7" s="33"/>
      <c r="F7" s="131" t="s">
        <v>243</v>
      </c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2:16" ht="18.5" x14ac:dyDescent="0.45">
      <c r="B8" s="112" t="s">
        <v>120</v>
      </c>
      <c r="C8" s="129">
        <v>2.3900000000000001E-2</v>
      </c>
      <c r="D8" s="33"/>
      <c r="E8" s="33"/>
      <c r="F8" s="131" t="s">
        <v>244</v>
      </c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2:16" ht="18.5" x14ac:dyDescent="0.45">
      <c r="B9" s="112" t="s">
        <v>121</v>
      </c>
      <c r="C9" s="129">
        <v>5.8999999999999999E-3</v>
      </c>
      <c r="D9" s="33"/>
      <c r="E9" s="33"/>
      <c r="F9" s="131" t="s">
        <v>245</v>
      </c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2:16" ht="18.5" x14ac:dyDescent="0.45">
      <c r="B10" s="112" t="s">
        <v>94</v>
      </c>
      <c r="C10" s="129">
        <v>0.25169999999999998</v>
      </c>
      <c r="D10" s="33"/>
      <c r="E10" s="33"/>
      <c r="F10" s="131" t="s">
        <v>246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2:16" ht="18.5" x14ac:dyDescent="0.45">
      <c r="B11" s="112" t="s">
        <v>97</v>
      </c>
      <c r="C11" s="130">
        <v>2349.5912619999999</v>
      </c>
      <c r="D11" s="33"/>
      <c r="E11" s="33"/>
      <c r="F11" s="131" t="s">
        <v>247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2:16" ht="18.5" x14ac:dyDescent="0.45">
      <c r="B12" s="112" t="s">
        <v>98</v>
      </c>
      <c r="C12" s="128">
        <v>2711</v>
      </c>
      <c r="D12" s="33"/>
      <c r="E12" s="33"/>
      <c r="F12" s="131" t="s">
        <v>248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2:16" ht="18.5" x14ac:dyDescent="0.45">
      <c r="B13" s="33"/>
      <c r="C13" s="33"/>
      <c r="D13" s="33"/>
      <c r="E13" s="33"/>
      <c r="F13" s="131" t="s">
        <v>249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2:16" ht="18.5" x14ac:dyDescent="0.45">
      <c r="C14" s="33"/>
      <c r="D14" s="33"/>
      <c r="E14" s="33"/>
      <c r="F14" s="131" t="s">
        <v>250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2:16" ht="18.5" x14ac:dyDescent="0.45">
      <c r="C15" s="33"/>
      <c r="D15" s="33"/>
      <c r="E15" s="33"/>
      <c r="F15" s="131" t="s">
        <v>251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2:16" ht="18.5" x14ac:dyDescent="0.45">
      <c r="C16" s="33"/>
      <c r="D16" s="33"/>
      <c r="E16" s="33"/>
      <c r="F16" s="131" t="s">
        <v>252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2:16" ht="16" x14ac:dyDescent="0.4"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2:16" ht="16" x14ac:dyDescent="0.4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2:16" ht="16" x14ac:dyDescent="0.4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2:16" ht="16" x14ac:dyDescent="0.4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spans="2:16" ht="16" x14ac:dyDescent="0.4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2:16" ht="16" x14ac:dyDescent="0.4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2:16" ht="16" x14ac:dyDescent="0.4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2:16" ht="16" x14ac:dyDescent="0.4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2:16" ht="16" x14ac:dyDescent="0.4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2:16" ht="16" x14ac:dyDescent="0.4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2:16" ht="16" x14ac:dyDescent="0.4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2:16" ht="16" x14ac:dyDescent="0.4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2:16" ht="16" x14ac:dyDescent="0.4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2:16" ht="16" x14ac:dyDescent="0.4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2:16" ht="16" x14ac:dyDescent="0.4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2:16" ht="16" x14ac:dyDescent="0.4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2:16" ht="16" x14ac:dyDescent="0.4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2:16" ht="16" x14ac:dyDescent="0.4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2:16" ht="16" x14ac:dyDescent="0.4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2:16" ht="16" x14ac:dyDescent="0.4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2:16" ht="16" x14ac:dyDescent="0.4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2:16" ht="16" x14ac:dyDescent="0.4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2:16" ht="16" x14ac:dyDescent="0.4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2:16" ht="16" x14ac:dyDescent="0.4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2:16" ht="16" x14ac:dyDescent="0.4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2:16" ht="16" x14ac:dyDescent="0.4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2:16" ht="16" x14ac:dyDescent="0.4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2:16" ht="16" x14ac:dyDescent="0.4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2:16" ht="16" x14ac:dyDescent="0.4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2:16" ht="16" x14ac:dyDescent="0.4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2:16" ht="16" x14ac:dyDescent="0.4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</row>
    <row r="48" spans="2:16" ht="16" x14ac:dyDescent="0.4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2:16" ht="16" x14ac:dyDescent="0.4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2:16" ht="16" x14ac:dyDescent="0.4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2:16" ht="16" x14ac:dyDescent="0.4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2:16" ht="16" x14ac:dyDescent="0.4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2:16" ht="16" x14ac:dyDescent="0.4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2:16" ht="16" x14ac:dyDescent="0.4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2:16" ht="16" x14ac:dyDescent="0.4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2:16" ht="16" x14ac:dyDescent="0.4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</sheetData>
  <hyperlinks>
    <hyperlink ref="F3" location="'Income Statement'!A1" display="1. Income Statement" xr:uid="{38E219C4-609F-4272-9CF8-CDF3A9A2F779}"/>
    <hyperlink ref="F4" location="'Revenues By Segment'!A1" display="2. Revenue By Segment " xr:uid="{525D4A57-CE6C-4F54-8A3F-73098C6D70AA}"/>
    <hyperlink ref="F5" location="'Gross Profit Margin'!A1" display="3. Gross Profit Margin" xr:uid="{C602E719-F017-464B-A731-90013DF62DAC}"/>
    <hyperlink ref="F6" location="'Balance Sheet'!A1" display="4. Balance Sheet" xr:uid="{0845A2F4-2845-4F50-8B63-1A9522B9308A}"/>
    <hyperlink ref="F7" location="'Cash Flow'!A1" display="5. Cash Flow" xr:uid="{C6C573FE-FE8C-4ACB-98A0-31881F8F0F4D}"/>
    <hyperlink ref="F8" location="'Working Capital'!A1" display="6. Working Capital" xr:uid="{81152A50-25E7-46C3-AD53-FF1B413FC0C4}"/>
    <hyperlink ref="F9" location="'Fixed Asset Rollover'!A1" display="7. Fixed Asset Rollover" xr:uid="{BFA10983-ED1B-4863-8FAE-B5A40E71535C}"/>
    <hyperlink ref="F10" location="WACC!A1" display="8. Weighted Average Cost of Capital" xr:uid="{C5225095-57C1-4971-B44B-DCC1888A2421}"/>
    <hyperlink ref="F11" location="DCF!A1" display="9. Discounted Cash Flow Valuation" xr:uid="{5282A7C6-0F6E-4939-81E2-F6D8FA2FBD2C}"/>
    <hyperlink ref="F12" location="'Football Field Analysis'!A1" display="10. Football Field Analysis" xr:uid="{F79EAFE8-64F1-451E-AEF6-6301667FFECB}"/>
    <hyperlink ref="F13" location="'Ratio Analysis'!A1" display="11. Ratio Analysis" xr:uid="{48DFABF9-89BB-4388-82FF-FDC3E0018693}"/>
    <hyperlink ref="F14" location="Charts!A1" display="12. Charts" xr:uid="{F3610DE4-AAD4-422B-9FBC-7A0D7CDAF7F4}"/>
    <hyperlink ref="F15" location="'DuPont Analysis'!A1" display="13. DuPont Analysis" xr:uid="{88FEC4E6-6584-4D7C-B659-F3DD54E9B50A}"/>
    <hyperlink ref="F16" location="'Relative Valuation'!A1" display="14. Relative Valuation" xr:uid="{F136C45E-312B-4709-92FD-B90DE4852B8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5D47-84E3-4C6E-B6BB-E49D87A8BF61}">
  <sheetPr>
    <tabColor rgb="FFFF0000"/>
  </sheetPr>
  <dimension ref="B1:N44"/>
  <sheetViews>
    <sheetView showGridLines="0" tabSelected="1" zoomScale="80" zoomScaleNormal="80" workbookViewId="0">
      <selection activeCell="H16" sqref="H16"/>
    </sheetView>
  </sheetViews>
  <sheetFormatPr defaultRowHeight="14.5" x14ac:dyDescent="0.35"/>
  <cols>
    <col min="1" max="1" width="1.81640625" customWidth="1"/>
    <col min="2" max="2" width="25.6328125" customWidth="1"/>
    <col min="4" max="12" width="9.1796875" bestFit="1" customWidth="1"/>
  </cols>
  <sheetData>
    <row r="1" spans="2:12" ht="19.5" x14ac:dyDescent="0.45">
      <c r="B1" s="30" t="str">
        <f>"Income Statement - " &amp;Drivers!C2</f>
        <v>Income Statement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x14ac:dyDescent="0.35">
      <c r="B3" s="27" t="s">
        <v>238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s="126" t="s">
        <v>239</v>
      </c>
    </row>
    <row r="5" spans="2:12" x14ac:dyDescent="0.35">
      <c r="B5" t="s">
        <v>1</v>
      </c>
      <c r="D5" s="8">
        <v>470280</v>
      </c>
      <c r="E5" s="8">
        <v>524460</v>
      </c>
      <c r="F5" s="8">
        <v>605800</v>
      </c>
      <c r="G5" s="8">
        <v>618960</v>
      </c>
      <c r="H5" s="6">
        <f>'Revenues By Segment'!H19</f>
        <v>634064.44999999995</v>
      </c>
      <c r="I5" s="6">
        <f>'Revenues By Segment'!I19</f>
        <v>654097.01575000002</v>
      </c>
      <c r="J5" s="6">
        <f>'Revenues By Segment'!J19</f>
        <v>674796.52521875</v>
      </c>
      <c r="K5" s="6">
        <f>'Revenues By Segment'!K19</f>
        <v>695362.72039922501</v>
      </c>
      <c r="L5" s="6">
        <f>'Revenues By Segment'!L19</f>
        <v>711568.50762187853</v>
      </c>
    </row>
    <row r="6" spans="2:12" x14ac:dyDescent="0.35">
      <c r="B6" t="s">
        <v>2</v>
      </c>
      <c r="D6" s="8">
        <v>-221480</v>
      </c>
      <c r="E6" s="8">
        <v>-257350</v>
      </c>
      <c r="F6" s="8">
        <v>-317160</v>
      </c>
      <c r="G6" s="8">
        <v>-297600</v>
      </c>
      <c r="H6" s="6">
        <f>'Gross Profit Margin'!H7</f>
        <v>-310691.58049999998</v>
      </c>
      <c r="I6" s="6">
        <f>'Gross Profit Margin'!I7</f>
        <v>-320507.5377175</v>
      </c>
      <c r="J6" s="6">
        <f>'Gross Profit Margin'!J7</f>
        <v>-330650.29735718749</v>
      </c>
      <c r="K6" s="6">
        <f>'Gross Profit Margin'!K7</f>
        <v>-340727.73299562023</v>
      </c>
      <c r="L6" s="6">
        <f>'Gross Profit Margin'!L7</f>
        <v>-348668.56873472047</v>
      </c>
    </row>
    <row r="7" spans="2:12" x14ac:dyDescent="0.35">
      <c r="D7" s="6"/>
      <c r="E7" s="6"/>
      <c r="F7" s="6"/>
      <c r="G7" s="6"/>
      <c r="H7" s="6"/>
      <c r="I7" s="6"/>
      <c r="J7" s="6"/>
      <c r="K7" s="6"/>
      <c r="L7" s="6"/>
    </row>
    <row r="8" spans="2:12" ht="15" thickBot="1" x14ac:dyDescent="0.4">
      <c r="B8" s="4" t="s">
        <v>3</v>
      </c>
      <c r="C8" s="4"/>
      <c r="D8" s="7">
        <f>SUM(D5:D6)</f>
        <v>248800</v>
      </c>
      <c r="E8" s="7">
        <f t="shared" ref="E8:L8" si="1">SUM(E5:E6)</f>
        <v>267110</v>
      </c>
      <c r="F8" s="7">
        <f t="shared" si="1"/>
        <v>288640</v>
      </c>
      <c r="G8" s="7">
        <f t="shared" si="1"/>
        <v>321360</v>
      </c>
      <c r="H8" s="7">
        <f t="shared" si="1"/>
        <v>323372.86949999997</v>
      </c>
      <c r="I8" s="7">
        <f t="shared" si="1"/>
        <v>333589.47803250002</v>
      </c>
      <c r="J8" s="7">
        <f t="shared" si="1"/>
        <v>344146.22786156251</v>
      </c>
      <c r="K8" s="7">
        <f t="shared" si="1"/>
        <v>354634.98740360478</v>
      </c>
      <c r="L8" s="7">
        <f t="shared" si="1"/>
        <v>362899.93888715806</v>
      </c>
    </row>
    <row r="9" spans="2:12" ht="15" thickTop="1" x14ac:dyDescent="0.35">
      <c r="D9" s="6"/>
      <c r="E9" s="6"/>
      <c r="F9" s="6"/>
      <c r="G9" s="6"/>
      <c r="H9" s="6"/>
      <c r="I9" s="6"/>
      <c r="J9" s="6"/>
      <c r="K9" s="6"/>
      <c r="L9" s="6"/>
    </row>
    <row r="10" spans="2:12" x14ac:dyDescent="0.35">
      <c r="B10" t="s">
        <v>4</v>
      </c>
      <c r="D10" s="8">
        <v>-23580</v>
      </c>
      <c r="E10" s="8">
        <v>-25450</v>
      </c>
      <c r="F10" s="8">
        <v>-28540</v>
      </c>
      <c r="G10" s="8">
        <v>-30090</v>
      </c>
      <c r="H10" s="6">
        <f>-H5*H40</f>
        <v>-30435.0936</v>
      </c>
      <c r="I10" s="6">
        <f t="shared" ref="I10:L10" si="2">-I5*I40</f>
        <v>-31396.656756</v>
      </c>
      <c r="J10" s="6">
        <f t="shared" si="2"/>
        <v>-32390.233210500002</v>
      </c>
      <c r="K10" s="6">
        <f t="shared" si="2"/>
        <v>-33377.410579162803</v>
      </c>
      <c r="L10" s="6">
        <f t="shared" si="2"/>
        <v>-34155.288365850167</v>
      </c>
    </row>
    <row r="11" spans="2:12" x14ac:dyDescent="0.35">
      <c r="B11" t="s">
        <v>5</v>
      </c>
      <c r="D11" s="8">
        <v>-108960</v>
      </c>
      <c r="E11" s="8">
        <v>-113090</v>
      </c>
      <c r="F11" s="8">
        <v>-118620</v>
      </c>
      <c r="G11" s="8">
        <v>-144640</v>
      </c>
      <c r="H11" s="6">
        <f>-H5*H41</f>
        <v>-139494.179</v>
      </c>
      <c r="I11" s="6">
        <f t="shared" ref="I11:L11" si="3">-I5*I41</f>
        <v>-143901.34346500001</v>
      </c>
      <c r="J11" s="6">
        <f t="shared" si="3"/>
        <v>-148455.235548125</v>
      </c>
      <c r="K11" s="6">
        <f t="shared" si="3"/>
        <v>-152979.79848782951</v>
      </c>
      <c r="L11" s="6">
        <f t="shared" si="3"/>
        <v>-156545.07167681327</v>
      </c>
    </row>
    <row r="12" spans="2:12" x14ac:dyDescent="0.35">
      <c r="B12" t="s">
        <v>6</v>
      </c>
      <c r="D12" s="8">
        <v>4100</v>
      </c>
      <c r="E12" s="8">
        <v>2580</v>
      </c>
      <c r="F12" s="8">
        <v>5120</v>
      </c>
      <c r="G12" s="8">
        <v>8110</v>
      </c>
      <c r="H12" s="6">
        <f>H5*H42</f>
        <v>5706.5800499999996</v>
      </c>
      <c r="I12" s="6">
        <f t="shared" ref="I12:L12" si="4">I5*I42</f>
        <v>5886.8731417499994</v>
      </c>
      <c r="J12" s="6">
        <f t="shared" si="4"/>
        <v>6073.16872696875</v>
      </c>
      <c r="K12" s="6">
        <f t="shared" si="4"/>
        <v>6258.264483593025</v>
      </c>
      <c r="L12" s="6">
        <f t="shared" si="4"/>
        <v>6404.1165685969063</v>
      </c>
    </row>
    <row r="13" spans="2:12" x14ac:dyDescent="0.35">
      <c r="D13" s="6"/>
      <c r="E13" s="6"/>
      <c r="F13" s="6"/>
      <c r="G13" s="6"/>
      <c r="H13" s="6"/>
      <c r="I13" s="6"/>
      <c r="J13" s="6"/>
      <c r="K13" s="6"/>
      <c r="L13" s="6"/>
    </row>
    <row r="14" spans="2:12" ht="15" thickBot="1" x14ac:dyDescent="0.4">
      <c r="B14" s="4" t="s">
        <v>7</v>
      </c>
      <c r="C14" s="4"/>
      <c r="D14" s="7">
        <f>SUM(D8:D12)</f>
        <v>120360</v>
      </c>
      <c r="E14" s="7">
        <f t="shared" ref="E14:L14" si="5">SUM(E8:E12)</f>
        <v>131150</v>
      </c>
      <c r="F14" s="7">
        <f t="shared" si="5"/>
        <v>146600</v>
      </c>
      <c r="G14" s="7">
        <f t="shared" si="5"/>
        <v>154740</v>
      </c>
      <c r="H14" s="7">
        <f t="shared" si="5"/>
        <v>159150.17694999994</v>
      </c>
      <c r="I14" s="7">
        <f t="shared" si="5"/>
        <v>164178.35095324999</v>
      </c>
      <c r="J14" s="7">
        <f t="shared" si="5"/>
        <v>169373.92782990629</v>
      </c>
      <c r="K14" s="7">
        <f t="shared" si="5"/>
        <v>174536.04282020548</v>
      </c>
      <c r="L14" s="7">
        <f t="shared" si="5"/>
        <v>178603.69541309154</v>
      </c>
    </row>
    <row r="15" spans="2:12" ht="15" thickTop="1" x14ac:dyDescent="0.35"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35">
      <c r="B16" t="s">
        <v>8</v>
      </c>
      <c r="D16" s="8">
        <v>-10740</v>
      </c>
      <c r="E16" s="8">
        <v>-10910</v>
      </c>
      <c r="F16" s="8">
        <v>-11370</v>
      </c>
      <c r="G16" s="8">
        <v>-12160</v>
      </c>
      <c r="H16" s="6">
        <f>'Fixed Asset Rollover'!H21</f>
        <v>-10958.19335</v>
      </c>
      <c r="I16" s="6">
        <f>'Fixed Asset Rollover'!I21</f>
        <v>-12920.48439725</v>
      </c>
      <c r="J16" s="6">
        <f>'Fixed Asset Rollover'!J21</f>
        <v>-14944.873972906251</v>
      </c>
      <c r="K16" s="6">
        <f>'Fixed Asset Rollover'!K21</f>
        <v>-17030.962134103927</v>
      </c>
      <c r="L16" s="6">
        <f>'Fixed Asset Rollover'!L21</f>
        <v>-19165.667656969563</v>
      </c>
    </row>
    <row r="17" spans="2:14" x14ac:dyDescent="0.35">
      <c r="D17" s="6"/>
      <c r="E17" s="6"/>
      <c r="F17" s="6"/>
      <c r="G17" s="6"/>
      <c r="H17" s="6"/>
      <c r="I17" s="6"/>
      <c r="J17" s="6"/>
      <c r="K17" s="6"/>
      <c r="L17" s="6"/>
    </row>
    <row r="18" spans="2:14" ht="15" thickBot="1" x14ac:dyDescent="0.4">
      <c r="B18" s="4" t="s">
        <v>9</v>
      </c>
      <c r="C18" s="4"/>
      <c r="D18" s="7">
        <f>SUM(D14:D16)</f>
        <v>109620</v>
      </c>
      <c r="E18" s="7">
        <f t="shared" ref="E18:L18" si="6">SUM(E14:E16)</f>
        <v>120240</v>
      </c>
      <c r="F18" s="7">
        <f t="shared" si="6"/>
        <v>135230</v>
      </c>
      <c r="G18" s="7">
        <f t="shared" si="6"/>
        <v>142580</v>
      </c>
      <c r="H18" s="7">
        <f t="shared" si="6"/>
        <v>148191.98359999995</v>
      </c>
      <c r="I18" s="7">
        <f t="shared" si="6"/>
        <v>151257.86655599999</v>
      </c>
      <c r="J18" s="7">
        <f t="shared" si="6"/>
        <v>154429.05385700002</v>
      </c>
      <c r="K18" s="7">
        <f t="shared" si="6"/>
        <v>157505.08068610154</v>
      </c>
      <c r="L18" s="7">
        <f t="shared" si="6"/>
        <v>159438.02775612197</v>
      </c>
    </row>
    <row r="19" spans="2:14" ht="15" thickTop="1" x14ac:dyDescent="0.35">
      <c r="D19" s="6"/>
      <c r="E19" s="6"/>
      <c r="F19" s="6"/>
      <c r="G19" s="6"/>
      <c r="H19" s="6"/>
      <c r="I19" s="6"/>
      <c r="J19" s="6"/>
      <c r="K19" s="6"/>
      <c r="L19" s="6"/>
    </row>
    <row r="20" spans="2:14" x14ac:dyDescent="0.35">
      <c r="B20" t="s">
        <v>62</v>
      </c>
      <c r="D20" s="8">
        <v>-1170</v>
      </c>
      <c r="E20" s="8">
        <v>-1060</v>
      </c>
      <c r="F20" s="8">
        <v>-1140</v>
      </c>
      <c r="G20" s="8">
        <v>-3340</v>
      </c>
      <c r="H20" s="6">
        <f>-H5*H43</f>
        <v>-1268.1288999999999</v>
      </c>
      <c r="I20" s="6">
        <f t="shared" ref="I20:L20" si="7">-I5*I43</f>
        <v>-1308.1940315000002</v>
      </c>
      <c r="J20" s="6">
        <f t="shared" si="7"/>
        <v>-1349.5930504375001</v>
      </c>
      <c r="K20" s="6">
        <f t="shared" si="7"/>
        <v>-1390.7254407984501</v>
      </c>
      <c r="L20" s="6">
        <f t="shared" si="7"/>
        <v>-1423.1370152437571</v>
      </c>
    </row>
    <row r="21" spans="2:14" x14ac:dyDescent="0.35">
      <c r="B21" t="s">
        <v>38</v>
      </c>
      <c r="D21" s="8"/>
      <c r="E21" s="8"/>
      <c r="F21" s="8">
        <v>-10</v>
      </c>
      <c r="G21" s="8">
        <v>-40</v>
      </c>
      <c r="H21" s="6"/>
      <c r="I21" s="6"/>
      <c r="J21" s="6"/>
      <c r="K21" s="6"/>
      <c r="L21" s="6"/>
    </row>
    <row r="22" spans="2:14" x14ac:dyDescent="0.35">
      <c r="B22" t="s">
        <v>39</v>
      </c>
      <c r="D22" s="8">
        <v>-2390</v>
      </c>
      <c r="E22" s="8">
        <v>-440</v>
      </c>
      <c r="F22" s="8">
        <v>-640</v>
      </c>
      <c r="G22" s="8">
        <v>60</v>
      </c>
      <c r="H22" s="6"/>
      <c r="I22" s="6"/>
      <c r="J22" s="6"/>
      <c r="K22" s="6"/>
      <c r="L22" s="6"/>
    </row>
    <row r="23" spans="2:14" x14ac:dyDescent="0.35">
      <c r="D23" s="6"/>
      <c r="E23" s="6"/>
      <c r="F23" s="6"/>
      <c r="G23" s="6"/>
      <c r="H23" s="6"/>
      <c r="I23" s="6"/>
      <c r="J23" s="6"/>
      <c r="K23" s="6"/>
      <c r="L23" s="6"/>
    </row>
    <row r="24" spans="2:14" ht="15" thickBot="1" x14ac:dyDescent="0.4">
      <c r="B24" s="4" t="s">
        <v>10</v>
      </c>
      <c r="C24" s="4"/>
      <c r="D24" s="7">
        <f>SUM(D18:D22)</f>
        <v>106060</v>
      </c>
      <c r="E24" s="7">
        <f t="shared" ref="E24:L24" si="8">SUM(E18:E22)</f>
        <v>118740</v>
      </c>
      <c r="F24" s="7">
        <f t="shared" si="8"/>
        <v>133440</v>
      </c>
      <c r="G24" s="7">
        <f t="shared" si="8"/>
        <v>139260</v>
      </c>
      <c r="H24" s="7">
        <f t="shared" si="8"/>
        <v>146923.85469999994</v>
      </c>
      <c r="I24" s="7">
        <f t="shared" si="8"/>
        <v>149949.6725245</v>
      </c>
      <c r="J24" s="7">
        <f t="shared" si="8"/>
        <v>153079.46080656251</v>
      </c>
      <c r="K24" s="7">
        <f t="shared" si="8"/>
        <v>156114.3552453031</v>
      </c>
      <c r="L24" s="7">
        <f t="shared" si="8"/>
        <v>158014.89074087821</v>
      </c>
    </row>
    <row r="25" spans="2:14" ht="15" thickTop="1" x14ac:dyDescent="0.35">
      <c r="D25" s="6"/>
      <c r="E25" s="6"/>
      <c r="F25" s="6"/>
      <c r="G25" s="6"/>
      <c r="H25" s="6"/>
      <c r="I25" s="6"/>
      <c r="J25" s="6"/>
      <c r="K25" s="6"/>
      <c r="L25" s="6"/>
    </row>
    <row r="26" spans="2:14" x14ac:dyDescent="0.35">
      <c r="B26" t="s">
        <v>11</v>
      </c>
      <c r="D26" s="6">
        <v>-26060</v>
      </c>
      <c r="E26" s="6">
        <v>-29870</v>
      </c>
      <c r="F26" s="6">
        <v>-32010</v>
      </c>
      <c r="G26" s="6">
        <v>-36440</v>
      </c>
      <c r="H26" s="6">
        <f>-H24*H44</f>
        <v>-36980.734227989982</v>
      </c>
      <c r="I26" s="6">
        <f t="shared" ref="I26:L26" si="9">-I24*I44</f>
        <v>-37742.332574416643</v>
      </c>
      <c r="J26" s="6">
        <f t="shared" si="9"/>
        <v>-38530.10028501178</v>
      </c>
      <c r="K26" s="6">
        <f t="shared" si="9"/>
        <v>-39293.983215242784</v>
      </c>
      <c r="L26" s="6">
        <f t="shared" si="9"/>
        <v>-39772.34799947904</v>
      </c>
    </row>
    <row r="27" spans="2:14" x14ac:dyDescent="0.35">
      <c r="D27" s="6"/>
      <c r="E27" s="6"/>
      <c r="F27" s="6"/>
      <c r="G27" s="6"/>
      <c r="H27" s="6"/>
      <c r="I27" s="6"/>
      <c r="J27" s="6"/>
      <c r="K27" s="6"/>
      <c r="L27" s="6"/>
    </row>
    <row r="28" spans="2:14" ht="15" thickBot="1" x14ac:dyDescent="0.4">
      <c r="B28" s="4" t="s">
        <v>79</v>
      </c>
      <c r="C28" s="4"/>
      <c r="D28" s="7">
        <f>SUM(D24:D26)</f>
        <v>80000</v>
      </c>
      <c r="E28" s="7">
        <f t="shared" ref="E28:L28" si="10">SUM(E24:E26)</f>
        <v>88870</v>
      </c>
      <c r="F28" s="7">
        <f t="shared" si="10"/>
        <v>101430</v>
      </c>
      <c r="G28" s="7">
        <f t="shared" si="10"/>
        <v>102820</v>
      </c>
      <c r="H28" s="7">
        <f t="shared" si="10"/>
        <v>109943.12047200996</v>
      </c>
      <c r="I28" s="7">
        <f t="shared" si="10"/>
        <v>112207.33995008335</v>
      </c>
      <c r="J28" s="7">
        <f t="shared" si="10"/>
        <v>114549.36052155073</v>
      </c>
      <c r="K28" s="7">
        <f t="shared" si="10"/>
        <v>116820.37203006032</v>
      </c>
      <c r="L28" s="7">
        <f t="shared" si="10"/>
        <v>118242.54274139917</v>
      </c>
    </row>
    <row r="29" spans="2:14" ht="15" thickTop="1" x14ac:dyDescent="0.35">
      <c r="N29" s="24"/>
    </row>
    <row r="30" spans="2:14" x14ac:dyDescent="0.35">
      <c r="B30" t="s">
        <v>78</v>
      </c>
      <c r="D30" s="6">
        <v>-10</v>
      </c>
      <c r="E30" s="6">
        <v>50</v>
      </c>
      <c r="F30" s="9" t="s">
        <v>80</v>
      </c>
      <c r="G30" s="9" t="s">
        <v>80</v>
      </c>
      <c r="H30" s="9" t="s">
        <v>80</v>
      </c>
      <c r="I30" s="9" t="s">
        <v>80</v>
      </c>
      <c r="J30" s="9" t="s">
        <v>80</v>
      </c>
      <c r="K30" s="9" t="s">
        <v>80</v>
      </c>
      <c r="L30" s="9" t="s">
        <v>80</v>
      </c>
      <c r="N30" s="24"/>
    </row>
    <row r="31" spans="2:14" x14ac:dyDescent="0.35">
      <c r="N31" s="24"/>
    </row>
    <row r="32" spans="2:14" ht="15" thickBot="1" x14ac:dyDescent="0.4">
      <c r="B32" s="4" t="s">
        <v>12</v>
      </c>
      <c r="C32" s="4"/>
      <c r="D32" s="7">
        <f>SUM(D28:D30)</f>
        <v>79990</v>
      </c>
      <c r="E32" s="7">
        <f>SUM(E28:E30)</f>
        <v>88920</v>
      </c>
      <c r="F32" s="7">
        <f t="shared" ref="F32:L32" si="11">SUM(F28:F30)</f>
        <v>101430</v>
      </c>
      <c r="G32" s="7">
        <f t="shared" si="11"/>
        <v>102820</v>
      </c>
      <c r="H32" s="7">
        <f t="shared" si="11"/>
        <v>109943.12047200996</v>
      </c>
      <c r="I32" s="7">
        <f t="shared" si="11"/>
        <v>112207.33995008335</v>
      </c>
      <c r="J32" s="7">
        <f t="shared" si="11"/>
        <v>114549.36052155073</v>
      </c>
      <c r="K32" s="7">
        <f t="shared" si="11"/>
        <v>116820.37203006032</v>
      </c>
      <c r="L32" s="7">
        <f t="shared" si="11"/>
        <v>118242.54274139917</v>
      </c>
      <c r="N32" s="24"/>
    </row>
    <row r="33" spans="2:14" ht="15" thickTop="1" x14ac:dyDescent="0.35">
      <c r="N33" s="24"/>
    </row>
    <row r="34" spans="2:14" x14ac:dyDescent="0.35">
      <c r="B34" t="s">
        <v>76</v>
      </c>
      <c r="D34" s="6">
        <v>-40</v>
      </c>
      <c r="E34" s="6">
        <v>-130</v>
      </c>
      <c r="F34" s="6">
        <v>-230</v>
      </c>
      <c r="G34" s="6">
        <v>-50</v>
      </c>
    </row>
    <row r="36" spans="2:14" ht="15" thickBot="1" x14ac:dyDescent="0.4">
      <c r="B36" s="4" t="s">
        <v>77</v>
      </c>
      <c r="C36" s="4"/>
      <c r="D36" s="7">
        <f>SUM(D32:D34)</f>
        <v>79950</v>
      </c>
      <c r="E36" s="7">
        <f t="shared" ref="E36:L36" si="12">SUM(E32:E34)</f>
        <v>88790</v>
      </c>
      <c r="F36" s="7">
        <f t="shared" si="12"/>
        <v>101200</v>
      </c>
      <c r="G36" s="7">
        <f t="shared" si="12"/>
        <v>102770</v>
      </c>
      <c r="H36" s="7">
        <f t="shared" si="12"/>
        <v>109943.12047200996</v>
      </c>
      <c r="I36" s="7">
        <f t="shared" si="12"/>
        <v>112207.33995008335</v>
      </c>
      <c r="J36" s="7">
        <f t="shared" si="12"/>
        <v>114549.36052155073</v>
      </c>
      <c r="K36" s="7">
        <f t="shared" si="12"/>
        <v>116820.37203006032</v>
      </c>
      <c r="L36" s="7">
        <f t="shared" si="12"/>
        <v>118242.54274139917</v>
      </c>
    </row>
    <row r="37" spans="2:14" ht="15" thickTop="1" x14ac:dyDescent="0.35"/>
    <row r="38" spans="2:14" x14ac:dyDescent="0.35">
      <c r="D38" s="9"/>
      <c r="E38" s="10"/>
      <c r="F38" s="10"/>
      <c r="G38" s="10"/>
      <c r="H38" s="11"/>
      <c r="I38" s="11"/>
      <c r="J38" s="11"/>
      <c r="K38" s="11"/>
      <c r="L38" s="11"/>
    </row>
    <row r="39" spans="2:14" x14ac:dyDescent="0.35">
      <c r="D39" s="10"/>
      <c r="E39" s="10"/>
      <c r="F39" s="10"/>
      <c r="G39" s="10"/>
      <c r="H39" s="11"/>
      <c r="I39" s="11"/>
      <c r="J39" s="11"/>
      <c r="K39" s="11"/>
      <c r="L39" s="11"/>
    </row>
    <row r="40" spans="2:14" x14ac:dyDescent="0.35">
      <c r="B40" t="s">
        <v>40</v>
      </c>
      <c r="D40" s="10">
        <f>-D10/D5</f>
        <v>5.0140341923960191E-2</v>
      </c>
      <c r="E40" s="10">
        <f t="shared" ref="E40:G40" si="13">-E10/E5</f>
        <v>4.8526103039316627E-2</v>
      </c>
      <c r="F40" s="10">
        <f t="shared" si="13"/>
        <v>4.7111257840871577E-2</v>
      </c>
      <c r="G40" s="10">
        <f t="shared" si="13"/>
        <v>4.8613803799922452E-2</v>
      </c>
      <c r="H40" s="11">
        <v>4.8000000000000001E-2</v>
      </c>
      <c r="I40" s="11">
        <v>4.8000000000000001E-2</v>
      </c>
      <c r="J40" s="11">
        <v>4.8000000000000001E-2</v>
      </c>
      <c r="K40" s="11">
        <v>4.8000000000000001E-2</v>
      </c>
      <c r="L40" s="11">
        <v>4.8000000000000001E-2</v>
      </c>
    </row>
    <row r="41" spans="2:14" x14ac:dyDescent="0.35">
      <c r="B41" t="s">
        <v>41</v>
      </c>
      <c r="D41" s="10">
        <f>-D11/D5</f>
        <v>0.23169175810155651</v>
      </c>
      <c r="E41" s="10">
        <f t="shared" ref="E41:G41" si="14">-E11/E5</f>
        <v>0.21563131602028754</v>
      </c>
      <c r="F41" s="10">
        <f t="shared" si="14"/>
        <v>0.19580719709475075</v>
      </c>
      <c r="G41" s="10">
        <f t="shared" si="14"/>
        <v>0.23368230580328292</v>
      </c>
      <c r="H41" s="11">
        <v>0.22</v>
      </c>
      <c r="I41" s="11">
        <v>0.22</v>
      </c>
      <c r="J41" s="11">
        <v>0.22</v>
      </c>
      <c r="K41" s="11">
        <v>0.22</v>
      </c>
      <c r="L41" s="11">
        <v>0.22</v>
      </c>
    </row>
    <row r="42" spans="2:14" x14ac:dyDescent="0.35">
      <c r="B42" t="s">
        <v>42</v>
      </c>
      <c r="D42" s="10">
        <f>D12/D5</f>
        <v>8.7182104278302284E-3</v>
      </c>
      <c r="E42" s="10">
        <f t="shared" ref="E42:G42" si="15">E12/E5</f>
        <v>4.9193456126301336E-3</v>
      </c>
      <c r="F42" s="10">
        <f t="shared" si="15"/>
        <v>8.4516342027071648E-3</v>
      </c>
      <c r="G42" s="10">
        <f t="shared" si="15"/>
        <v>1.3102623755977769E-2</v>
      </c>
      <c r="H42" s="11">
        <v>8.9999999999999993E-3</v>
      </c>
      <c r="I42" s="11">
        <v>8.9999999999999993E-3</v>
      </c>
      <c r="J42" s="11">
        <v>8.9999999999999993E-3</v>
      </c>
      <c r="K42" s="11">
        <v>8.9999999999999993E-3</v>
      </c>
      <c r="L42" s="11">
        <v>8.9999999999999993E-3</v>
      </c>
    </row>
    <row r="43" spans="2:14" x14ac:dyDescent="0.35">
      <c r="B43" t="s">
        <v>63</v>
      </c>
      <c r="D43" s="10">
        <f>-D20/D5</f>
        <v>2.4878795611125285E-3</v>
      </c>
      <c r="E43" s="10">
        <f t="shared" ref="E43:G43" si="16">-E20/E5</f>
        <v>2.0211264920108303E-3</v>
      </c>
      <c r="F43" s="10">
        <f t="shared" si="16"/>
        <v>1.881809177946517E-3</v>
      </c>
      <c r="G43" s="10">
        <f t="shared" si="16"/>
        <v>5.3961483779242604E-3</v>
      </c>
      <c r="H43" s="11">
        <v>2E-3</v>
      </c>
      <c r="I43" s="11">
        <v>2E-3</v>
      </c>
      <c r="J43" s="11">
        <v>2E-3</v>
      </c>
      <c r="K43" s="11">
        <v>2E-3</v>
      </c>
      <c r="L43" s="11">
        <v>2E-3</v>
      </c>
    </row>
    <row r="44" spans="2:14" x14ac:dyDescent="0.35">
      <c r="B44" t="s">
        <v>64</v>
      </c>
      <c r="D44" s="23">
        <v>0.25169999999999998</v>
      </c>
      <c r="E44" s="23">
        <v>0.25169999999999998</v>
      </c>
      <c r="F44" s="23">
        <v>0.25169999999999998</v>
      </c>
      <c r="G44" s="23">
        <v>0.25169999999999998</v>
      </c>
      <c r="H44" s="23">
        <v>0.25169999999999998</v>
      </c>
      <c r="I44" s="23">
        <v>0.25169999999999998</v>
      </c>
      <c r="J44" s="23">
        <v>0.25169999999999998</v>
      </c>
      <c r="K44" s="23">
        <v>0.25169999999999998</v>
      </c>
      <c r="L44" s="23">
        <v>0.25169999999999998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7DD-8C87-4783-B231-0231753147E4}">
  <sheetPr>
    <tabColor rgb="FF0070C0"/>
  </sheetPr>
  <dimension ref="B1:L20"/>
  <sheetViews>
    <sheetView showGridLines="0" zoomScale="80" zoomScaleNormal="80" workbookViewId="0">
      <selection activeCell="B5" sqref="B5:B16"/>
    </sheetView>
  </sheetViews>
  <sheetFormatPr defaultRowHeight="14.5" x14ac:dyDescent="0.35"/>
  <cols>
    <col min="1" max="1" width="1.81640625" customWidth="1"/>
    <col min="2" max="2" width="15" customWidth="1"/>
    <col min="4" max="4" width="11.6328125" bestFit="1" customWidth="1"/>
    <col min="5" max="7" width="11.54296875" bestFit="1" customWidth="1"/>
    <col min="8" max="8" width="11.6328125" bestFit="1" customWidth="1"/>
    <col min="9" max="12" width="10.54296875" bestFit="1" customWidth="1"/>
  </cols>
  <sheetData>
    <row r="1" spans="2:12" ht="19.5" x14ac:dyDescent="0.45">
      <c r="B1" s="30" t="str">
        <f>"Revenue By Segments - " &amp;Drivers!C2</f>
        <v>Revenue By Segments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s="126" t="s">
        <v>239</v>
      </c>
    </row>
    <row r="5" spans="2:12" x14ac:dyDescent="0.35">
      <c r="B5" s="60" t="s">
        <v>236</v>
      </c>
    </row>
    <row r="7" spans="2:12" x14ac:dyDescent="0.35">
      <c r="B7" s="1" t="s">
        <v>230</v>
      </c>
      <c r="D7" s="114">
        <v>139570</v>
      </c>
      <c r="E7" s="114">
        <v>165700</v>
      </c>
      <c r="F7" s="114">
        <v>212230</v>
      </c>
      <c r="G7" s="114">
        <v>218820</v>
      </c>
      <c r="H7" s="116">
        <f>G7*(1+H8)</f>
        <v>225384.6</v>
      </c>
      <c r="I7" s="116">
        <f t="shared" ref="I7:L7" si="1">H7*(1+I8)</f>
        <v>234399.98400000003</v>
      </c>
      <c r="J7" s="116">
        <f t="shared" si="1"/>
        <v>243775.98336000004</v>
      </c>
      <c r="K7" s="116">
        <f t="shared" si="1"/>
        <v>253527.02269440005</v>
      </c>
      <c r="L7" s="116">
        <f t="shared" si="1"/>
        <v>261132.83337523206</v>
      </c>
    </row>
    <row r="8" spans="2:12" x14ac:dyDescent="0.35">
      <c r="E8" s="115">
        <f>E7/D7-1</f>
        <v>0.18721788349931945</v>
      </c>
      <c r="F8" s="115">
        <f t="shared" ref="F8:G8" si="2">F7/E7-1</f>
        <v>0.2808086904043452</v>
      </c>
      <c r="G8" s="115">
        <f t="shared" si="2"/>
        <v>3.1051218018187887E-2</v>
      </c>
      <c r="H8" s="21">
        <v>0.03</v>
      </c>
      <c r="I8" s="21">
        <v>0.04</v>
      </c>
      <c r="J8" s="21">
        <v>0.04</v>
      </c>
      <c r="K8" s="21">
        <v>0.04</v>
      </c>
      <c r="L8" s="21">
        <v>0.03</v>
      </c>
    </row>
    <row r="10" spans="2:12" x14ac:dyDescent="0.35">
      <c r="B10" s="1" t="s">
        <v>231</v>
      </c>
      <c r="D10" s="114">
        <v>180380</v>
      </c>
      <c r="E10" s="114">
        <v>195670</v>
      </c>
      <c r="F10" s="114">
        <v>220220</v>
      </c>
      <c r="G10" s="114">
        <v>224480</v>
      </c>
      <c r="H10" s="116">
        <f>G10*(1+H11)</f>
        <v>228969.60000000001</v>
      </c>
      <c r="I10" s="116">
        <f t="shared" ref="I10:L10" si="3">H10*(1+I11)</f>
        <v>235838.68800000002</v>
      </c>
      <c r="J10" s="116">
        <f t="shared" si="3"/>
        <v>242913.84864000004</v>
      </c>
      <c r="K10" s="116">
        <f t="shared" si="3"/>
        <v>250201.26409920005</v>
      </c>
      <c r="L10" s="116">
        <f t="shared" si="3"/>
        <v>255205.28938118406</v>
      </c>
    </row>
    <row r="11" spans="2:12" x14ac:dyDescent="0.35">
      <c r="E11" s="115">
        <f>E10/D10-1</f>
        <v>8.4765495065971752E-2</v>
      </c>
      <c r="F11" s="115">
        <f t="shared" ref="F11:G11" si="4">F10/E10-1</f>
        <v>0.12546634639955023</v>
      </c>
      <c r="G11" s="115">
        <f t="shared" si="4"/>
        <v>1.9344292071564739E-2</v>
      </c>
      <c r="H11" s="21">
        <v>0.02</v>
      </c>
      <c r="I11" s="21">
        <v>0.03</v>
      </c>
      <c r="J11" s="21">
        <v>0.03</v>
      </c>
      <c r="K11" s="21">
        <v>0.03</v>
      </c>
      <c r="L11" s="21">
        <v>0.02</v>
      </c>
    </row>
    <row r="13" spans="2:12" x14ac:dyDescent="0.35">
      <c r="B13" s="1" t="s">
        <v>232</v>
      </c>
      <c r="D13" s="114">
        <v>132040</v>
      </c>
      <c r="E13" s="114">
        <v>141050</v>
      </c>
      <c r="F13" s="114">
        <v>148760</v>
      </c>
      <c r="G13" s="114">
        <v>152910</v>
      </c>
      <c r="H13" s="116">
        <f>G13*(1+H14)</f>
        <v>156732.75</v>
      </c>
      <c r="I13" s="116">
        <f t="shared" ref="I13:L13" si="5">H13*(1+I14)</f>
        <v>160651.06874999998</v>
      </c>
      <c r="J13" s="116">
        <f t="shared" si="5"/>
        <v>164667.34546874996</v>
      </c>
      <c r="K13" s="116">
        <f t="shared" si="5"/>
        <v>167960.69237812495</v>
      </c>
      <c r="L13" s="116">
        <f t="shared" si="5"/>
        <v>171319.90622568745</v>
      </c>
    </row>
    <row r="14" spans="2:12" x14ac:dyDescent="0.35">
      <c r="E14" s="115">
        <f>E13/D13-1</f>
        <v>6.8236897909724314E-2</v>
      </c>
      <c r="F14" s="115">
        <f t="shared" ref="F14:G14" si="6">F13/E13-1</f>
        <v>5.4661467564693478E-2</v>
      </c>
      <c r="G14" s="115">
        <f t="shared" si="6"/>
        <v>2.789728421618709E-2</v>
      </c>
      <c r="H14" s="117">
        <v>2.5000000000000001E-2</v>
      </c>
      <c r="I14" s="117">
        <v>2.5000000000000001E-2</v>
      </c>
      <c r="J14" s="117">
        <v>2.5000000000000001E-2</v>
      </c>
      <c r="K14" s="117">
        <v>0.02</v>
      </c>
      <c r="L14" s="117">
        <v>0.02</v>
      </c>
    </row>
    <row r="16" spans="2:12" x14ac:dyDescent="0.35">
      <c r="B16" s="60" t="s">
        <v>233</v>
      </c>
      <c r="D16" s="114">
        <v>18290</v>
      </c>
      <c r="E16" s="114">
        <v>22040</v>
      </c>
      <c r="F16" s="114">
        <v>24590</v>
      </c>
      <c r="G16" s="114">
        <v>22750</v>
      </c>
      <c r="H16" s="116">
        <f>G16*(1+H17)</f>
        <v>22977.5</v>
      </c>
      <c r="I16" s="116">
        <f t="shared" ref="I16:L16" si="7">H16*(1+I17)</f>
        <v>23207.275000000001</v>
      </c>
      <c r="J16" s="116">
        <f t="shared" si="7"/>
        <v>23439.347750000001</v>
      </c>
      <c r="K16" s="116">
        <f t="shared" si="7"/>
        <v>23673.741227500002</v>
      </c>
      <c r="L16" s="116">
        <f t="shared" si="7"/>
        <v>23910.478639775003</v>
      </c>
    </row>
    <row r="17" spans="2:12" x14ac:dyDescent="0.35">
      <c r="E17" s="115">
        <f>E16/D16-1</f>
        <v>0.20503007107709137</v>
      </c>
      <c r="F17" s="115">
        <f t="shared" ref="F17:G17" si="8">F16/E16-1</f>
        <v>0.1156987295825771</v>
      </c>
      <c r="G17" s="115">
        <f t="shared" si="8"/>
        <v>-7.48271655144368E-2</v>
      </c>
      <c r="H17" s="21">
        <v>0.01</v>
      </c>
      <c r="I17" s="21">
        <v>0.01</v>
      </c>
      <c r="J17" s="21">
        <v>0.01</v>
      </c>
      <c r="K17" s="21">
        <v>0.01</v>
      </c>
      <c r="L17" s="21">
        <v>0.01</v>
      </c>
    </row>
    <row r="19" spans="2:12" ht="15" thickBot="1" x14ac:dyDescent="0.4">
      <c r="B19" s="4" t="s">
        <v>234</v>
      </c>
      <c r="C19" s="4"/>
      <c r="D19" s="118">
        <f t="shared" ref="D19:L19" si="9">D7+D10+D13+D16</f>
        <v>470280</v>
      </c>
      <c r="E19" s="118">
        <f t="shared" si="9"/>
        <v>524460</v>
      </c>
      <c r="F19" s="118">
        <f t="shared" si="9"/>
        <v>605800</v>
      </c>
      <c r="G19" s="118">
        <f t="shared" si="9"/>
        <v>618960</v>
      </c>
      <c r="H19" s="118">
        <f t="shared" si="9"/>
        <v>634064.44999999995</v>
      </c>
      <c r="I19" s="118">
        <f t="shared" si="9"/>
        <v>654097.01575000002</v>
      </c>
      <c r="J19" s="118">
        <f t="shared" si="9"/>
        <v>674796.52521875</v>
      </c>
      <c r="K19" s="118">
        <f t="shared" si="9"/>
        <v>695362.72039922501</v>
      </c>
      <c r="L19" s="118">
        <f t="shared" si="9"/>
        <v>711568.50762187853</v>
      </c>
    </row>
    <row r="20" spans="2:12" ht="15" thickTop="1" x14ac:dyDescent="0.3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7B5F-3B8C-4732-804F-C4F750C031F5}">
  <sheetPr>
    <tabColor rgb="FF0070C0"/>
  </sheetPr>
  <dimension ref="B1:L11"/>
  <sheetViews>
    <sheetView showGridLines="0" zoomScale="80" zoomScaleNormal="80" workbookViewId="0">
      <selection activeCell="I18" sqref="I18"/>
    </sheetView>
  </sheetViews>
  <sheetFormatPr defaultRowHeight="14.5" x14ac:dyDescent="0.35"/>
  <cols>
    <col min="1" max="1" width="1.81640625" customWidth="1"/>
    <col min="2" max="2" width="13.54296875" customWidth="1"/>
    <col min="4" max="7" width="9.453125" bestFit="1" customWidth="1"/>
    <col min="8" max="8" width="11.6328125" bestFit="1" customWidth="1"/>
    <col min="9" max="12" width="10.54296875" bestFit="1" customWidth="1"/>
  </cols>
  <sheetData>
    <row r="1" spans="2:12" ht="19.5" x14ac:dyDescent="0.45">
      <c r="B1" s="30" t="str">
        <f>"Gross Profit Margins- " &amp;Drivers!C2</f>
        <v>Gross Profit Margins-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s="126" t="s">
        <v>239</v>
      </c>
    </row>
    <row r="5" spans="2:12" x14ac:dyDescent="0.35">
      <c r="B5" t="s">
        <v>235</v>
      </c>
      <c r="D5" s="114">
        <f>'Income Statement'!D5</f>
        <v>470280</v>
      </c>
      <c r="E5" s="114">
        <f>'Income Statement'!E5</f>
        <v>524460</v>
      </c>
      <c r="F5" s="114">
        <f>'Income Statement'!F5</f>
        <v>605800</v>
      </c>
      <c r="G5" s="114">
        <f>'Income Statement'!G5</f>
        <v>618960</v>
      </c>
      <c r="H5" s="114">
        <f>'Income Statement'!H5</f>
        <v>634064.44999999995</v>
      </c>
      <c r="I5" s="114">
        <f>'Income Statement'!I5</f>
        <v>654097.01575000002</v>
      </c>
      <c r="J5" s="114">
        <f>'Income Statement'!J5</f>
        <v>674796.52521875</v>
      </c>
      <c r="K5" s="114">
        <f>'Income Statement'!K5</f>
        <v>695362.72039922501</v>
      </c>
      <c r="L5" s="114">
        <f>'Income Statement'!L5</f>
        <v>711568.50762187853</v>
      </c>
    </row>
    <row r="7" spans="2:12" x14ac:dyDescent="0.35">
      <c r="B7" t="s">
        <v>157</v>
      </c>
      <c r="D7" s="6">
        <f>'Income Statement'!D6</f>
        <v>-221480</v>
      </c>
      <c r="E7" s="6">
        <f>'Income Statement'!E6</f>
        <v>-257350</v>
      </c>
      <c r="F7" s="6">
        <f>'Income Statement'!F6</f>
        <v>-317160</v>
      </c>
      <c r="G7" s="6">
        <f>'Income Statement'!G6</f>
        <v>-297600</v>
      </c>
      <c r="H7" s="6">
        <f>H9-H5</f>
        <v>-310691.58049999998</v>
      </c>
      <c r="I7" s="6">
        <f t="shared" ref="I7:L7" si="1">I9-I5</f>
        <v>-320507.5377175</v>
      </c>
      <c r="J7" s="6">
        <f t="shared" si="1"/>
        <v>-330650.29735718749</v>
      </c>
      <c r="K7" s="6">
        <f t="shared" si="1"/>
        <v>-340727.73299562023</v>
      </c>
      <c r="L7" s="6">
        <f t="shared" si="1"/>
        <v>-348668.56873472047</v>
      </c>
    </row>
    <row r="9" spans="2:12" ht="15" thickBot="1" x14ac:dyDescent="0.4">
      <c r="B9" s="4" t="s">
        <v>237</v>
      </c>
      <c r="C9" s="4"/>
      <c r="D9" s="118">
        <f>D5+D7</f>
        <v>248800</v>
      </c>
      <c r="E9" s="118">
        <f t="shared" ref="E9:G9" si="2">E5+E7</f>
        <v>267110</v>
      </c>
      <c r="F9" s="118">
        <f t="shared" si="2"/>
        <v>288640</v>
      </c>
      <c r="G9" s="118">
        <f t="shared" si="2"/>
        <v>321360</v>
      </c>
      <c r="H9" s="118">
        <f>H5*H11</f>
        <v>323372.86949999997</v>
      </c>
      <c r="I9" s="118">
        <f t="shared" ref="I9:L9" si="3">I5*I11</f>
        <v>333589.47803250002</v>
      </c>
      <c r="J9" s="118">
        <f t="shared" si="3"/>
        <v>344146.22786156251</v>
      </c>
      <c r="K9" s="118">
        <f t="shared" si="3"/>
        <v>354634.98740360478</v>
      </c>
      <c r="L9" s="118">
        <f t="shared" si="3"/>
        <v>362899.93888715806</v>
      </c>
    </row>
    <row r="10" spans="2:12" ht="15" thickTop="1" x14ac:dyDescent="0.35"/>
    <row r="11" spans="2:12" x14ac:dyDescent="0.35">
      <c r="B11" t="s">
        <v>161</v>
      </c>
      <c r="D11" s="20">
        <f>D9/D5</f>
        <v>0.52904652547418562</v>
      </c>
      <c r="E11" s="20">
        <f t="shared" ref="E11:G11" si="4">E9/E5</f>
        <v>0.50930480875567252</v>
      </c>
      <c r="F11" s="20">
        <f t="shared" si="4"/>
        <v>0.4764608781776164</v>
      </c>
      <c r="G11" s="20">
        <f t="shared" si="4"/>
        <v>0.51919348584722758</v>
      </c>
      <c r="H11" s="21">
        <v>0.51</v>
      </c>
      <c r="I11" s="21">
        <v>0.51</v>
      </c>
      <c r="J11" s="21">
        <v>0.51</v>
      </c>
      <c r="K11" s="21">
        <v>0.51</v>
      </c>
      <c r="L11" s="21">
        <v>0.51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5E73-C7A3-4CDA-9ACC-BA2D7E488018}">
  <sheetPr>
    <tabColor rgb="FFFF0000"/>
  </sheetPr>
  <dimension ref="B1:L58"/>
  <sheetViews>
    <sheetView showGridLines="0" topLeftCell="A23" zoomScale="80" zoomScaleNormal="80" workbookViewId="0">
      <selection activeCell="Q30" sqref="Q30"/>
    </sheetView>
  </sheetViews>
  <sheetFormatPr defaultRowHeight="14.5" x14ac:dyDescent="0.35"/>
  <cols>
    <col min="1" max="1" width="1.81640625" customWidth="1"/>
    <col min="2" max="2" width="25.6328125" customWidth="1"/>
    <col min="8" max="8" width="9" bestFit="1" customWidth="1"/>
    <col min="9" max="12" width="9.26953125" bestFit="1" customWidth="1"/>
  </cols>
  <sheetData>
    <row r="1" spans="2:12" ht="19.5" x14ac:dyDescent="0.45">
      <c r="B1" s="30" t="str">
        <f>"Balance Sheet - " &amp; Drivers!C2</f>
        <v>Balance Sheet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s="126" t="s">
        <v>239</v>
      </c>
    </row>
    <row r="5" spans="2:12" x14ac:dyDescent="0.35">
      <c r="B5" t="s">
        <v>13</v>
      </c>
      <c r="D5" s="8">
        <v>68610</v>
      </c>
      <c r="E5" s="8">
        <v>74820</v>
      </c>
      <c r="F5" s="8">
        <v>80810</v>
      </c>
      <c r="G5" s="8">
        <v>90560</v>
      </c>
      <c r="H5" s="6">
        <f>'Fixed Asset Rollover'!H7</f>
        <v>98623.740149999998</v>
      </c>
      <c r="I5" s="6">
        <f>'Fixed Asset Rollover'!I7</f>
        <v>105326.16622525</v>
      </c>
      <c r="J5" s="6">
        <f>'Fixed Asset Rollover'!J7</f>
        <v>110625.18800890625</v>
      </c>
      <c r="K5" s="6">
        <f>'Fixed Asset Rollover'!K7</f>
        <v>114455.10748677907</v>
      </c>
      <c r="L5" s="6">
        <f>'Fixed Asset Rollover'!L7</f>
        <v>116636.49505846587</v>
      </c>
    </row>
    <row r="6" spans="2:12" x14ac:dyDescent="0.35">
      <c r="B6" t="s">
        <v>14</v>
      </c>
      <c r="D6" s="8">
        <v>279300</v>
      </c>
      <c r="E6" s="8">
        <v>279070</v>
      </c>
      <c r="F6" s="8">
        <v>282630</v>
      </c>
      <c r="G6" s="8">
        <v>282470</v>
      </c>
      <c r="H6" s="6">
        <f>'Income Statement'!H5*'Balance Sheet'!H42</f>
        <v>285329.0025</v>
      </c>
      <c r="I6" s="6">
        <f>'Income Statement'!I5*'Balance Sheet'!I42</f>
        <v>294343.65708750003</v>
      </c>
      <c r="J6" s="6">
        <f>'Income Statement'!J5*'Balance Sheet'!J42</f>
        <v>303658.43634843751</v>
      </c>
      <c r="K6" s="6">
        <f>'Income Statement'!K5*'Balance Sheet'!K42</f>
        <v>312913.22417965124</v>
      </c>
      <c r="L6" s="6">
        <f>'Income Statement'!L5*'Balance Sheet'!L42</f>
        <v>320205.82842984534</v>
      </c>
    </row>
    <row r="7" spans="2:12" x14ac:dyDescent="0.35">
      <c r="B7" t="s">
        <v>15</v>
      </c>
      <c r="D7" s="8">
        <v>173970</v>
      </c>
      <c r="E7" s="8">
        <v>173970</v>
      </c>
      <c r="F7" s="8">
        <v>174660</v>
      </c>
      <c r="G7" s="8">
        <v>174660</v>
      </c>
      <c r="H7" s="6">
        <f>G7</f>
        <v>174660</v>
      </c>
      <c r="I7" s="6">
        <f t="shared" ref="I7:L7" si="1">H7</f>
        <v>174660</v>
      </c>
      <c r="J7" s="6">
        <f t="shared" si="1"/>
        <v>174660</v>
      </c>
      <c r="K7" s="6">
        <f t="shared" si="1"/>
        <v>174660</v>
      </c>
      <c r="L7" s="6">
        <f t="shared" si="1"/>
        <v>174660</v>
      </c>
    </row>
    <row r="8" spans="2:12" x14ac:dyDescent="0.35">
      <c r="B8" t="s">
        <v>16</v>
      </c>
      <c r="D8" s="8">
        <v>8700</v>
      </c>
      <c r="E8" s="8">
        <v>8460</v>
      </c>
      <c r="F8" s="8">
        <v>8250</v>
      </c>
      <c r="G8" s="8">
        <v>8640</v>
      </c>
      <c r="H8" s="6">
        <f>'Income Statement'!H5*'Balance Sheet'!H43</f>
        <v>8876.9022999999997</v>
      </c>
      <c r="I8" s="6">
        <f>'Income Statement'!I5*'Balance Sheet'!I43</f>
        <v>9157.3582205000002</v>
      </c>
      <c r="J8" s="6">
        <f>'Income Statement'!J5*'Balance Sheet'!J43</f>
        <v>9447.1513530624998</v>
      </c>
      <c r="K8" s="6">
        <f>'Income Statement'!K5*'Balance Sheet'!K43</f>
        <v>9735.0780855891499</v>
      </c>
      <c r="L8" s="6">
        <f>'Income Statement'!L5*'Balance Sheet'!L43</f>
        <v>9961.9591067062993</v>
      </c>
    </row>
    <row r="9" spans="2:12" x14ac:dyDescent="0.35">
      <c r="B9" t="s">
        <v>17</v>
      </c>
      <c r="D9" s="8">
        <v>14820</v>
      </c>
      <c r="E9" s="8">
        <v>13630</v>
      </c>
      <c r="F9" s="8">
        <v>14540</v>
      </c>
      <c r="G9" s="8">
        <v>15420</v>
      </c>
      <c r="H9" s="6">
        <f>'Income Statement'!H5*'Balance Sheet'!H44</f>
        <v>15217.5468</v>
      </c>
      <c r="I9" s="6">
        <f>'Income Statement'!I5*'Balance Sheet'!I44</f>
        <v>15698.328378</v>
      </c>
      <c r="J9" s="6">
        <f>'Income Statement'!J5*'Balance Sheet'!J44</f>
        <v>16195.116605250001</v>
      </c>
      <c r="K9" s="6">
        <f>'Income Statement'!K5*'Balance Sheet'!K44</f>
        <v>16688.705289581401</v>
      </c>
      <c r="L9" s="6">
        <f>'Income Statement'!L5*'Balance Sheet'!L44</f>
        <v>17077.644182925083</v>
      </c>
    </row>
    <row r="10" spans="2:12" x14ac:dyDescent="0.35">
      <c r="B10" s="5" t="s">
        <v>18</v>
      </c>
      <c r="C10" s="5"/>
      <c r="D10" s="14">
        <f>SUM(D5:D9)</f>
        <v>545400</v>
      </c>
      <c r="E10" s="14">
        <f>SUM(E5:E9)</f>
        <v>549950</v>
      </c>
      <c r="F10" s="14">
        <f>SUM(F5:F9)</f>
        <v>560890</v>
      </c>
      <c r="G10" s="14">
        <f>SUM(G5:G9)</f>
        <v>571750</v>
      </c>
      <c r="H10" s="14">
        <f t="shared" ref="H10:L10" si="2">SUM(H5:H9)</f>
        <v>582707.19175</v>
      </c>
      <c r="I10" s="14">
        <f t="shared" si="2"/>
        <v>599185.50991125009</v>
      </c>
      <c r="J10" s="14">
        <f t="shared" si="2"/>
        <v>614585.8923156563</v>
      </c>
      <c r="K10" s="14">
        <f t="shared" si="2"/>
        <v>628452.11504160089</v>
      </c>
      <c r="L10" s="14">
        <f t="shared" si="2"/>
        <v>638541.92677794257</v>
      </c>
    </row>
    <row r="11" spans="2:12" x14ac:dyDescent="0.35"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35">
      <c r="B12" t="s">
        <v>19</v>
      </c>
      <c r="D12" s="8">
        <v>18420</v>
      </c>
      <c r="E12" s="8">
        <v>11470</v>
      </c>
      <c r="F12" s="8">
        <v>7140</v>
      </c>
      <c r="G12" s="8">
        <v>8250</v>
      </c>
      <c r="H12" s="6">
        <f>'Cash Flow'!D27</f>
        <v>111265.13310831133</v>
      </c>
      <c r="I12" s="6">
        <f>'Cash Flow'!E27</f>
        <v>209199.38364189805</v>
      </c>
      <c r="J12" s="6">
        <f>'Cash Flow'!F27</f>
        <v>310627.00913015049</v>
      </c>
      <c r="K12" s="6">
        <f>'Cash Flow'!G27</f>
        <v>415845.13027632498</v>
      </c>
      <c r="L12" s="6">
        <f>'Cash Flow'!H27</f>
        <v>525781.82985838584</v>
      </c>
    </row>
    <row r="13" spans="2:12" x14ac:dyDescent="0.35">
      <c r="B13" t="s">
        <v>20</v>
      </c>
      <c r="D13" s="8">
        <v>35790</v>
      </c>
      <c r="E13" s="8">
        <v>40960</v>
      </c>
      <c r="F13" s="8">
        <v>42510</v>
      </c>
      <c r="G13" s="8">
        <v>40220</v>
      </c>
      <c r="H13" s="6">
        <f>'Working Capital'!H6</f>
        <v>41709.280669863008</v>
      </c>
      <c r="I13" s="6">
        <f>'Working Capital'!I6</f>
        <v>43027.039310020547</v>
      </c>
      <c r="J13" s="6">
        <f>'Working Capital'!J6</f>
        <v>44388.670056170376</v>
      </c>
      <c r="K13" s="6">
        <f>'Working Capital'!K6</f>
        <v>45741.531278864088</v>
      </c>
      <c r="L13" s="6">
        <f>'Working Capital'!L6</f>
        <v>46807.561282195355</v>
      </c>
    </row>
    <row r="14" spans="2:12" x14ac:dyDescent="0.35">
      <c r="B14" t="s">
        <v>21</v>
      </c>
      <c r="D14" s="8">
        <v>17580</v>
      </c>
      <c r="E14" s="8">
        <v>22360</v>
      </c>
      <c r="F14" s="8">
        <v>30790</v>
      </c>
      <c r="G14" s="8">
        <v>29970</v>
      </c>
      <c r="H14" s="6">
        <f>'Working Capital'!H5</f>
        <v>31268.931780821917</v>
      </c>
      <c r="I14" s="6">
        <f>'Working Capital'!I5</f>
        <v>32256.839132876714</v>
      </c>
      <c r="J14" s="6">
        <f>'Working Capital'!J5</f>
        <v>33277.636860102743</v>
      </c>
      <c r="K14" s="6">
        <f>'Working Capital'!K5</f>
        <v>34291.860184071375</v>
      </c>
      <c r="L14" s="6">
        <f>'Working Capital'!L5</f>
        <v>35091.049690941953</v>
      </c>
    </row>
    <row r="15" spans="2:12" x14ac:dyDescent="0.35">
      <c r="B15" t="s">
        <v>16</v>
      </c>
      <c r="D15" s="8">
        <v>65240</v>
      </c>
      <c r="E15" s="8">
        <v>73420</v>
      </c>
      <c r="F15" s="8">
        <v>81970</v>
      </c>
      <c r="G15" s="8">
        <v>127550</v>
      </c>
      <c r="H15" s="6">
        <f>'Income Statement'!H5*'Balance Sheet'!H47</f>
        <v>126812.89</v>
      </c>
      <c r="I15" s="6">
        <f>'Income Statement'!I5*'Balance Sheet'!I47</f>
        <v>130819.40315000001</v>
      </c>
      <c r="J15" s="6">
        <f>'Income Statement'!J5*'Balance Sheet'!J47</f>
        <v>134959.30504375001</v>
      </c>
      <c r="K15" s="6">
        <f>'Income Statement'!K5*'Balance Sheet'!K47</f>
        <v>139072.54407984501</v>
      </c>
      <c r="L15" s="6">
        <f>'Income Statement'!L5*'Balance Sheet'!L47</f>
        <v>142313.70152437571</v>
      </c>
    </row>
    <row r="16" spans="2:12" x14ac:dyDescent="0.35">
      <c r="B16" t="s">
        <v>22</v>
      </c>
      <c r="D16" s="8">
        <v>5140</v>
      </c>
      <c r="E16" s="8">
        <v>7010</v>
      </c>
      <c r="F16" s="8">
        <v>7570</v>
      </c>
      <c r="G16" s="8">
        <v>7250</v>
      </c>
      <c r="H16" s="6">
        <f>'Income Statement'!H5*'Balance Sheet'!H48</f>
        <v>7925.805625</v>
      </c>
      <c r="I16" s="6">
        <f>'Income Statement'!I5*'Balance Sheet'!I48</f>
        <v>8176.2126968750008</v>
      </c>
      <c r="J16" s="6">
        <f>'Income Statement'!J5*'Balance Sheet'!J48</f>
        <v>8434.9565652343754</v>
      </c>
      <c r="K16" s="6">
        <f>'Income Statement'!K5*'Balance Sheet'!K48</f>
        <v>8692.0340049903134</v>
      </c>
      <c r="L16" s="6">
        <f>'Income Statement'!L5*'Balance Sheet'!L48</f>
        <v>8894.6063452734816</v>
      </c>
    </row>
    <row r="17" spans="2:12" x14ac:dyDescent="0.35">
      <c r="B17" s="5" t="s">
        <v>23</v>
      </c>
      <c r="C17" s="5"/>
      <c r="D17" s="14">
        <f>SUM(D12:D16)</f>
        <v>142170</v>
      </c>
      <c r="E17" s="14">
        <f t="shared" ref="E17:L17" si="3">SUM(E12:E16)</f>
        <v>155220</v>
      </c>
      <c r="F17" s="14">
        <f t="shared" si="3"/>
        <v>169980</v>
      </c>
      <c r="G17" s="14">
        <f t="shared" si="3"/>
        <v>213240</v>
      </c>
      <c r="H17" s="14">
        <f t="shared" si="3"/>
        <v>318982.04118399625</v>
      </c>
      <c r="I17" s="14">
        <f t="shared" si="3"/>
        <v>423478.87793167029</v>
      </c>
      <c r="J17" s="14">
        <f t="shared" si="3"/>
        <v>531687.57765540795</v>
      </c>
      <c r="K17" s="14">
        <f t="shared" si="3"/>
        <v>643643.09982409573</v>
      </c>
      <c r="L17" s="14">
        <f t="shared" si="3"/>
        <v>758888.7487011723</v>
      </c>
    </row>
    <row r="18" spans="2:12" x14ac:dyDescent="0.35">
      <c r="D18" s="6"/>
      <c r="E18" s="6"/>
      <c r="F18" s="6"/>
      <c r="G18" s="6"/>
      <c r="H18" s="6"/>
      <c r="I18" s="6"/>
      <c r="J18" s="6"/>
      <c r="K18" s="6"/>
      <c r="L18" s="6"/>
    </row>
    <row r="19" spans="2:12" ht="15" thickBot="1" x14ac:dyDescent="0.4">
      <c r="B19" s="4" t="s">
        <v>24</v>
      </c>
      <c r="C19" s="4"/>
      <c r="D19" s="7">
        <f>D10+D17</f>
        <v>687570</v>
      </c>
      <c r="E19" s="7">
        <f t="shared" ref="E19:L19" si="4">E10+E17</f>
        <v>705170</v>
      </c>
      <c r="F19" s="7">
        <f t="shared" si="4"/>
        <v>730870</v>
      </c>
      <c r="G19" s="7">
        <f t="shared" si="4"/>
        <v>784990</v>
      </c>
      <c r="H19" s="7">
        <f t="shared" si="4"/>
        <v>901689.23293399625</v>
      </c>
      <c r="I19" s="7">
        <f t="shared" si="4"/>
        <v>1022664.3878429204</v>
      </c>
      <c r="J19" s="7">
        <f t="shared" si="4"/>
        <v>1146273.4699710642</v>
      </c>
      <c r="K19" s="7">
        <f t="shared" si="4"/>
        <v>1272095.2148656966</v>
      </c>
      <c r="L19" s="7">
        <f t="shared" si="4"/>
        <v>1397430.675479115</v>
      </c>
    </row>
    <row r="20" spans="2:12" ht="15" thickTop="1" x14ac:dyDescent="0.35"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35">
      <c r="B21" t="s">
        <v>25</v>
      </c>
      <c r="D21" s="8">
        <v>2350</v>
      </c>
      <c r="E21" s="8">
        <v>2350</v>
      </c>
      <c r="F21" s="8">
        <v>2350</v>
      </c>
      <c r="G21" s="8">
        <v>2350</v>
      </c>
      <c r="H21" s="6">
        <f>G21</f>
        <v>2350</v>
      </c>
      <c r="I21" s="6">
        <f t="shared" ref="I21:L21" si="5">H21</f>
        <v>2350</v>
      </c>
      <c r="J21" s="6">
        <f t="shared" si="5"/>
        <v>2350</v>
      </c>
      <c r="K21" s="6">
        <f t="shared" si="5"/>
        <v>2350</v>
      </c>
      <c r="L21" s="6">
        <f t="shared" si="5"/>
        <v>2350</v>
      </c>
    </row>
    <row r="22" spans="2:12" x14ac:dyDescent="0.35">
      <c r="B22" t="s">
        <v>26</v>
      </c>
      <c r="D22" s="8">
        <v>474390</v>
      </c>
      <c r="E22" s="8">
        <v>488260</v>
      </c>
      <c r="F22" s="8">
        <v>500690</v>
      </c>
      <c r="G22" s="8">
        <v>509830</v>
      </c>
      <c r="H22" s="6">
        <f>G22+'Income Statement'!H28</f>
        <v>619773.12047200999</v>
      </c>
      <c r="I22" s="6">
        <f>H22+'Income Statement'!I28</f>
        <v>731980.46042209328</v>
      </c>
      <c r="J22" s="6">
        <f>I22+'Income Statement'!J28</f>
        <v>846529.82094364404</v>
      </c>
      <c r="K22" s="6">
        <f>J22+'Income Statement'!K28</f>
        <v>963350.19297370431</v>
      </c>
      <c r="L22" s="6">
        <f>K22+'Income Statement'!L28</f>
        <v>1081592.7357151036</v>
      </c>
    </row>
    <row r="23" spans="2:12" x14ac:dyDescent="0.35">
      <c r="B23" t="s">
        <v>27</v>
      </c>
      <c r="D23" s="8">
        <v>200</v>
      </c>
      <c r="E23" s="8">
        <v>260</v>
      </c>
      <c r="F23" s="8">
        <v>2180</v>
      </c>
      <c r="G23" s="8">
        <v>2050</v>
      </c>
      <c r="H23" s="6">
        <f>G23</f>
        <v>2050</v>
      </c>
      <c r="I23" s="6">
        <f t="shared" ref="I23:L23" si="6">H23</f>
        <v>2050</v>
      </c>
      <c r="J23" s="6">
        <f t="shared" si="6"/>
        <v>2050</v>
      </c>
      <c r="K23" s="6">
        <f t="shared" si="6"/>
        <v>2050</v>
      </c>
      <c r="L23" s="6">
        <f t="shared" si="6"/>
        <v>2050</v>
      </c>
    </row>
    <row r="24" spans="2:12" x14ac:dyDescent="0.35">
      <c r="B24" s="5" t="s">
        <v>28</v>
      </c>
      <c r="C24" s="5"/>
      <c r="D24" s="14">
        <f>SUM(D21:D23)</f>
        <v>476940</v>
      </c>
      <c r="E24" s="14">
        <f t="shared" ref="E24:L24" si="7">SUM(E21:E23)</f>
        <v>490870</v>
      </c>
      <c r="F24" s="14">
        <f t="shared" si="7"/>
        <v>505220</v>
      </c>
      <c r="G24" s="14">
        <f t="shared" si="7"/>
        <v>514230</v>
      </c>
      <c r="H24" s="14">
        <f t="shared" si="7"/>
        <v>624173.12047200999</v>
      </c>
      <c r="I24" s="14">
        <f t="shared" si="7"/>
        <v>736380.46042209328</v>
      </c>
      <c r="J24" s="14">
        <f t="shared" si="7"/>
        <v>850929.82094364404</v>
      </c>
      <c r="K24" s="14">
        <f t="shared" si="7"/>
        <v>967750.19297370431</v>
      </c>
      <c r="L24" s="14">
        <f t="shared" si="7"/>
        <v>1085992.7357151036</v>
      </c>
    </row>
    <row r="25" spans="2:12" x14ac:dyDescent="0.35"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5">
      <c r="B26" t="s">
        <v>29</v>
      </c>
      <c r="D26" s="8">
        <v>7310</v>
      </c>
      <c r="E26" s="8">
        <v>7410</v>
      </c>
      <c r="F26" s="8">
        <v>8070</v>
      </c>
      <c r="G26" s="8">
        <v>11060</v>
      </c>
      <c r="H26" s="6">
        <f>'Income Statement'!H5*'Balance Sheet'!H51</f>
        <v>9510.9667499999996</v>
      </c>
      <c r="I26" s="6">
        <f>'Income Statement'!I5*'Balance Sheet'!I51</f>
        <v>9811.4552362499999</v>
      </c>
      <c r="J26" s="6">
        <f>'Income Statement'!J5*'Balance Sheet'!J51</f>
        <v>10121.947878281249</v>
      </c>
      <c r="K26" s="6">
        <f>'Income Statement'!K5*'Balance Sheet'!K51</f>
        <v>10430.440805988375</v>
      </c>
      <c r="L26" s="6">
        <f>'Income Statement'!L5*'Balance Sheet'!L51</f>
        <v>10673.527614328177</v>
      </c>
    </row>
    <row r="27" spans="2:12" x14ac:dyDescent="0.35">
      <c r="B27" t="s">
        <v>30</v>
      </c>
      <c r="D27" s="8">
        <v>2960</v>
      </c>
      <c r="E27" s="8">
        <v>3570</v>
      </c>
      <c r="F27" s="8">
        <v>8600</v>
      </c>
      <c r="G27" s="8">
        <v>7180</v>
      </c>
      <c r="H27" s="6">
        <f>'Income Statement'!H5*'Balance Sheet'!H52</f>
        <v>7608.7734</v>
      </c>
      <c r="I27" s="6">
        <f>'Income Statement'!I5*'Balance Sheet'!I52</f>
        <v>7849.1641890000001</v>
      </c>
      <c r="J27" s="6">
        <f>'Income Statement'!J5*'Balance Sheet'!J52</f>
        <v>8097.5583026250006</v>
      </c>
      <c r="K27" s="6">
        <f>'Income Statement'!K5*'Balance Sheet'!K52</f>
        <v>8344.3526447907007</v>
      </c>
      <c r="L27" s="6">
        <f>'Income Statement'!L5*'Balance Sheet'!L52</f>
        <v>8538.8220914625417</v>
      </c>
    </row>
    <row r="28" spans="2:12" x14ac:dyDescent="0.35">
      <c r="B28" t="s">
        <v>31</v>
      </c>
      <c r="D28" s="8">
        <v>89330</v>
      </c>
      <c r="E28" s="8">
        <v>90520</v>
      </c>
      <c r="F28" s="8">
        <v>88700</v>
      </c>
      <c r="G28" s="8">
        <v>123760</v>
      </c>
      <c r="H28" s="6">
        <f>'Income Statement'!H5*'Balance Sheet'!H53</f>
        <v>126812.89</v>
      </c>
      <c r="I28" s="6">
        <f>'Income Statement'!I5*'Balance Sheet'!I53</f>
        <v>130819.40315000001</v>
      </c>
      <c r="J28" s="6">
        <f>'Income Statement'!J5*'Balance Sheet'!J53</f>
        <v>134959.30504375001</v>
      </c>
      <c r="K28" s="6">
        <f>'Income Statement'!K5*'Balance Sheet'!K53</f>
        <v>139072.54407984501</v>
      </c>
      <c r="L28" s="6">
        <f>'Income Statement'!L5*'Balance Sheet'!L53</f>
        <v>142313.70152437571</v>
      </c>
    </row>
    <row r="29" spans="2:12" x14ac:dyDescent="0.35">
      <c r="B29" s="5" t="s">
        <v>32</v>
      </c>
      <c r="C29" s="5"/>
      <c r="D29" s="14">
        <f>SUM(D26:D28)</f>
        <v>99600</v>
      </c>
      <c r="E29" s="14">
        <f>SUM(E26:E28)</f>
        <v>101500</v>
      </c>
      <c r="F29" s="14">
        <f t="shared" ref="F29:L29" si="8">SUM(F26:F28)</f>
        <v>105370</v>
      </c>
      <c r="G29" s="14">
        <f t="shared" si="8"/>
        <v>142000</v>
      </c>
      <c r="H29" s="14">
        <f t="shared" si="8"/>
        <v>143932.63014999998</v>
      </c>
      <c r="I29" s="14">
        <f t="shared" si="8"/>
        <v>148480.02257525001</v>
      </c>
      <c r="J29" s="14">
        <f t="shared" si="8"/>
        <v>153178.81122465627</v>
      </c>
      <c r="K29" s="14">
        <f t="shared" si="8"/>
        <v>157847.33753062409</v>
      </c>
      <c r="L29" s="14">
        <f t="shared" si="8"/>
        <v>161526.05123016643</v>
      </c>
    </row>
    <row r="30" spans="2:12" x14ac:dyDescent="0.35"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35">
      <c r="B31" t="s">
        <v>33</v>
      </c>
      <c r="D31" s="8">
        <v>2780</v>
      </c>
      <c r="E31" s="8">
        <v>3020</v>
      </c>
      <c r="F31" s="8">
        <v>4120</v>
      </c>
      <c r="G31" s="8">
        <v>3780</v>
      </c>
      <c r="H31" s="6">
        <f>'Income Statement'!H5*'Balance Sheet'!H56</f>
        <v>3804.3867</v>
      </c>
      <c r="I31" s="6">
        <f>'Income Statement'!I5*'Balance Sheet'!I56</f>
        <v>3924.5820945</v>
      </c>
      <c r="J31" s="6">
        <f>'Income Statement'!J5*'Balance Sheet'!J56</f>
        <v>4048.7791513125003</v>
      </c>
      <c r="K31" s="6">
        <f>'Income Statement'!K5*'Balance Sheet'!K56</f>
        <v>4172.1763223953503</v>
      </c>
      <c r="L31" s="6">
        <f>'Income Statement'!L5*'Balance Sheet'!L56</f>
        <v>4269.4110457312709</v>
      </c>
    </row>
    <row r="32" spans="2:12" x14ac:dyDescent="0.35">
      <c r="B32" t="s">
        <v>34</v>
      </c>
      <c r="D32" s="8">
        <v>88020</v>
      </c>
      <c r="E32" s="8">
        <v>90680</v>
      </c>
      <c r="F32" s="8">
        <v>95740</v>
      </c>
      <c r="G32" s="8">
        <v>104860</v>
      </c>
      <c r="H32" s="6">
        <f>'Working Capital'!H7</f>
        <v>109806.06543698629</v>
      </c>
      <c r="I32" s="6">
        <f>'Working Capital'!I7</f>
        <v>113275.26675495206</v>
      </c>
      <c r="J32" s="6">
        <f>'Working Capital'!J7</f>
        <v>116859.96810706078</v>
      </c>
      <c r="K32" s="6">
        <f>'Working Capital'!K7</f>
        <v>120421.58234639729</v>
      </c>
      <c r="L32" s="6">
        <f>'Working Capital'!L7</f>
        <v>123228.06949802449</v>
      </c>
    </row>
    <row r="33" spans="2:12" x14ac:dyDescent="0.35">
      <c r="B33" t="s">
        <v>30</v>
      </c>
      <c r="D33" s="8">
        <v>9280</v>
      </c>
      <c r="E33" s="8">
        <v>8990</v>
      </c>
      <c r="F33" s="8">
        <v>8890</v>
      </c>
      <c r="G33" s="8">
        <v>8650</v>
      </c>
      <c r="H33" s="6">
        <f>'Income Statement'!H5*'Balance Sheet'!H57</f>
        <v>8559.8700749999989</v>
      </c>
      <c r="I33" s="6">
        <f>'Income Statement'!I5*'Balance Sheet'!I57</f>
        <v>8830.3097126249995</v>
      </c>
      <c r="J33" s="6">
        <f>'Income Statement'!J5*'Balance Sheet'!J57</f>
        <v>9109.753090453125</v>
      </c>
      <c r="K33" s="6">
        <f>'Income Statement'!K5*'Balance Sheet'!K57</f>
        <v>9387.3967253895371</v>
      </c>
      <c r="L33" s="6">
        <f>'Income Statement'!L5*'Balance Sheet'!L57</f>
        <v>9606.1748528953594</v>
      </c>
    </row>
    <row r="34" spans="2:12" x14ac:dyDescent="0.35">
      <c r="B34" t="s">
        <v>35</v>
      </c>
      <c r="D34" s="8">
        <v>10950</v>
      </c>
      <c r="E34" s="8">
        <v>10110</v>
      </c>
      <c r="F34" s="8">
        <v>11530</v>
      </c>
      <c r="G34" s="8">
        <v>11470</v>
      </c>
      <c r="H34" s="6">
        <f>'Income Statement'!H5*'Balance Sheet'!H58</f>
        <v>11413.160100000001</v>
      </c>
      <c r="I34" s="6">
        <f>'Income Statement'!I5*'Balance Sheet'!I58</f>
        <v>11773.746283500002</v>
      </c>
      <c r="J34" s="6">
        <f>'Income Statement'!J5*'Balance Sheet'!J58</f>
        <v>12146.337453937502</v>
      </c>
      <c r="K34" s="6">
        <f>'Income Statement'!K5*'Balance Sheet'!K58</f>
        <v>12516.528967186052</v>
      </c>
      <c r="L34" s="6">
        <f>'Income Statement'!L5*'Balance Sheet'!L58</f>
        <v>12808.233137193814</v>
      </c>
    </row>
    <row r="35" spans="2:12" x14ac:dyDescent="0.35">
      <c r="B35" s="5" t="s">
        <v>36</v>
      </c>
      <c r="C35" s="5"/>
      <c r="D35" s="14">
        <f>SUM(D31:D34)</f>
        <v>111030</v>
      </c>
      <c r="E35" s="14">
        <f t="shared" ref="E35:L35" si="9">SUM(E31:E34)</f>
        <v>112800</v>
      </c>
      <c r="F35" s="14">
        <f t="shared" si="9"/>
        <v>120280</v>
      </c>
      <c r="G35" s="14">
        <f t="shared" si="9"/>
        <v>128760</v>
      </c>
      <c r="H35" s="14">
        <f t="shared" si="9"/>
        <v>133583.4823119863</v>
      </c>
      <c r="I35" s="14">
        <f t="shared" si="9"/>
        <v>137803.90484557705</v>
      </c>
      <c r="J35" s="14">
        <f t="shared" si="9"/>
        <v>142164.83780276391</v>
      </c>
      <c r="K35" s="14">
        <f t="shared" si="9"/>
        <v>146497.68436136821</v>
      </c>
      <c r="L35" s="14">
        <f t="shared" si="9"/>
        <v>149911.8885338449</v>
      </c>
    </row>
    <row r="36" spans="2:12" x14ac:dyDescent="0.35">
      <c r="D36" s="6"/>
      <c r="E36" s="6"/>
      <c r="F36" s="6"/>
      <c r="G36" s="6"/>
      <c r="H36" s="6"/>
      <c r="I36" s="6"/>
      <c r="J36" s="6"/>
      <c r="K36" s="6"/>
      <c r="L36" s="6"/>
    </row>
    <row r="37" spans="2:12" ht="15" thickBot="1" x14ac:dyDescent="0.4">
      <c r="B37" s="4" t="s">
        <v>37</v>
      </c>
      <c r="C37" s="4"/>
      <c r="D37" s="7">
        <f>D24+D29+D35</f>
        <v>687570</v>
      </c>
      <c r="E37" s="7">
        <f t="shared" ref="E37:L37" si="10">E24+E29+E35</f>
        <v>705170</v>
      </c>
      <c r="F37" s="7">
        <f t="shared" si="10"/>
        <v>730870</v>
      </c>
      <c r="G37" s="7">
        <f t="shared" si="10"/>
        <v>784990</v>
      </c>
      <c r="H37" s="7">
        <f t="shared" si="10"/>
        <v>901689.23293399625</v>
      </c>
      <c r="I37" s="7">
        <f t="shared" si="10"/>
        <v>1022664.3878429204</v>
      </c>
      <c r="J37" s="7">
        <f t="shared" si="10"/>
        <v>1146273.4699710642</v>
      </c>
      <c r="K37" s="7">
        <f t="shared" si="10"/>
        <v>1272095.2148656966</v>
      </c>
      <c r="L37" s="7">
        <f t="shared" si="10"/>
        <v>1397430.6754791148</v>
      </c>
    </row>
    <row r="38" spans="2:12" ht="15" thickTop="1" x14ac:dyDescent="0.35"/>
    <row r="39" spans="2:12" x14ac:dyDescent="0.35">
      <c r="B39" s="1" t="s">
        <v>49</v>
      </c>
      <c r="D39" s="6">
        <f>D19-D37</f>
        <v>0</v>
      </c>
      <c r="E39" s="6">
        <f t="shared" ref="E39:L39" si="11">E19-E37</f>
        <v>0</v>
      </c>
      <c r="F39" s="6">
        <f t="shared" si="11"/>
        <v>0</v>
      </c>
      <c r="G39" s="6">
        <f t="shared" si="11"/>
        <v>0</v>
      </c>
      <c r="H39" s="6">
        <f t="shared" si="11"/>
        <v>0</v>
      </c>
      <c r="I39" s="6">
        <f t="shared" si="11"/>
        <v>0</v>
      </c>
      <c r="J39" s="6">
        <f t="shared" si="11"/>
        <v>0</v>
      </c>
      <c r="K39" s="6">
        <f t="shared" si="11"/>
        <v>0</v>
      </c>
      <c r="L39" s="6">
        <f t="shared" si="11"/>
        <v>0</v>
      </c>
    </row>
    <row r="41" spans="2:12" x14ac:dyDescent="0.35">
      <c r="B41" s="1" t="s">
        <v>58</v>
      </c>
    </row>
    <row r="42" spans="2:12" x14ac:dyDescent="0.35">
      <c r="B42" t="s">
        <v>14</v>
      </c>
      <c r="D42" s="10">
        <f>D6/'Income Statement'!D5</f>
        <v>0.59390150548609344</v>
      </c>
      <c r="E42" s="10">
        <f>E6/'Income Statement'!E5</f>
        <v>0.53210921709949277</v>
      </c>
      <c r="F42" s="10">
        <f>F6/'Income Statement'!F5</f>
        <v>0.46654011224826675</v>
      </c>
      <c r="G42" s="10">
        <f>G6/'Income Statement'!G5</f>
        <v>0.45636228512343285</v>
      </c>
      <c r="H42" s="11">
        <v>0.45</v>
      </c>
      <c r="I42" s="11">
        <v>0.45</v>
      </c>
      <c r="J42" s="11">
        <v>0.45</v>
      </c>
      <c r="K42" s="11">
        <v>0.45</v>
      </c>
      <c r="L42" s="11">
        <v>0.45</v>
      </c>
    </row>
    <row r="43" spans="2:12" x14ac:dyDescent="0.35">
      <c r="B43" t="s">
        <v>16</v>
      </c>
      <c r="D43" s="10">
        <f>D8/'Income Statement'!D5</f>
        <v>1.849961724929829E-2</v>
      </c>
      <c r="E43" s="10">
        <f>E8/'Income Statement'!E5</f>
        <v>1.6130877473973231E-2</v>
      </c>
      <c r="F43" s="10">
        <f>F8/'Income Statement'!F5</f>
        <v>1.3618355893034005E-2</v>
      </c>
      <c r="G43" s="10">
        <f>G8/'Income Statement'!G5</f>
        <v>1.3958898797983715E-2</v>
      </c>
      <c r="H43" s="11">
        <v>1.4E-2</v>
      </c>
      <c r="I43" s="11">
        <v>1.4E-2</v>
      </c>
      <c r="J43" s="11">
        <v>1.4E-2</v>
      </c>
      <c r="K43" s="11">
        <v>1.4E-2</v>
      </c>
      <c r="L43" s="11">
        <v>1.4E-2</v>
      </c>
    </row>
    <row r="44" spans="2:12" x14ac:dyDescent="0.35">
      <c r="B44" t="s">
        <v>18</v>
      </c>
      <c r="D44" s="10">
        <f>D9/'Income Statement'!D5</f>
        <v>3.1513141107425362E-2</v>
      </c>
      <c r="E44" s="10">
        <f>E9/'Income Statement'!E5</f>
        <v>2.5988635930290202E-2</v>
      </c>
      <c r="F44" s="10">
        <f>F9/'Income Statement'!F5</f>
        <v>2.4001320567844174E-2</v>
      </c>
      <c r="G44" s="10">
        <f>G9/'Income Statement'!G5</f>
        <v>2.4912756882512602E-2</v>
      </c>
      <c r="H44" s="11">
        <v>2.4E-2</v>
      </c>
      <c r="I44" s="11">
        <v>2.4E-2</v>
      </c>
      <c r="J44" s="11">
        <v>2.4E-2</v>
      </c>
      <c r="K44" s="11">
        <v>2.4E-2</v>
      </c>
      <c r="L44" s="11">
        <v>2.4E-2</v>
      </c>
    </row>
    <row r="46" spans="2:12" x14ac:dyDescent="0.35">
      <c r="B46" s="1" t="s">
        <v>59</v>
      </c>
    </row>
    <row r="47" spans="2:12" x14ac:dyDescent="0.35">
      <c r="B47" t="s">
        <v>16</v>
      </c>
      <c r="D47" s="10">
        <f>D15/'Income Statement'!D5</f>
        <v>0.13872586544186441</v>
      </c>
      <c r="E47" s="10">
        <f>E15/'Income Statement'!E5</f>
        <v>0.13999161041833505</v>
      </c>
      <c r="F47" s="10">
        <f>F15/'Income Statement'!F5</f>
        <v>0.13530868273357544</v>
      </c>
      <c r="G47" s="10">
        <f>G15/'Income Statement'!G5</f>
        <v>0.2060714747318082</v>
      </c>
      <c r="H47" s="11">
        <v>0.2</v>
      </c>
      <c r="I47" s="11">
        <v>0.2</v>
      </c>
      <c r="J47" s="11">
        <v>0.2</v>
      </c>
      <c r="K47" s="11">
        <v>0.2</v>
      </c>
      <c r="L47" s="11">
        <v>0.2</v>
      </c>
    </row>
    <row r="48" spans="2:12" x14ac:dyDescent="0.35">
      <c r="B48" t="s">
        <v>22</v>
      </c>
      <c r="D48" s="10">
        <f>D16/'Income Statement'!D5</f>
        <v>1.0929658926596921E-2</v>
      </c>
      <c r="E48" s="10">
        <f>E16/'Income Statement'!E5</f>
        <v>1.3366128970750868E-2</v>
      </c>
      <c r="F48" s="10">
        <f>F16/'Income Statement'!F5</f>
        <v>1.249587322548696E-2</v>
      </c>
      <c r="G48" s="10">
        <f>G16/'Income Statement'!G5</f>
        <v>1.1713196329326613E-2</v>
      </c>
      <c r="H48" s="11">
        <v>1.2500000000000001E-2</v>
      </c>
      <c r="I48" s="11">
        <v>1.2500000000000001E-2</v>
      </c>
      <c r="J48" s="11">
        <v>1.2500000000000001E-2</v>
      </c>
      <c r="K48" s="11">
        <v>1.2500000000000001E-2</v>
      </c>
      <c r="L48" s="11">
        <v>1.2500000000000001E-2</v>
      </c>
    </row>
    <row r="50" spans="2:12" x14ac:dyDescent="0.35">
      <c r="B50" s="1" t="s">
        <v>60</v>
      </c>
    </row>
    <row r="51" spans="2:12" x14ac:dyDescent="0.35">
      <c r="B51" t="s">
        <v>29</v>
      </c>
      <c r="D51" s="10">
        <f>'Balance Sheet'!D26/'Income Statement'!D5</f>
        <v>1.5543931274985115E-2</v>
      </c>
      <c r="E51" s="10">
        <f>'Balance Sheet'!E26/'Income Statement'!E5</f>
        <v>1.4128818213019105E-2</v>
      </c>
      <c r="F51" s="10">
        <f>'Balance Sheet'!F26/'Income Statement'!F5</f>
        <v>1.3321228128095081E-2</v>
      </c>
      <c r="G51" s="10">
        <f>'Balance Sheet'!G26/'Income Statement'!G5</f>
        <v>1.7868682952048597E-2</v>
      </c>
      <c r="H51" s="11">
        <v>1.4999999999999999E-2</v>
      </c>
      <c r="I51" s="11">
        <v>1.4999999999999999E-2</v>
      </c>
      <c r="J51" s="11">
        <v>1.4999999999999999E-2</v>
      </c>
      <c r="K51" s="11">
        <v>1.4999999999999999E-2</v>
      </c>
      <c r="L51" s="11">
        <v>1.4999999999999999E-2</v>
      </c>
    </row>
    <row r="52" spans="2:12" x14ac:dyDescent="0.35">
      <c r="B52" t="s">
        <v>30</v>
      </c>
      <c r="D52" s="10">
        <f>D27/'Income Statement'!D5</f>
        <v>6.2941226503359701E-3</v>
      </c>
      <c r="E52" s="10">
        <f>E27/'Income Statement'!E5</f>
        <v>6.8070014872440221E-3</v>
      </c>
      <c r="F52" s="10">
        <f>F27/'Income Statement'!F5</f>
        <v>1.4196104324859689E-2</v>
      </c>
      <c r="G52" s="10">
        <f>G27/'Income Statement'!G5</f>
        <v>1.1600103399250355E-2</v>
      </c>
      <c r="H52" s="11">
        <v>1.2E-2</v>
      </c>
      <c r="I52" s="11">
        <v>1.2E-2</v>
      </c>
      <c r="J52" s="11">
        <v>1.2E-2</v>
      </c>
      <c r="K52" s="11">
        <v>1.2E-2</v>
      </c>
      <c r="L52" s="11">
        <v>1.2E-2</v>
      </c>
    </row>
    <row r="53" spans="2:12" x14ac:dyDescent="0.35">
      <c r="B53" t="s">
        <v>31</v>
      </c>
      <c r="D53" s="10">
        <f>D28/'Income Statement'!D5</f>
        <v>0.18995066768733521</v>
      </c>
      <c r="E53" s="10">
        <f>E28/'Income Statement'!E5</f>
        <v>0.17259657552530222</v>
      </c>
      <c r="F53" s="10">
        <f>F28/'Income Statement'!F5</f>
        <v>0.14641795972268076</v>
      </c>
      <c r="G53" s="10">
        <f>G28/'Income Statement'!G5</f>
        <v>0.19994830037482228</v>
      </c>
      <c r="H53" s="11">
        <v>0.2</v>
      </c>
      <c r="I53" s="11">
        <v>0.2</v>
      </c>
      <c r="J53" s="11">
        <v>0.2</v>
      </c>
      <c r="K53" s="11">
        <v>0.2</v>
      </c>
      <c r="L53" s="11">
        <v>0.2</v>
      </c>
    </row>
    <row r="55" spans="2:12" x14ac:dyDescent="0.35">
      <c r="B55" s="1" t="s">
        <v>61</v>
      </c>
    </row>
    <row r="56" spans="2:12" x14ac:dyDescent="0.35">
      <c r="B56" t="s">
        <v>33</v>
      </c>
      <c r="D56" s="10">
        <f>D31/'Income Statement'!D5</f>
        <v>5.9113719486263505E-3</v>
      </c>
      <c r="E56" s="10">
        <f>E31/'Income Statement'!E5</f>
        <v>5.7583037791251951E-3</v>
      </c>
      <c r="F56" s="10">
        <f>F31/'Income Statement'!F5</f>
        <v>6.8009243974909211E-3</v>
      </c>
      <c r="G56" s="10">
        <f>G31/'Income Statement'!G5</f>
        <v>6.1070182241178749E-3</v>
      </c>
      <c r="H56" s="11">
        <v>6.0000000000000001E-3</v>
      </c>
      <c r="I56" s="11">
        <v>6.0000000000000001E-3</v>
      </c>
      <c r="J56" s="11">
        <v>6.0000000000000001E-3</v>
      </c>
      <c r="K56" s="11">
        <v>6.0000000000000001E-3</v>
      </c>
      <c r="L56" s="11">
        <v>6.0000000000000001E-3</v>
      </c>
    </row>
    <row r="57" spans="2:12" x14ac:dyDescent="0.35">
      <c r="B57" t="s">
        <v>30</v>
      </c>
      <c r="D57" s="10">
        <f>D33/'Income Statement'!D5</f>
        <v>1.9732925065918176E-2</v>
      </c>
      <c r="E57" s="10">
        <f>E33/'Income Statement'!E5</f>
        <v>1.7141440719978644E-2</v>
      </c>
      <c r="F57" s="10">
        <f>F33/'Income Statement'!F5</f>
        <v>1.4674810168372399E-2</v>
      </c>
      <c r="G57" s="10">
        <f>G33/'Income Statement'!G5</f>
        <v>1.397505493085175E-2</v>
      </c>
      <c r="H57" s="11">
        <v>1.35E-2</v>
      </c>
      <c r="I57" s="11">
        <v>1.35E-2</v>
      </c>
      <c r="J57" s="11">
        <v>1.35E-2</v>
      </c>
      <c r="K57" s="11">
        <v>1.35E-2</v>
      </c>
      <c r="L57" s="11">
        <v>1.35E-2</v>
      </c>
    </row>
    <row r="58" spans="2:12" x14ac:dyDescent="0.35">
      <c r="B58" t="s">
        <v>35</v>
      </c>
      <c r="D58" s="10">
        <f>D34/'Income Statement'!D5</f>
        <v>2.3284001020668538E-2</v>
      </c>
      <c r="E58" s="10">
        <f>E34/'Income Statement'!E5</f>
        <v>1.927697059832971E-2</v>
      </c>
      <c r="F58" s="10">
        <f>F34/'Income Statement'!F5</f>
        <v>1.9032684054143281E-2</v>
      </c>
      <c r="G58" s="10">
        <f>G34/'Income Statement'!G5</f>
        <v>1.8531084399638104E-2</v>
      </c>
      <c r="H58" s="11">
        <v>1.8000000000000002E-2</v>
      </c>
      <c r="I58" s="11">
        <v>1.8000000000000002E-2</v>
      </c>
      <c r="J58" s="11">
        <v>1.8000000000000002E-2</v>
      </c>
      <c r="K58" s="11">
        <v>1.8000000000000002E-2</v>
      </c>
      <c r="L58" s="11">
        <v>1.8000000000000002E-2</v>
      </c>
    </row>
  </sheetData>
  <pageMargins left="0.7" right="0.7" top="0.75" bottom="0.75" header="0.3" footer="0.3"/>
  <ignoredErrors>
    <ignoredError sqref="H22:L2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34A3-3A4A-43E6-BB4E-602401D85449}">
  <sheetPr>
    <tabColor rgb="FFFF0000"/>
  </sheetPr>
  <dimension ref="B1:H27"/>
  <sheetViews>
    <sheetView showGridLines="0" zoomScale="80" zoomScaleNormal="80" workbookViewId="0"/>
  </sheetViews>
  <sheetFormatPr defaultRowHeight="14.5" x14ac:dyDescent="0.35"/>
  <cols>
    <col min="1" max="1" width="1.81640625" customWidth="1"/>
    <col min="2" max="2" width="25.6328125" customWidth="1"/>
    <col min="4" max="8" width="10" bestFit="1" customWidth="1"/>
  </cols>
  <sheetData>
    <row r="1" spans="2:8" ht="19.5" x14ac:dyDescent="0.45">
      <c r="B1" s="30" t="str">
        <f>"Cash Flow - " &amp; Drivers!C2</f>
        <v>Cash Flow - Hindustan Unilever Limited</v>
      </c>
      <c r="C1" s="31"/>
      <c r="D1" s="31"/>
      <c r="E1" s="31"/>
      <c r="F1" s="31"/>
      <c r="G1" s="31"/>
      <c r="H1" s="31"/>
    </row>
    <row r="3" spans="2:8" x14ac:dyDescent="0.35">
      <c r="B3" s="27" t="s">
        <v>0</v>
      </c>
      <c r="C3" s="27"/>
      <c r="D3" s="29">
        <v>2025</v>
      </c>
      <c r="E3" s="29">
        <f t="shared" ref="E3:G3" si="0">D3+1</f>
        <v>2026</v>
      </c>
      <c r="F3" s="29">
        <f t="shared" si="0"/>
        <v>2027</v>
      </c>
      <c r="G3" s="29">
        <f t="shared" si="0"/>
        <v>2028</v>
      </c>
      <c r="H3" s="29">
        <f>G3+1</f>
        <v>2029</v>
      </c>
    </row>
    <row r="4" spans="2:8" x14ac:dyDescent="0.35">
      <c r="B4" s="126" t="s">
        <v>239</v>
      </c>
    </row>
    <row r="5" spans="2:8" x14ac:dyDescent="0.35">
      <c r="B5" t="s">
        <v>9</v>
      </c>
      <c r="D5" s="6">
        <f>'Income Statement'!H18</f>
        <v>148191.98359999995</v>
      </c>
      <c r="E5" s="6">
        <f>'Income Statement'!I18</f>
        <v>151257.86655599999</v>
      </c>
      <c r="F5" s="6">
        <f>'Income Statement'!J18</f>
        <v>154429.05385700002</v>
      </c>
      <c r="G5" s="6">
        <f>'Income Statement'!K18</f>
        <v>157505.08068610154</v>
      </c>
      <c r="H5" s="6">
        <f>'Income Statement'!L18</f>
        <v>159438.02775612197</v>
      </c>
    </row>
    <row r="6" spans="2:8" x14ac:dyDescent="0.35">
      <c r="B6" t="s">
        <v>65</v>
      </c>
      <c r="D6" s="6">
        <f>-D5*'Income Statement'!H44</f>
        <v>-37299.922272119984</v>
      </c>
      <c r="E6" s="6">
        <f>-E5*'Income Statement'!I44</f>
        <v>-38071.605012145192</v>
      </c>
      <c r="F6" s="6">
        <f>-F5*'Income Statement'!J44</f>
        <v>-38869.792855806903</v>
      </c>
      <c r="G6" s="6">
        <f>-G5*'Income Statement'!K44</f>
        <v>-39644.028808691757</v>
      </c>
      <c r="H6" s="6">
        <f>-H5*'Income Statement'!L44</f>
        <v>-40130.551586215894</v>
      </c>
    </row>
    <row r="7" spans="2:8" x14ac:dyDescent="0.35">
      <c r="B7" t="s">
        <v>66</v>
      </c>
      <c r="D7" s="6">
        <f t="shared" ref="D7:H7" si="1">SUM(D5:D6)</f>
        <v>110892.06132787996</v>
      </c>
      <c r="E7" s="6">
        <f t="shared" si="1"/>
        <v>113186.26154385481</v>
      </c>
      <c r="F7" s="6">
        <f t="shared" si="1"/>
        <v>115559.26100119311</v>
      </c>
      <c r="G7" s="6">
        <f t="shared" si="1"/>
        <v>117861.05187740979</v>
      </c>
      <c r="H7" s="6">
        <f t="shared" si="1"/>
        <v>119307.47616990608</v>
      </c>
    </row>
    <row r="8" spans="2:8" x14ac:dyDescent="0.35">
      <c r="B8" t="s">
        <v>52</v>
      </c>
      <c r="D8" s="6">
        <f>-'Income Statement'!H16</f>
        <v>10958.19335</v>
      </c>
      <c r="E8" s="6">
        <f>-'Income Statement'!I16</f>
        <v>12920.48439725</v>
      </c>
      <c r="F8" s="6">
        <f>-'Income Statement'!J16</f>
        <v>14944.873972906251</v>
      </c>
      <c r="G8" s="6">
        <f>-'Income Statement'!K16</f>
        <v>17030.962134103927</v>
      </c>
      <c r="H8" s="6">
        <f>-'Income Statement'!L16</f>
        <v>19165.667656969563</v>
      </c>
    </row>
    <row r="9" spans="2:8" x14ac:dyDescent="0.35">
      <c r="B9" s="5" t="s">
        <v>67</v>
      </c>
      <c r="C9" s="5"/>
      <c r="D9" s="14">
        <f t="shared" ref="D9:H9" si="2">SUM(D7:D8)</f>
        <v>121850.25467787996</v>
      </c>
      <c r="E9" s="14">
        <f t="shared" si="2"/>
        <v>126106.7459411048</v>
      </c>
      <c r="F9" s="14">
        <f t="shared" si="2"/>
        <v>130504.13497409936</v>
      </c>
      <c r="G9" s="14">
        <f t="shared" si="2"/>
        <v>134892.0140115137</v>
      </c>
      <c r="H9" s="14">
        <f t="shared" si="2"/>
        <v>138473.14382687563</v>
      </c>
    </row>
    <row r="10" spans="2:8" x14ac:dyDescent="0.35">
      <c r="D10" s="12"/>
      <c r="E10" s="12"/>
      <c r="F10" s="12"/>
      <c r="G10" s="12"/>
      <c r="H10" s="12"/>
    </row>
    <row r="11" spans="2:8" x14ac:dyDescent="0.35">
      <c r="B11" t="s">
        <v>68</v>
      </c>
      <c r="D11" s="6">
        <f>-'Working Capital'!H10</f>
        <v>2157.8529863013682</v>
      </c>
      <c r="E11" s="6">
        <f>-'Working Capital'!I10</f>
        <v>1163.5353257534298</v>
      </c>
      <c r="F11" s="6">
        <f>-'Working Capital'!J10</f>
        <v>1202.272878732867</v>
      </c>
      <c r="G11" s="6">
        <f>-'Working Capital'!K10</f>
        <v>1194.5296926741721</v>
      </c>
      <c r="H11" s="6">
        <f>-'Working Capital'!L10</f>
        <v>941.26764142533648</v>
      </c>
    </row>
    <row r="12" spans="2:8" x14ac:dyDescent="0.35">
      <c r="B12" t="s">
        <v>51</v>
      </c>
      <c r="D12" s="6">
        <f>-'Fixed Asset Rollover'!H5</f>
        <v>-19021.933499999999</v>
      </c>
      <c r="E12" s="6">
        <f>-'Fixed Asset Rollover'!I5</f>
        <v>-19622.9104725</v>
      </c>
      <c r="F12" s="6">
        <f>-'Fixed Asset Rollover'!J5</f>
        <v>-20243.895756562499</v>
      </c>
      <c r="G12" s="6">
        <f>-'Fixed Asset Rollover'!K5</f>
        <v>-20860.881611976751</v>
      </c>
      <c r="H12" s="6">
        <f>-'Fixed Asset Rollover'!L5</f>
        <v>-21347.055228656354</v>
      </c>
    </row>
    <row r="13" spans="2:8" x14ac:dyDescent="0.35">
      <c r="B13" t="s">
        <v>69</v>
      </c>
      <c r="D13" s="6">
        <f>-(SUM('Balance Sheet'!H6:H9)-SUM('Balance Sheet'!G6:G9))-(SUM('Balance Sheet'!H15:H16)-SUM('Balance Sheet'!G15:G16))</f>
        <v>-2832.1472250000224</v>
      </c>
      <c r="E13" s="6">
        <f>-(SUM('Balance Sheet'!I6:I9)-SUM('Balance Sheet'!H6:H9))-(SUM('Balance Sheet'!I15:I16)-SUM('Balance Sheet'!H15:H16))</f>
        <v>-14032.812307875021</v>
      </c>
      <c r="F13" s="6">
        <f>-(SUM('Balance Sheet'!J6:J9)-SUM('Balance Sheet'!I6:I9))-(SUM('Balance Sheet'!J15:J16)-SUM('Balance Sheet'!I15:I16))</f>
        <v>-14500.006382859312</v>
      </c>
      <c r="G13" s="6">
        <f>-(SUM('Balance Sheet'!K6:K9)-SUM('Balance Sheet'!J6:J9))-(SUM('Balance Sheet'!K15:K16)-SUM('Balance Sheet'!J15:J16))</f>
        <v>-14406.619723922748</v>
      </c>
      <c r="H13" s="6">
        <f>-(SUM('Balance Sheet'!L6:L9)-SUM('Balance Sheet'!K6:K9))-(SUM('Balance Sheet'!L15:L16)-SUM('Balance Sheet'!K15:K16))</f>
        <v>-11352.153949468804</v>
      </c>
    </row>
    <row r="14" spans="2:8" x14ac:dyDescent="0.35">
      <c r="B14" t="s">
        <v>70</v>
      </c>
      <c r="D14" s="6">
        <f>(SUM('Balance Sheet'!H27:H28)-SUM('Balance Sheet'!G27:G28))+(SUM('Balance Sheet'!H33:H34)-SUM('Balance Sheet'!G33:G34))</f>
        <v>3334.6935749999902</v>
      </c>
      <c r="E14" s="6">
        <f>(SUM('Balance Sheet'!I27:I28)-SUM('Balance Sheet'!H27:H28))+(SUM('Balance Sheet'!I33:I34)-SUM('Balance Sheet'!H33:H34))</f>
        <v>4877.9297601250146</v>
      </c>
      <c r="F14" s="6">
        <f>(SUM('Balance Sheet'!J27:J28)-SUM('Balance Sheet'!I27:I28))+(SUM('Balance Sheet'!J33:J34)-SUM('Balance Sheet'!I33:I34))</f>
        <v>5040.3305556406231</v>
      </c>
      <c r="G14" s="6">
        <f>(SUM('Balance Sheet'!K27:K28)-SUM('Balance Sheet'!J27:J28))+(SUM('Balance Sheet'!K33:K34)-SUM('Balance Sheet'!J33:J34))</f>
        <v>5007.868526445669</v>
      </c>
      <c r="H14" s="6">
        <f>(SUM('Balance Sheet'!L27:L28)-SUM('Balance Sheet'!K27:K28))+(SUM('Balance Sheet'!L33:L34)-SUM('Balance Sheet'!K33:K34))</f>
        <v>3946.1091887161383</v>
      </c>
    </row>
    <row r="15" spans="2:8" x14ac:dyDescent="0.35">
      <c r="D15" s="6"/>
      <c r="E15" s="6"/>
      <c r="F15" s="6"/>
      <c r="G15" s="6"/>
      <c r="H15" s="6"/>
    </row>
    <row r="16" spans="2:8" ht="15" thickBot="1" x14ac:dyDescent="0.4">
      <c r="B16" s="78" t="s">
        <v>71</v>
      </c>
      <c r="C16" s="78"/>
      <c r="D16" s="94">
        <f t="shared" ref="D16:H16" si="3">D9+D11+D12+D13+D14</f>
        <v>105488.7205141813</v>
      </c>
      <c r="E16" s="94">
        <f t="shared" si="3"/>
        <v>98492.48824660822</v>
      </c>
      <c r="F16" s="94">
        <f t="shared" si="3"/>
        <v>102002.83626905104</v>
      </c>
      <c r="G16" s="94">
        <f t="shared" si="3"/>
        <v>105826.91089473406</v>
      </c>
      <c r="H16" s="94">
        <f t="shared" si="3"/>
        <v>110661.31147889193</v>
      </c>
    </row>
    <row r="17" spans="2:8" ht="15" thickTop="1" x14ac:dyDescent="0.35">
      <c r="D17" s="6"/>
      <c r="E17" s="6"/>
      <c r="F17" s="6"/>
      <c r="G17" s="6"/>
      <c r="H17" s="6"/>
    </row>
    <row r="18" spans="2:8" x14ac:dyDescent="0.35">
      <c r="B18" t="s">
        <v>72</v>
      </c>
      <c r="D18" s="6">
        <f>'Income Statement'!H20</f>
        <v>-1268.1288999999999</v>
      </c>
      <c r="E18" s="6">
        <f>'Income Statement'!I20</f>
        <v>-1308.1940315000002</v>
      </c>
      <c r="F18" s="6">
        <f>'Income Statement'!J20</f>
        <v>-1349.5930504375001</v>
      </c>
      <c r="G18" s="6">
        <f>'Income Statement'!K20</f>
        <v>-1390.7254407984501</v>
      </c>
      <c r="H18" s="6">
        <f>'Income Statement'!L20</f>
        <v>-1423.1370152437571</v>
      </c>
    </row>
    <row r="19" spans="2:8" x14ac:dyDescent="0.35">
      <c r="B19" t="s">
        <v>73</v>
      </c>
      <c r="D19" s="6">
        <f>('Balance Sheet'!H26-'Balance Sheet'!G26)+('Balance Sheet'!H31-'Balance Sheet'!G31)</f>
        <v>-1524.6465500000004</v>
      </c>
      <c r="E19" s="6">
        <f>('Balance Sheet'!I26-'Balance Sheet'!H26)+('Balance Sheet'!I31-'Balance Sheet'!H31)</f>
        <v>420.6838807500003</v>
      </c>
      <c r="F19" s="6">
        <f>('Balance Sheet'!J26-'Balance Sheet'!I26)+('Balance Sheet'!J31-'Balance Sheet'!I31)</f>
        <v>434.68969884374974</v>
      </c>
      <c r="G19" s="6">
        <f>('Balance Sheet'!K26-'Balance Sheet'!J26)+('Balance Sheet'!K31-'Balance Sheet'!J31)</f>
        <v>431.89009878997604</v>
      </c>
      <c r="H19" s="6">
        <f>('Balance Sheet'!L26-'Balance Sheet'!K26)+('Balance Sheet'!L31-'Balance Sheet'!K31)</f>
        <v>340.32153167572233</v>
      </c>
    </row>
    <row r="20" spans="2:8" x14ac:dyDescent="0.35">
      <c r="B20" t="s">
        <v>74</v>
      </c>
      <c r="D20" s="6">
        <f>('Balance Sheet'!H22-'Balance Sheet'!G22-'Income Statement'!H28)</f>
        <v>2.9103830456733704E-11</v>
      </c>
      <c r="E20" s="6">
        <f>('Balance Sheet'!I22-'Balance Sheet'!H22-'Income Statement'!I28)</f>
        <v>-5.8207660913467407E-11</v>
      </c>
      <c r="F20" s="6">
        <f>('Balance Sheet'!J22-'Balance Sheet'!I22-'Income Statement'!J28)</f>
        <v>2.9103830456733704E-11</v>
      </c>
      <c r="G20" s="6">
        <f>('Balance Sheet'!K22-'Balance Sheet'!J22-'Income Statement'!K28)</f>
        <v>-4.3655745685100555E-11</v>
      </c>
      <c r="H20" s="6">
        <f>('Balance Sheet'!L22-'Balance Sheet'!K22-'Income Statement'!L28)</f>
        <v>8.7311491370201111E-11</v>
      </c>
    </row>
    <row r="21" spans="2:8" x14ac:dyDescent="0.35">
      <c r="B21" t="s">
        <v>75</v>
      </c>
      <c r="D21" s="6">
        <f>'Income Statement'!H26-'Cash Flow'!D6</f>
        <v>319.1880441300018</v>
      </c>
      <c r="E21" s="6">
        <f>'Income Statement'!I26-'Cash Flow'!E6</f>
        <v>329.27243772854854</v>
      </c>
      <c r="F21" s="6">
        <f>'Income Statement'!J26-'Cash Flow'!F6</f>
        <v>339.69257079512317</v>
      </c>
      <c r="G21" s="6">
        <f>'Income Statement'!K26-'Cash Flow'!G6</f>
        <v>350.0455934489728</v>
      </c>
      <c r="H21" s="6">
        <f>'Income Statement'!L26-'Cash Flow'!H6</f>
        <v>358.20358673685405</v>
      </c>
    </row>
    <row r="22" spans="2:8" x14ac:dyDescent="0.35">
      <c r="B22" t="s">
        <v>81</v>
      </c>
      <c r="D22" s="26">
        <v>0</v>
      </c>
      <c r="E22" s="26" t="s">
        <v>80</v>
      </c>
      <c r="F22" s="26" t="s">
        <v>80</v>
      </c>
      <c r="G22" s="26" t="s">
        <v>80</v>
      </c>
      <c r="H22" s="26" t="s">
        <v>80</v>
      </c>
    </row>
    <row r="23" spans="2:8" x14ac:dyDescent="0.35">
      <c r="D23" s="26"/>
      <c r="E23" s="26"/>
      <c r="F23" s="26"/>
      <c r="G23" s="26"/>
      <c r="H23" s="26"/>
    </row>
    <row r="24" spans="2:8" ht="15" thickBot="1" x14ac:dyDescent="0.4">
      <c r="B24" s="78" t="s">
        <v>82</v>
      </c>
      <c r="C24" s="78"/>
      <c r="D24" s="94">
        <f t="shared" ref="D24:H24" si="4">SUM(D16:D21)</f>
        <v>103015.13310831133</v>
      </c>
      <c r="E24" s="94">
        <f t="shared" si="4"/>
        <v>97934.250533586717</v>
      </c>
      <c r="F24" s="94">
        <f t="shared" si="4"/>
        <v>101427.62548825244</v>
      </c>
      <c r="G24" s="94">
        <f t="shared" si="4"/>
        <v>105218.12114617451</v>
      </c>
      <c r="H24" s="94">
        <f t="shared" si="4"/>
        <v>109936.69958206084</v>
      </c>
    </row>
    <row r="25" spans="2:8" ht="15" thickTop="1" x14ac:dyDescent="0.35">
      <c r="B25" s="1"/>
      <c r="C25" s="1"/>
      <c r="D25" s="25"/>
      <c r="E25" s="25"/>
      <c r="F25" s="25"/>
      <c r="G25" s="25"/>
      <c r="H25" s="25"/>
    </row>
    <row r="26" spans="2:8" x14ac:dyDescent="0.35">
      <c r="B26" s="1" t="s">
        <v>83</v>
      </c>
      <c r="C26" s="1"/>
      <c r="D26" s="25">
        <f>'Balance Sheet'!G12</f>
        <v>8250</v>
      </c>
      <c r="E26" s="25">
        <f>D27</f>
        <v>111265.13310831133</v>
      </c>
      <c r="F26" s="25">
        <f t="shared" ref="F26:H26" si="5">E27</f>
        <v>209199.38364189805</v>
      </c>
      <c r="G26" s="25">
        <f t="shared" si="5"/>
        <v>310627.00913015049</v>
      </c>
      <c r="H26" s="25">
        <f t="shared" si="5"/>
        <v>415845.13027632498</v>
      </c>
    </row>
    <row r="27" spans="2:8" x14ac:dyDescent="0.35">
      <c r="B27" s="1" t="s">
        <v>84</v>
      </c>
      <c r="C27" s="1"/>
      <c r="D27" s="25">
        <f>D24+D26</f>
        <v>111265.13310831133</v>
      </c>
      <c r="E27" s="25">
        <f>E24+E26</f>
        <v>209199.38364189805</v>
      </c>
      <c r="F27" s="25">
        <f t="shared" ref="F27:H27" si="6">F24+F26</f>
        <v>310627.00913015049</v>
      </c>
      <c r="G27" s="25">
        <f t="shared" si="6"/>
        <v>415845.13027632498</v>
      </c>
      <c r="H27" s="25">
        <f t="shared" si="6"/>
        <v>525781.82985838584</v>
      </c>
    </row>
  </sheetData>
  <pageMargins left="0.7" right="0.7" top="0.75" bottom="0.75" header="0.3" footer="0.3"/>
  <ignoredErrors>
    <ignoredError sqref="D13:H13 D14:H14" formulaRange="1"/>
    <ignoredError sqref="D8:H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C17-00C3-470A-BD9A-9095789F28D2}">
  <sheetPr>
    <tabColor rgb="FF0070C0"/>
  </sheetPr>
  <dimension ref="B1:L17"/>
  <sheetViews>
    <sheetView showGridLines="0" zoomScale="80" zoomScaleNormal="80" workbookViewId="0">
      <selection activeCell="H5" sqref="H5"/>
    </sheetView>
  </sheetViews>
  <sheetFormatPr defaultRowHeight="14.5" x14ac:dyDescent="0.35"/>
  <cols>
    <col min="1" max="1" width="1.81640625" customWidth="1"/>
    <col min="2" max="2" width="25.6328125" customWidth="1"/>
    <col min="8" max="8" width="8.7265625" customWidth="1"/>
  </cols>
  <sheetData>
    <row r="1" spans="2:12" ht="19.5" x14ac:dyDescent="0.45">
      <c r="B1" s="30" t="str">
        <f>"Working Capital - " &amp; Drivers!C2</f>
        <v>Working Capital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s="126" t="s">
        <v>239</v>
      </c>
    </row>
    <row r="5" spans="2:12" x14ac:dyDescent="0.35">
      <c r="B5" t="s">
        <v>21</v>
      </c>
      <c r="D5" s="8">
        <f>'Balance Sheet'!D14</f>
        <v>17580</v>
      </c>
      <c r="E5" s="8">
        <f>'Balance Sheet'!E14</f>
        <v>22360</v>
      </c>
      <c r="F5" s="8">
        <f>'Balance Sheet'!F14</f>
        <v>30790</v>
      </c>
      <c r="G5" s="8">
        <f>'Balance Sheet'!G14</f>
        <v>29970</v>
      </c>
      <c r="H5" s="6">
        <f>H12*'Income Statement'!H5/365</f>
        <v>31268.931780821917</v>
      </c>
      <c r="I5" s="6">
        <f>I12*'Income Statement'!I5/365</f>
        <v>32256.839132876714</v>
      </c>
      <c r="J5" s="6">
        <f>J12*'Income Statement'!J5/365</f>
        <v>33277.636860102743</v>
      </c>
      <c r="K5" s="6">
        <f>K12*'Income Statement'!K5/365</f>
        <v>34291.860184071375</v>
      </c>
      <c r="L5" s="6">
        <f>L12*'Income Statement'!L5/365</f>
        <v>35091.049690941953</v>
      </c>
    </row>
    <row r="6" spans="2:12" x14ac:dyDescent="0.35">
      <c r="B6" t="s">
        <v>20</v>
      </c>
      <c r="D6" s="8">
        <f>'Balance Sheet'!D13</f>
        <v>35790</v>
      </c>
      <c r="E6" s="8">
        <f>'Balance Sheet'!E13</f>
        <v>40960</v>
      </c>
      <c r="F6" s="8">
        <f>'Balance Sheet'!F13</f>
        <v>42510</v>
      </c>
      <c r="G6" s="8">
        <f>'Balance Sheet'!G13</f>
        <v>40220</v>
      </c>
      <c r="H6" s="6">
        <f>H13*-'Income Statement'!H6/365</f>
        <v>41709.280669863008</v>
      </c>
      <c r="I6" s="6">
        <f>I13*-'Income Statement'!I6/365</f>
        <v>43027.039310020547</v>
      </c>
      <c r="J6" s="6">
        <f>J13*-'Income Statement'!J6/365</f>
        <v>44388.670056170376</v>
      </c>
      <c r="K6" s="6">
        <f>K13*-'Income Statement'!K6/365</f>
        <v>45741.531278864088</v>
      </c>
      <c r="L6" s="6">
        <f>L13*-'Income Statement'!L6/365</f>
        <v>46807.561282195355</v>
      </c>
    </row>
    <row r="7" spans="2:12" x14ac:dyDescent="0.35">
      <c r="B7" t="s">
        <v>34</v>
      </c>
      <c r="D7" s="8">
        <f>'Balance Sheet'!D32</f>
        <v>88020</v>
      </c>
      <c r="E7" s="8">
        <f>'Balance Sheet'!E32</f>
        <v>90680</v>
      </c>
      <c r="F7" s="8">
        <f>'Balance Sheet'!F32</f>
        <v>95740</v>
      </c>
      <c r="G7" s="8">
        <f>'Balance Sheet'!G32</f>
        <v>104860</v>
      </c>
      <c r="H7" s="6">
        <f>H14*-'Income Statement'!H6/365</f>
        <v>109806.06543698629</v>
      </c>
      <c r="I7" s="6">
        <f>I14*-'Income Statement'!I6/365</f>
        <v>113275.26675495206</v>
      </c>
      <c r="J7" s="6">
        <f>J14*-'Income Statement'!J6/365</f>
        <v>116859.96810706078</v>
      </c>
      <c r="K7" s="6">
        <f>K14*-'Income Statement'!K6/365</f>
        <v>120421.58234639729</v>
      </c>
      <c r="L7" s="6">
        <f>L14*-'Income Statement'!L6/365</f>
        <v>123228.06949802449</v>
      </c>
    </row>
    <row r="9" spans="2:12" x14ac:dyDescent="0.35">
      <c r="B9" s="15" t="s">
        <v>43</v>
      </c>
      <c r="C9" s="15"/>
      <c r="D9" s="16">
        <f>D5+D6-D7</f>
        <v>-34650</v>
      </c>
      <c r="E9" s="16">
        <f t="shared" ref="E9:L9" si="1">E5+E6-E7</f>
        <v>-27360</v>
      </c>
      <c r="F9" s="16">
        <f t="shared" si="1"/>
        <v>-22440</v>
      </c>
      <c r="G9" s="16">
        <f t="shared" si="1"/>
        <v>-34670</v>
      </c>
      <c r="H9" s="16">
        <f t="shared" si="1"/>
        <v>-36827.852986301368</v>
      </c>
      <c r="I9" s="16">
        <f t="shared" si="1"/>
        <v>-37991.388312054798</v>
      </c>
      <c r="J9" s="16">
        <f t="shared" si="1"/>
        <v>-39193.661190787665</v>
      </c>
      <c r="K9" s="16">
        <f t="shared" si="1"/>
        <v>-40388.190883461837</v>
      </c>
      <c r="L9" s="16">
        <f t="shared" si="1"/>
        <v>-41329.458524887174</v>
      </c>
    </row>
    <row r="10" spans="2:12" ht="15" thickBot="1" x14ac:dyDescent="0.4">
      <c r="B10" s="17" t="s">
        <v>44</v>
      </c>
      <c r="C10" s="17"/>
      <c r="D10" s="17"/>
      <c r="E10" s="18">
        <f>E9-D9</f>
        <v>7290</v>
      </c>
      <c r="F10" s="18">
        <f t="shared" ref="F10:L10" si="2">F9-E9</f>
        <v>4920</v>
      </c>
      <c r="G10" s="18">
        <f t="shared" si="2"/>
        <v>-12230</v>
      </c>
      <c r="H10" s="18">
        <f t="shared" si="2"/>
        <v>-2157.8529863013682</v>
      </c>
      <c r="I10" s="18">
        <f t="shared" si="2"/>
        <v>-1163.5353257534298</v>
      </c>
      <c r="J10" s="18">
        <f t="shared" si="2"/>
        <v>-1202.272878732867</v>
      </c>
      <c r="K10" s="18">
        <f t="shared" si="2"/>
        <v>-1194.5296926741721</v>
      </c>
      <c r="L10" s="18">
        <f t="shared" si="2"/>
        <v>-941.26764142533648</v>
      </c>
    </row>
    <row r="11" spans="2:12" ht="15" thickTop="1" x14ac:dyDescent="0.35"/>
    <row r="12" spans="2:12" x14ac:dyDescent="0.35">
      <c r="B12" t="s">
        <v>45</v>
      </c>
      <c r="D12" s="12">
        <f>D5/'Income Statement'!D5*365</f>
        <v>13.644424598111764</v>
      </c>
      <c r="E12" s="12">
        <f>E5/'Income Statement'!E5*365</f>
        <v>15.561529954619989</v>
      </c>
      <c r="F12" s="12">
        <f>F5/'Income Statement'!F5*365</f>
        <v>18.551254539451964</v>
      </c>
      <c r="G12" s="12">
        <f>G5/'Income Statement'!G5*365</f>
        <v>17.673274525009692</v>
      </c>
      <c r="H12">
        <v>18</v>
      </c>
      <c r="I12">
        <v>18</v>
      </c>
      <c r="J12">
        <v>18</v>
      </c>
      <c r="K12">
        <v>18</v>
      </c>
      <c r="L12">
        <v>18</v>
      </c>
    </row>
    <row r="13" spans="2:12" x14ac:dyDescent="0.35">
      <c r="B13" t="s">
        <v>46</v>
      </c>
      <c r="D13" s="12">
        <f>D6/-'Income Statement'!D6*365</f>
        <v>58.982075130937332</v>
      </c>
      <c r="E13" s="12">
        <f>E6/-'Income Statement'!E6*365</f>
        <v>58.093646784534677</v>
      </c>
      <c r="F13" s="12">
        <f>F6/-'Income Statement'!F6*365</f>
        <v>48.922152856602345</v>
      </c>
      <c r="G13" s="12">
        <f>G6/-'Income Statement'!G6*365</f>
        <v>49.328965053763447</v>
      </c>
      <c r="H13">
        <v>49</v>
      </c>
      <c r="I13">
        <v>49</v>
      </c>
      <c r="J13">
        <v>49</v>
      </c>
      <c r="K13">
        <v>49</v>
      </c>
      <c r="L13">
        <v>49</v>
      </c>
    </row>
    <row r="14" spans="2:12" x14ac:dyDescent="0.35">
      <c r="B14" t="s">
        <v>47</v>
      </c>
      <c r="D14" s="12">
        <f>D7/-'Income Statement'!D6*365</f>
        <v>145.05734152067905</v>
      </c>
      <c r="E14" s="12">
        <f>E7/-'Income Statement'!E6*365</f>
        <v>128.61161841849619</v>
      </c>
      <c r="F14" s="12">
        <f>F7/-'Income Statement'!F6*365</f>
        <v>110.18129650649514</v>
      </c>
      <c r="G14" s="12">
        <f>G7/-'Income Statement'!G6*365</f>
        <v>128.60853494623657</v>
      </c>
      <c r="H14">
        <v>129</v>
      </c>
      <c r="I14">
        <v>129</v>
      </c>
      <c r="J14">
        <v>129</v>
      </c>
      <c r="K14">
        <v>129</v>
      </c>
      <c r="L14">
        <v>129</v>
      </c>
    </row>
    <row r="16" spans="2:12" ht="15" thickBot="1" x14ac:dyDescent="0.4">
      <c r="B16" s="4" t="s">
        <v>48</v>
      </c>
      <c r="C16" s="4"/>
      <c r="D16" s="13">
        <f>D12+D13-D14</f>
        <v>-72.430841791629945</v>
      </c>
      <c r="E16" s="13">
        <f t="shared" ref="E16:L16" si="3">E12+E13-E14</f>
        <v>-54.956441679341523</v>
      </c>
      <c r="F16" s="13">
        <f t="shared" si="3"/>
        <v>-42.707889110440831</v>
      </c>
      <c r="G16" s="13">
        <f t="shared" si="3"/>
        <v>-61.606295367463431</v>
      </c>
      <c r="H16" s="13">
        <f t="shared" si="3"/>
        <v>-62</v>
      </c>
      <c r="I16" s="13">
        <f t="shared" si="3"/>
        <v>-62</v>
      </c>
      <c r="J16" s="13">
        <f t="shared" si="3"/>
        <v>-62</v>
      </c>
      <c r="K16" s="13">
        <f t="shared" si="3"/>
        <v>-62</v>
      </c>
      <c r="L16" s="13">
        <f t="shared" si="3"/>
        <v>-62</v>
      </c>
    </row>
    <row r="17" ht="15" thickTop="1" x14ac:dyDescent="0.3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463A-28D8-4EF6-9CEC-6C4589198A2F}">
  <sheetPr>
    <tabColor rgb="FF0070C0"/>
  </sheetPr>
  <dimension ref="B1:L32"/>
  <sheetViews>
    <sheetView showGridLines="0" topLeftCell="A6" zoomScale="80" zoomScaleNormal="80" workbookViewId="0">
      <selection activeCell="J24" sqref="J24"/>
    </sheetView>
  </sheetViews>
  <sheetFormatPr defaultRowHeight="14.5" x14ac:dyDescent="0.35"/>
  <cols>
    <col min="1" max="1" width="1.81640625" customWidth="1"/>
    <col min="2" max="2" width="20.6328125" customWidth="1"/>
  </cols>
  <sheetData>
    <row r="1" spans="2:12" ht="19.5" x14ac:dyDescent="0.45">
      <c r="B1" s="30" t="str">
        <f>"Fixed Asset Schedule - " &amp; Drivers!C2</f>
        <v>Fixed Asset Schedule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2:12" x14ac:dyDescent="0.35">
      <c r="B2" s="126" t="s">
        <v>239</v>
      </c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4" spans="2:12" x14ac:dyDescent="0.35">
      <c r="B4" t="s">
        <v>50</v>
      </c>
      <c r="D4" s="19">
        <v>55570</v>
      </c>
      <c r="E4" s="6">
        <f>D7</f>
        <v>68610</v>
      </c>
      <c r="F4" s="6">
        <f t="shared" ref="F4:L4" si="1">E7</f>
        <v>74820</v>
      </c>
      <c r="G4" s="6">
        <f t="shared" si="1"/>
        <v>80810</v>
      </c>
      <c r="H4" s="6">
        <f t="shared" si="1"/>
        <v>90560</v>
      </c>
      <c r="I4" s="6">
        <f t="shared" si="1"/>
        <v>98623.740149999998</v>
      </c>
      <c r="J4" s="6">
        <f t="shared" si="1"/>
        <v>105326.16622525</v>
      </c>
      <c r="K4" s="6">
        <f t="shared" si="1"/>
        <v>110625.18800890625</v>
      </c>
      <c r="L4" s="6">
        <f t="shared" si="1"/>
        <v>114455.10748677907</v>
      </c>
    </row>
    <row r="5" spans="2:12" x14ac:dyDescent="0.35">
      <c r="B5" t="s">
        <v>51</v>
      </c>
      <c r="D5" s="6">
        <f>D7-D4-D6</f>
        <v>23510</v>
      </c>
      <c r="E5" s="6">
        <f t="shared" ref="E5:G5" si="2">E7-E4-E6</f>
        <v>16860</v>
      </c>
      <c r="F5" s="6">
        <f t="shared" si="2"/>
        <v>17130</v>
      </c>
      <c r="G5" s="6">
        <f t="shared" si="2"/>
        <v>21660</v>
      </c>
      <c r="H5" s="6">
        <f>'Income Statement'!H5*'Fixed Asset Rollover'!H9</f>
        <v>19021.933499999999</v>
      </c>
      <c r="I5" s="6">
        <f>'Income Statement'!I5*'Fixed Asset Rollover'!I9</f>
        <v>19622.9104725</v>
      </c>
      <c r="J5" s="6">
        <f>'Income Statement'!J5*'Fixed Asset Rollover'!J9</f>
        <v>20243.895756562499</v>
      </c>
      <c r="K5" s="6">
        <f>'Income Statement'!K5*'Fixed Asset Rollover'!K9</f>
        <v>20860.881611976751</v>
      </c>
      <c r="L5" s="6">
        <f>'Income Statement'!L5*'Fixed Asset Rollover'!L9</f>
        <v>21347.055228656354</v>
      </c>
    </row>
    <row r="6" spans="2:12" x14ac:dyDescent="0.35">
      <c r="B6" t="s">
        <v>52</v>
      </c>
      <c r="D6" s="8">
        <v>-10470</v>
      </c>
      <c r="E6" s="8">
        <v>-10650</v>
      </c>
      <c r="F6" s="8">
        <v>-11140</v>
      </c>
      <c r="G6" s="8">
        <v>-11910</v>
      </c>
      <c r="H6" s="6">
        <f>H21</f>
        <v>-10958.19335</v>
      </c>
      <c r="I6" s="6">
        <f t="shared" ref="I6:L6" si="3">I21</f>
        <v>-12920.48439725</v>
      </c>
      <c r="J6" s="6">
        <f t="shared" si="3"/>
        <v>-14944.873972906251</v>
      </c>
      <c r="K6" s="6">
        <f t="shared" si="3"/>
        <v>-17030.962134103927</v>
      </c>
      <c r="L6" s="6">
        <f t="shared" si="3"/>
        <v>-19165.667656969563</v>
      </c>
    </row>
    <row r="7" spans="2:12" x14ac:dyDescent="0.35">
      <c r="B7" s="15" t="s">
        <v>53</v>
      </c>
      <c r="C7" s="15"/>
      <c r="D7" s="16">
        <f>'Balance Sheet'!D5</f>
        <v>68610</v>
      </c>
      <c r="E7" s="16">
        <f>'Balance Sheet'!E5</f>
        <v>74820</v>
      </c>
      <c r="F7" s="16">
        <f>'Balance Sheet'!F5</f>
        <v>80810</v>
      </c>
      <c r="G7" s="16">
        <f>'Balance Sheet'!G5</f>
        <v>90560</v>
      </c>
      <c r="H7" s="16">
        <f>SUM(H4:H6)</f>
        <v>98623.740149999998</v>
      </c>
      <c r="I7" s="16">
        <f t="shared" ref="I7:L7" si="4">SUM(I4:I6)</f>
        <v>105326.16622525</v>
      </c>
      <c r="J7" s="16">
        <f t="shared" si="4"/>
        <v>110625.18800890625</v>
      </c>
      <c r="K7" s="16">
        <f t="shared" si="4"/>
        <v>114455.10748677907</v>
      </c>
      <c r="L7" s="16">
        <f t="shared" si="4"/>
        <v>116636.49505846587</v>
      </c>
    </row>
    <row r="9" spans="2:12" x14ac:dyDescent="0.35">
      <c r="B9" t="s">
        <v>54</v>
      </c>
      <c r="D9" s="20">
        <f>D5/'Income Statement'!D5</f>
        <v>4.9991494428850897E-2</v>
      </c>
      <c r="E9" s="20">
        <f>E5/'Income Statement'!E5</f>
        <v>3.2147351561606224E-2</v>
      </c>
      <c r="F9" s="20">
        <f>F5/'Income Statement'!F5</f>
        <v>2.8276658963354243E-2</v>
      </c>
      <c r="G9" s="20">
        <f>G5/'Income Statement'!G5</f>
        <v>3.4994183792167503E-2</v>
      </c>
      <c r="H9" s="21">
        <v>0.03</v>
      </c>
      <c r="I9" s="21">
        <v>0.03</v>
      </c>
      <c r="J9" s="21">
        <v>0.03</v>
      </c>
      <c r="K9" s="21">
        <v>0.03</v>
      </c>
      <c r="L9" s="21">
        <v>0.03</v>
      </c>
    </row>
    <row r="11" spans="2:12" x14ac:dyDescent="0.35">
      <c r="B11" t="s">
        <v>51</v>
      </c>
      <c r="C11" s="22">
        <v>10</v>
      </c>
    </row>
    <row r="12" spans="2:12" x14ac:dyDescent="0.35">
      <c r="B12" t="s">
        <v>55</v>
      </c>
      <c r="C12" s="22">
        <v>10</v>
      </c>
    </row>
    <row r="14" spans="2:12" x14ac:dyDescent="0.35">
      <c r="B14" s="27" t="s">
        <v>56</v>
      </c>
      <c r="C14" s="32"/>
      <c r="D14" s="28">
        <f>D3</f>
        <v>2021</v>
      </c>
      <c r="E14" s="28">
        <f>D14+1</f>
        <v>2022</v>
      </c>
      <c r="F14" s="28">
        <f t="shared" ref="F14:G14" si="5">E14+1</f>
        <v>2023</v>
      </c>
      <c r="G14" s="28">
        <f t="shared" si="5"/>
        <v>2024</v>
      </c>
      <c r="H14" s="29">
        <f>2025</f>
        <v>2025</v>
      </c>
      <c r="I14" s="29">
        <f t="shared" ref="I14" si="6">H14+1</f>
        <v>2026</v>
      </c>
      <c r="J14" s="29">
        <f t="shared" ref="J14" si="7">I14+1</f>
        <v>2027</v>
      </c>
      <c r="K14" s="29">
        <f t="shared" ref="K14" si="8">J14+1</f>
        <v>2028</v>
      </c>
      <c r="L14" s="29">
        <f t="shared" ref="L14" si="9">K14+1</f>
        <v>2029</v>
      </c>
    </row>
    <row r="15" spans="2:12" x14ac:dyDescent="0.35">
      <c r="H15" s="6">
        <f>-$H$4/$C$12</f>
        <v>-9056</v>
      </c>
      <c r="I15" s="6">
        <f t="shared" ref="I15:L15" si="10">-$H$4/$C$12</f>
        <v>-9056</v>
      </c>
      <c r="J15" s="6">
        <f t="shared" si="10"/>
        <v>-9056</v>
      </c>
      <c r="K15" s="6">
        <f t="shared" si="10"/>
        <v>-9056</v>
      </c>
      <c r="L15" s="6">
        <f t="shared" si="10"/>
        <v>-9056</v>
      </c>
    </row>
    <row r="16" spans="2:12" x14ac:dyDescent="0.35">
      <c r="H16" s="6">
        <f>-$H$5/$C$11</f>
        <v>-1902.19335</v>
      </c>
      <c r="I16" s="6">
        <f t="shared" ref="I16:L16" si="11">-$H$5/$C$11</f>
        <v>-1902.19335</v>
      </c>
      <c r="J16" s="6">
        <f t="shared" si="11"/>
        <v>-1902.19335</v>
      </c>
      <c r="K16" s="6">
        <f t="shared" si="11"/>
        <v>-1902.19335</v>
      </c>
      <c r="L16" s="6">
        <f t="shared" si="11"/>
        <v>-1902.19335</v>
      </c>
    </row>
    <row r="17" spans="2:12" x14ac:dyDescent="0.35">
      <c r="H17" s="6"/>
      <c r="I17" s="6">
        <f>-$I$5/$C$11</f>
        <v>-1962.29104725</v>
      </c>
      <c r="J17" s="6">
        <f t="shared" ref="J17:L17" si="12">-$I$5/$C$11</f>
        <v>-1962.29104725</v>
      </c>
      <c r="K17" s="6">
        <f t="shared" si="12"/>
        <v>-1962.29104725</v>
      </c>
      <c r="L17" s="6">
        <f t="shared" si="12"/>
        <v>-1962.29104725</v>
      </c>
    </row>
    <row r="18" spans="2:12" x14ac:dyDescent="0.35">
      <c r="H18" s="6"/>
      <c r="I18" s="6"/>
      <c r="J18" s="6">
        <f>-$J$5/$C$11</f>
        <v>-2024.3895756562499</v>
      </c>
      <c r="K18" s="6">
        <f t="shared" ref="K18:L18" si="13">-$J$5/$C$11</f>
        <v>-2024.3895756562499</v>
      </c>
      <c r="L18" s="6">
        <f t="shared" si="13"/>
        <v>-2024.3895756562499</v>
      </c>
    </row>
    <row r="19" spans="2:12" x14ac:dyDescent="0.35">
      <c r="H19" s="6"/>
      <c r="I19" s="6"/>
      <c r="J19" s="6"/>
      <c r="K19" s="6">
        <f>-$K$5/$C$11</f>
        <v>-2086.0881611976752</v>
      </c>
      <c r="L19" s="6">
        <f>-$K$5/$C$11</f>
        <v>-2086.0881611976752</v>
      </c>
    </row>
    <row r="20" spans="2:12" x14ac:dyDescent="0.35">
      <c r="H20" s="6"/>
      <c r="I20" s="6"/>
      <c r="J20" s="6"/>
      <c r="K20" s="6"/>
      <c r="L20" s="6">
        <f>-$L$5/$C$11</f>
        <v>-2134.7055228656354</v>
      </c>
    </row>
    <row r="21" spans="2:12" x14ac:dyDescent="0.35">
      <c r="B21" s="5" t="s">
        <v>57</v>
      </c>
      <c r="C21" s="5"/>
      <c r="D21" s="5"/>
      <c r="E21" s="5"/>
      <c r="F21" s="5"/>
      <c r="G21" s="5"/>
      <c r="H21" s="14">
        <f>SUM(H15:H20)</f>
        <v>-10958.19335</v>
      </c>
      <c r="I21" s="14">
        <f t="shared" ref="I21:L21" si="14">SUM(I15:I20)</f>
        <v>-12920.48439725</v>
      </c>
      <c r="J21" s="14">
        <f t="shared" si="14"/>
        <v>-14944.873972906251</v>
      </c>
      <c r="K21" s="14">
        <f t="shared" si="14"/>
        <v>-17030.962134103927</v>
      </c>
      <c r="L21" s="14">
        <f t="shared" si="14"/>
        <v>-19165.667656969563</v>
      </c>
    </row>
    <row r="24" spans="2:12" x14ac:dyDescent="0.35">
      <c r="B24" s="1"/>
      <c r="C24" s="1"/>
      <c r="D24" s="2"/>
      <c r="E24" s="2"/>
      <c r="F24" s="2"/>
      <c r="G24" s="2"/>
      <c r="H24" s="3"/>
      <c r="I24" s="3"/>
      <c r="J24" s="3"/>
      <c r="K24" s="3"/>
      <c r="L24" s="3"/>
    </row>
    <row r="26" spans="2:12" x14ac:dyDescent="0.35"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35">
      <c r="D27" s="8"/>
      <c r="E27" s="8"/>
      <c r="F27" s="8"/>
      <c r="G27" s="8"/>
    </row>
    <row r="30" spans="2:12" x14ac:dyDescent="0.35">
      <c r="D30" s="10"/>
      <c r="E30" s="10"/>
      <c r="F30" s="10"/>
      <c r="G30" s="10"/>
      <c r="H30" s="11"/>
      <c r="I30" s="11"/>
      <c r="J30" s="11"/>
      <c r="K30" s="11"/>
      <c r="L30" s="11"/>
    </row>
    <row r="32" spans="2:12" x14ac:dyDescent="0.35">
      <c r="B32" s="1"/>
      <c r="D32" s="2"/>
      <c r="E32" s="2"/>
      <c r="F32" s="2"/>
      <c r="G32" s="2"/>
      <c r="H32" s="3"/>
      <c r="I32" s="3"/>
      <c r="J32" s="3"/>
      <c r="K32" s="3"/>
      <c r="L32" s="3"/>
    </row>
  </sheetData>
  <phoneticPr fontId="4" type="noConversion"/>
  <pageMargins left="0.7" right="0.7" top="0.75" bottom="0.75" header="0.3" footer="0.3"/>
  <ignoredErrors>
    <ignoredError sqref="H1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B9E-3C16-4B14-987A-498AA4CF446E}">
  <sheetPr>
    <tabColor rgb="FF0070C0"/>
  </sheetPr>
  <dimension ref="B1:S38"/>
  <sheetViews>
    <sheetView showGridLines="0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11.1796875" customWidth="1"/>
    <col min="3" max="3" width="12.7265625" customWidth="1"/>
    <col min="4" max="4" width="14" bestFit="1" customWidth="1"/>
    <col min="5" max="5" width="10.6328125" customWidth="1"/>
    <col min="6" max="6" width="10.26953125" bestFit="1" customWidth="1"/>
    <col min="7" max="7" width="10.81640625" bestFit="1" customWidth="1"/>
    <col min="8" max="8" width="9.36328125" bestFit="1" customWidth="1"/>
    <col min="9" max="9" width="14" bestFit="1" customWidth="1"/>
    <col min="11" max="11" width="17" customWidth="1"/>
    <col min="13" max="13" width="9.81640625" customWidth="1"/>
    <col min="17" max="17" width="12.36328125" customWidth="1"/>
  </cols>
  <sheetData>
    <row r="1" spans="2:19" ht="19.5" x14ac:dyDescent="0.45">
      <c r="B1" s="30" t="str">
        <f>"Weighted Average Cost of Capital - " &amp; Drivers!C2</f>
        <v>Weighted Average Cost of Capital - Hindustan Unilever Limited</v>
      </c>
      <c r="C1" s="31"/>
      <c r="D1" s="31"/>
      <c r="E1" s="31"/>
      <c r="F1" s="31"/>
      <c r="G1" s="31"/>
      <c r="H1" s="31"/>
      <c r="I1" s="31"/>
      <c r="J1" s="31"/>
      <c r="K1" s="73"/>
      <c r="L1" s="73"/>
      <c r="M1" s="73"/>
      <c r="N1" s="73"/>
      <c r="O1" s="73"/>
      <c r="P1" s="73"/>
      <c r="Q1" s="73"/>
    </row>
    <row r="2" spans="2:19" x14ac:dyDescent="0.35">
      <c r="B2" s="126" t="s">
        <v>239</v>
      </c>
    </row>
    <row r="4" spans="2:19" x14ac:dyDescent="0.35">
      <c r="B4" s="27" t="s">
        <v>99</v>
      </c>
      <c r="C4" s="27"/>
      <c r="D4" s="27"/>
      <c r="E4" s="32"/>
      <c r="F4" s="32"/>
      <c r="G4" s="32"/>
      <c r="H4" s="32"/>
      <c r="I4" s="32"/>
      <c r="J4" s="44"/>
      <c r="K4" s="27" t="s">
        <v>90</v>
      </c>
      <c r="L4" s="27"/>
      <c r="M4" s="27"/>
      <c r="N4" s="57"/>
      <c r="O4" s="27" t="s">
        <v>128</v>
      </c>
      <c r="P4" s="27"/>
      <c r="Q4" s="27"/>
      <c r="R4" s="57"/>
      <c r="S4" s="44"/>
    </row>
    <row r="5" spans="2:19" x14ac:dyDescent="0.35">
      <c r="J5" s="44"/>
      <c r="N5" s="44"/>
      <c r="O5" s="44"/>
      <c r="P5" s="44"/>
      <c r="Q5" s="44"/>
      <c r="R5" s="44"/>
    </row>
    <row r="6" spans="2:19" x14ac:dyDescent="0.35">
      <c r="B6" t="s">
        <v>95</v>
      </c>
      <c r="C6" s="39">
        <f>'Balance Sheet'!G26+'Balance Sheet'!G31</f>
        <v>14840</v>
      </c>
      <c r="E6" t="s">
        <v>100</v>
      </c>
      <c r="G6" s="42">
        <f>C6/C8</f>
        <v>2.3243495355234913E-3</v>
      </c>
      <c r="J6" s="44"/>
      <c r="K6" t="s">
        <v>91</v>
      </c>
      <c r="M6" s="40">
        <f>Drivers!C5</f>
        <v>6.9900000000000004E-2</v>
      </c>
      <c r="N6" s="44"/>
      <c r="O6" s="44" t="s">
        <v>117</v>
      </c>
      <c r="P6" s="44"/>
      <c r="Q6" s="62">
        <f>M18</f>
        <v>7.460551E-2</v>
      </c>
      <c r="R6" s="44"/>
    </row>
    <row r="7" spans="2:19" x14ac:dyDescent="0.35">
      <c r="B7" t="s">
        <v>28</v>
      </c>
      <c r="C7" s="39">
        <f>Drivers!C11*Drivers!C12</f>
        <v>6369741.9112820001</v>
      </c>
      <c r="E7" t="s">
        <v>101</v>
      </c>
      <c r="G7" s="42">
        <f>C7/C8</f>
        <v>0.99767565046447648</v>
      </c>
      <c r="J7" s="44"/>
      <c r="K7" t="s">
        <v>92</v>
      </c>
      <c r="M7" s="41">
        <f>I26</f>
        <v>0.37580607697645391</v>
      </c>
      <c r="N7" s="44"/>
      <c r="O7" s="44" t="s">
        <v>129</v>
      </c>
      <c r="P7" s="44"/>
      <c r="Q7" s="62">
        <f>G6</f>
        <v>2.3243495355234913E-3</v>
      </c>
      <c r="R7" s="44"/>
    </row>
    <row r="8" spans="2:19" ht="15" thickBot="1" x14ac:dyDescent="0.4">
      <c r="B8" s="4" t="s">
        <v>96</v>
      </c>
      <c r="C8" s="65">
        <f>SUM(C6:C7)</f>
        <v>6384581.9112820001</v>
      </c>
      <c r="E8" s="4" t="s">
        <v>96</v>
      </c>
      <c r="F8" s="4"/>
      <c r="G8" s="64">
        <f>C8/C8</f>
        <v>1</v>
      </c>
      <c r="J8" s="44"/>
      <c r="K8" t="s">
        <v>93</v>
      </c>
      <c r="M8" s="40">
        <f>Drivers!C7</f>
        <v>1.55E-2</v>
      </c>
      <c r="N8" s="44"/>
      <c r="O8" s="44" t="s">
        <v>90</v>
      </c>
      <c r="P8" s="44"/>
      <c r="Q8" s="62">
        <f>M9</f>
        <v>7.572499419313504E-2</v>
      </c>
      <c r="R8" s="44"/>
    </row>
    <row r="9" spans="2:19" ht="15.5" thickTop="1" thickBot="1" x14ac:dyDescent="0.4">
      <c r="J9" s="44"/>
      <c r="K9" s="4" t="s">
        <v>90</v>
      </c>
      <c r="L9" s="4"/>
      <c r="M9" s="55">
        <f>M6+M7*M8</f>
        <v>7.572499419313504E-2</v>
      </c>
      <c r="N9" s="44"/>
      <c r="O9" s="44" t="s">
        <v>130</v>
      </c>
      <c r="P9" s="44"/>
      <c r="Q9" s="62">
        <f>G7</f>
        <v>0.99767565046447648</v>
      </c>
      <c r="R9" s="44"/>
    </row>
    <row r="10" spans="2:19" ht="15.5" thickTop="1" thickBot="1" x14ac:dyDescent="0.4">
      <c r="J10" s="44"/>
      <c r="N10" s="44"/>
      <c r="O10" s="61" t="s">
        <v>131</v>
      </c>
      <c r="P10" s="61"/>
      <c r="Q10" s="63">
        <f>(Q6*Q7)+(Q8*Q9)</f>
        <v>7.5722392120570706E-2</v>
      </c>
      <c r="R10" s="44"/>
    </row>
    <row r="11" spans="2:19" ht="15" thickTop="1" x14ac:dyDescent="0.35">
      <c r="B11" s="27" t="s">
        <v>102</v>
      </c>
      <c r="C11" s="32"/>
      <c r="D11" s="32"/>
      <c r="E11" s="32"/>
      <c r="F11" s="32"/>
      <c r="G11" s="32"/>
      <c r="H11" s="32"/>
      <c r="I11" s="32"/>
      <c r="J11" s="44"/>
      <c r="K11" s="27" t="s">
        <v>117</v>
      </c>
      <c r="L11" s="32"/>
      <c r="M11" s="32"/>
      <c r="N11" s="44"/>
      <c r="O11" s="44"/>
      <c r="P11" s="44"/>
      <c r="Q11" s="44"/>
      <c r="R11" s="44"/>
    </row>
    <row r="12" spans="2:19" x14ac:dyDescent="0.35">
      <c r="O12" s="44"/>
      <c r="P12" s="44"/>
      <c r="Q12" s="44"/>
      <c r="R12" s="44"/>
    </row>
    <row r="13" spans="2:19" ht="17" customHeight="1" x14ac:dyDescent="0.35">
      <c r="B13" s="37" t="s">
        <v>103</v>
      </c>
      <c r="C13" s="38"/>
      <c r="D13" s="56" t="s">
        <v>119</v>
      </c>
      <c r="E13" s="37" t="s">
        <v>95</v>
      </c>
      <c r="F13" s="37" t="s">
        <v>28</v>
      </c>
      <c r="G13" s="37" t="s">
        <v>104</v>
      </c>
      <c r="H13" s="37" t="s">
        <v>64</v>
      </c>
      <c r="I13" s="56" t="s">
        <v>118</v>
      </c>
      <c r="K13" t="s">
        <v>91</v>
      </c>
      <c r="M13" s="40">
        <f>Drivers!C5</f>
        <v>6.9900000000000004E-2</v>
      </c>
    </row>
    <row r="14" spans="2:19" x14ac:dyDescent="0.35">
      <c r="B14" t="s">
        <v>105</v>
      </c>
      <c r="D14" s="34">
        <v>0.21</v>
      </c>
      <c r="E14" s="39">
        <f>C6</f>
        <v>14840</v>
      </c>
      <c r="F14" s="39">
        <f>C7</f>
        <v>6369741.9112820001</v>
      </c>
      <c r="G14" s="42">
        <f>E14/F14</f>
        <v>2.3297647230754504E-3</v>
      </c>
      <c r="H14" s="40">
        <f>Drivers!$C$10</f>
        <v>0.25169999999999998</v>
      </c>
      <c r="I14" s="41">
        <f>D14/(1+G14*(1-H14))</f>
        <v>0.20963453092735954</v>
      </c>
      <c r="K14" t="s">
        <v>124</v>
      </c>
      <c r="M14" s="40">
        <f>Drivers!C8</f>
        <v>2.3900000000000001E-2</v>
      </c>
    </row>
    <row r="15" spans="2:19" x14ac:dyDescent="0.35">
      <c r="B15" t="s">
        <v>106</v>
      </c>
      <c r="D15" s="52">
        <v>0.31</v>
      </c>
      <c r="E15" s="53">
        <v>3445.3</v>
      </c>
      <c r="F15" s="53">
        <v>2388120.9</v>
      </c>
      <c r="G15" s="42">
        <f>E15/F15</f>
        <v>1.4426824035583795E-3</v>
      </c>
      <c r="H15" s="40">
        <f>Drivers!$C$10</f>
        <v>0.25169999999999998</v>
      </c>
      <c r="I15" s="41">
        <f t="shared" ref="I15:I19" si="0">D15/(1+G15*(1-H15))</f>
        <v>0.30966569753411621</v>
      </c>
      <c r="K15" t="s">
        <v>125</v>
      </c>
      <c r="M15" s="40">
        <f>Drivers!C9</f>
        <v>5.8999999999999999E-3</v>
      </c>
    </row>
    <row r="16" spans="2:19" x14ac:dyDescent="0.35">
      <c r="B16" t="s">
        <v>108</v>
      </c>
      <c r="D16" s="52">
        <v>0.34</v>
      </c>
      <c r="E16" s="53">
        <v>717.5</v>
      </c>
      <c r="F16" s="53">
        <v>860888.9</v>
      </c>
      <c r="G16" s="42">
        <f t="shared" ref="G16:G19" si="1">E16/F16</f>
        <v>8.3344087721423752E-4</v>
      </c>
      <c r="H16" s="40">
        <f>Drivers!$C$10</f>
        <v>0.25169999999999998</v>
      </c>
      <c r="I16" s="41">
        <f t="shared" si="0"/>
        <v>0.3397880864679379</v>
      </c>
      <c r="K16" s="15" t="s">
        <v>126</v>
      </c>
      <c r="L16" s="15"/>
      <c r="M16" s="58">
        <f>M13+M14+M15</f>
        <v>9.9700000000000011E-2</v>
      </c>
    </row>
    <row r="17" spans="2:13" x14ac:dyDescent="0.35">
      <c r="B17" t="s">
        <v>107</v>
      </c>
      <c r="D17" s="52">
        <v>0.63</v>
      </c>
      <c r="E17" s="53">
        <v>54313.1</v>
      </c>
      <c r="F17" s="53">
        <v>2178720.2000000002</v>
      </c>
      <c r="G17" s="42">
        <f t="shared" si="1"/>
        <v>2.4928900920824983E-2</v>
      </c>
      <c r="H17" s="40">
        <f>Drivers!$C$10</f>
        <v>0.25169999999999998</v>
      </c>
      <c r="I17" s="41">
        <f t="shared" si="0"/>
        <v>0.61846300764459372</v>
      </c>
      <c r="K17" t="s">
        <v>64</v>
      </c>
      <c r="M17" s="40">
        <f>Drivers!C10</f>
        <v>0.25169999999999998</v>
      </c>
    </row>
    <row r="18" spans="2:13" ht="15" thickBot="1" x14ac:dyDescent="0.4">
      <c r="B18" t="s">
        <v>109</v>
      </c>
      <c r="D18" s="54">
        <v>0.5</v>
      </c>
      <c r="E18" s="53">
        <v>32222</v>
      </c>
      <c r="F18" s="53">
        <v>1500988.8</v>
      </c>
      <c r="G18" s="42">
        <f t="shared" si="1"/>
        <v>2.1467182166848946E-2</v>
      </c>
      <c r="H18" s="40">
        <f>Drivers!$C$10</f>
        <v>0.25169999999999998</v>
      </c>
      <c r="I18" s="41">
        <f t="shared" si="0"/>
        <v>0.4920950382474153</v>
      </c>
      <c r="K18" s="4" t="s">
        <v>117</v>
      </c>
      <c r="L18" s="4"/>
      <c r="M18" s="59">
        <f>M16*(1-M17)</f>
        <v>7.460551E-2</v>
      </c>
    </row>
    <row r="19" spans="2:13" ht="15" thickTop="1" x14ac:dyDescent="0.35">
      <c r="B19" t="s">
        <v>110</v>
      </c>
      <c r="D19" s="52">
        <v>0.27</v>
      </c>
      <c r="E19" s="53">
        <v>13650.9</v>
      </c>
      <c r="F19" s="53">
        <v>1120898.3</v>
      </c>
      <c r="G19" s="42">
        <f t="shared" si="1"/>
        <v>1.2178535733348868E-2</v>
      </c>
      <c r="H19" s="40">
        <f>Drivers!$C$10</f>
        <v>0.25169999999999998</v>
      </c>
      <c r="I19" s="41">
        <f t="shared" si="0"/>
        <v>0.26756165756005085</v>
      </c>
    </row>
    <row r="20" spans="2:13" x14ac:dyDescent="0.35">
      <c r="B20" s="15" t="s">
        <v>111</v>
      </c>
      <c r="C20" s="43"/>
      <c r="D20" s="45">
        <f>AVERAGE(D14:D19)</f>
        <v>0.37666666666666671</v>
      </c>
      <c r="E20" s="15"/>
      <c r="F20" s="15"/>
      <c r="G20" s="46">
        <f>AVERAGE(G14:G19)</f>
        <v>1.053008447081181E-2</v>
      </c>
      <c r="H20" s="15"/>
      <c r="I20" s="47">
        <f>AVERAGE(I14:I19)</f>
        <v>0.37286800306357892</v>
      </c>
    </row>
    <row r="21" spans="2:13" x14ac:dyDescent="0.35">
      <c r="B21" s="1" t="s">
        <v>112</v>
      </c>
      <c r="D21" s="48">
        <f>MEDIAN(D14:D19)</f>
        <v>0.32500000000000001</v>
      </c>
      <c r="E21" s="1"/>
      <c r="F21" s="1"/>
      <c r="G21" s="49">
        <f>MEDIAN(G14:G19)</f>
        <v>7.2541502282121601E-3</v>
      </c>
      <c r="H21" s="1"/>
      <c r="I21" s="48">
        <f>MEDIAN(I14:I19)</f>
        <v>0.32472689200102706</v>
      </c>
    </row>
    <row r="23" spans="2:13" x14ac:dyDescent="0.35">
      <c r="B23" s="27" t="s">
        <v>113</v>
      </c>
      <c r="C23" s="32"/>
      <c r="D23" s="32"/>
      <c r="E23" s="32"/>
      <c r="F23" s="32"/>
      <c r="G23" s="32"/>
      <c r="H23" s="32"/>
      <c r="I23" s="32"/>
    </row>
    <row r="25" spans="2:13" ht="42.5" customHeight="1" x14ac:dyDescent="0.35">
      <c r="F25" s="36" t="s">
        <v>116</v>
      </c>
      <c r="G25" s="51" t="s">
        <v>114</v>
      </c>
      <c r="H25" s="35" t="s">
        <v>64</v>
      </c>
      <c r="I25" s="51" t="s">
        <v>115</v>
      </c>
    </row>
    <row r="26" spans="2:13" x14ac:dyDescent="0.35">
      <c r="B26" s="1" t="s">
        <v>86</v>
      </c>
      <c r="F26" s="41">
        <f>I20</f>
        <v>0.37286800306357892</v>
      </c>
      <c r="G26" s="40">
        <f>G20</f>
        <v>1.053008447081181E-2</v>
      </c>
      <c r="H26" s="40">
        <f>Drivers!C10</f>
        <v>0.25169999999999998</v>
      </c>
      <c r="I26" s="41">
        <f>F26*(1+G26*(1-H26))</f>
        <v>0.37580607697645391</v>
      </c>
    </row>
    <row r="31" spans="2:13" x14ac:dyDescent="0.35">
      <c r="B31" s="60" t="s">
        <v>122</v>
      </c>
    </row>
    <row r="33" spans="2:4" x14ac:dyDescent="0.35">
      <c r="B33" t="s">
        <v>9</v>
      </c>
      <c r="D33" s="39">
        <f>'Income Statement'!G18</f>
        <v>142580</v>
      </c>
    </row>
    <row r="34" spans="2:4" x14ac:dyDescent="0.35">
      <c r="B34" t="s">
        <v>72</v>
      </c>
      <c r="D34" s="39">
        <f>-'Income Statement'!G20</f>
        <v>3340</v>
      </c>
    </row>
    <row r="35" spans="2:4" x14ac:dyDescent="0.35">
      <c r="B35" t="s">
        <v>123</v>
      </c>
      <c r="D35" s="41">
        <f>D33/D34</f>
        <v>42.688622754491021</v>
      </c>
    </row>
    <row r="36" spans="2:4" x14ac:dyDescent="0.35">
      <c r="B36" t="s">
        <v>121</v>
      </c>
      <c r="D36" s="40">
        <v>5.8999999999999999E-3</v>
      </c>
    </row>
    <row r="38" spans="2:4" x14ac:dyDescent="0.35">
      <c r="B38" s="50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1203-BA16-4DFC-A9DB-0E81F2CB607E}">
  <sheetPr>
    <tabColor theme="5" tint="-0.249977111117893"/>
  </sheetPr>
  <dimension ref="B1:S26"/>
  <sheetViews>
    <sheetView showGridLines="0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20.7265625" customWidth="1"/>
    <col min="4" max="4" width="9.26953125" bestFit="1" customWidth="1"/>
    <col min="5" max="5" width="11" customWidth="1"/>
    <col min="6" max="6" width="9.6328125" customWidth="1"/>
    <col min="10" max="10" width="13.26953125" customWidth="1"/>
  </cols>
  <sheetData>
    <row r="1" spans="2:19" ht="19.5" x14ac:dyDescent="0.45">
      <c r="B1" s="30" t="str">
        <f>"Discounted Cash Flow - " &amp;Drivers!C2</f>
        <v>Discounted Cash Flow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73"/>
      <c r="N1" s="73"/>
      <c r="O1" s="73"/>
      <c r="P1" s="73"/>
      <c r="Q1" s="73"/>
      <c r="R1" s="73"/>
      <c r="S1" s="73"/>
    </row>
    <row r="2" spans="2:19" x14ac:dyDescent="0.35">
      <c r="B2" s="126" t="s">
        <v>239</v>
      </c>
    </row>
    <row r="3" spans="2:19" x14ac:dyDescent="0.35">
      <c r="B3" s="1" t="s">
        <v>132</v>
      </c>
      <c r="D3" s="67">
        <v>0.04</v>
      </c>
      <c r="M3" s="32"/>
      <c r="N3" s="132" t="s">
        <v>221</v>
      </c>
      <c r="O3" s="132"/>
      <c r="P3" s="132"/>
      <c r="Q3" s="132"/>
      <c r="R3" s="132"/>
      <c r="S3" s="132"/>
    </row>
    <row r="4" spans="2:19" x14ac:dyDescent="0.35">
      <c r="B4" s="1" t="s">
        <v>131</v>
      </c>
      <c r="C4" s="1"/>
      <c r="D4" s="68">
        <f>WACC!Q10</f>
        <v>7.5722392120570706E-2</v>
      </c>
      <c r="O4" s="133" t="s">
        <v>131</v>
      </c>
      <c r="P4" s="133"/>
      <c r="Q4" s="133"/>
      <c r="R4" s="133"/>
      <c r="S4" s="133"/>
    </row>
    <row r="5" spans="2:19" x14ac:dyDescent="0.35">
      <c r="N5" s="113">
        <f>D23</f>
        <v>1170.3157745311335</v>
      </c>
      <c r="O5" s="23">
        <v>5.5E-2</v>
      </c>
      <c r="P5" s="23">
        <v>6.5000000000000002E-2</v>
      </c>
      <c r="Q5" s="23">
        <v>7.5700000000000003E-2</v>
      </c>
      <c r="R5" s="23">
        <v>8.5000000000000006E-2</v>
      </c>
      <c r="S5" s="23">
        <v>9.5000000000000001E-2</v>
      </c>
    </row>
    <row r="6" spans="2:19" x14ac:dyDescent="0.35">
      <c r="B6" s="27" t="s">
        <v>0</v>
      </c>
      <c r="C6" s="27"/>
      <c r="D6" s="29">
        <v>2025</v>
      </c>
      <c r="E6" s="29">
        <f t="shared" ref="E6:G6" si="0">D6+1</f>
        <v>2026</v>
      </c>
      <c r="F6" s="29">
        <f t="shared" si="0"/>
        <v>2027</v>
      </c>
      <c r="G6" s="29">
        <f t="shared" si="0"/>
        <v>2028</v>
      </c>
      <c r="H6" s="29">
        <f>G6+1</f>
        <v>2029</v>
      </c>
      <c r="J6" s="27" t="s">
        <v>133</v>
      </c>
      <c r="M6" s="134" t="s">
        <v>222</v>
      </c>
      <c r="N6" s="66">
        <v>0.02</v>
      </c>
      <c r="O6" s="120">
        <f t="dataTable" ref="O6:S10" dt2D="1" dtr="1" r1="D4" r2="D3"/>
        <v>869.46680393943291</v>
      </c>
      <c r="P6" s="43">
        <v>836.91910131806776</v>
      </c>
      <c r="Q6" s="43">
        <v>803.85066321394811</v>
      </c>
      <c r="R6" s="43">
        <v>776.49918968598706</v>
      </c>
      <c r="S6" s="43">
        <v>748.44856914720162</v>
      </c>
    </row>
    <row r="7" spans="2:19" x14ac:dyDescent="0.35">
      <c r="M7" s="135"/>
      <c r="N7" s="66">
        <v>0.03</v>
      </c>
      <c r="O7" s="119">
        <v>1025.748796256398</v>
      </c>
      <c r="P7">
        <v>986.70529074724777</v>
      </c>
      <c r="Q7">
        <v>947.04793658086226</v>
      </c>
      <c r="R7">
        <v>914.25539961850848</v>
      </c>
      <c r="S7">
        <v>880.63335479913258</v>
      </c>
    </row>
    <row r="8" spans="2:19" x14ac:dyDescent="0.35">
      <c r="B8" t="s">
        <v>134</v>
      </c>
      <c r="D8" s="6">
        <f>'Cash Flow'!D16</f>
        <v>105488.7205141813</v>
      </c>
      <c r="E8" s="6">
        <f>'Cash Flow'!E16</f>
        <v>98492.48824660822</v>
      </c>
      <c r="F8" s="6">
        <f>'Cash Flow'!F16</f>
        <v>102002.83626905104</v>
      </c>
      <c r="G8" s="6">
        <f>'Cash Flow'!G16</f>
        <v>105826.91089473406</v>
      </c>
      <c r="H8" s="6">
        <f>'Cash Flow'!H16</f>
        <v>110661.31147889193</v>
      </c>
      <c r="J8" s="6">
        <f>H8*(1+D3)/(WACC!Q10-DCF!D3)</f>
        <v>3221726.1248799306</v>
      </c>
      <c r="M8" s="135"/>
      <c r="N8" s="66">
        <v>0.04</v>
      </c>
      <c r="O8" s="119">
        <v>1269.5288440168399</v>
      </c>
      <c r="P8">
        <v>1220.3527114868168</v>
      </c>
      <c r="Q8" s="27">
        <v>1170.4174855801548</v>
      </c>
      <c r="R8">
        <v>1129.1375811083469</v>
      </c>
      <c r="S8">
        <v>1086.824822425652</v>
      </c>
    </row>
    <row r="9" spans="2:19" x14ac:dyDescent="0.35">
      <c r="M9" s="135"/>
      <c r="N9" s="66">
        <v>0.05</v>
      </c>
      <c r="O9" s="119">
        <v>1702.8558410794703</v>
      </c>
      <c r="P9">
        <v>1635.6686330752757</v>
      </c>
      <c r="Q9">
        <v>1567.4641544618232</v>
      </c>
      <c r="R9">
        <v>1511.097677033672</v>
      </c>
      <c r="S9">
        <v>1453.3368906090877</v>
      </c>
    </row>
    <row r="10" spans="2:19" x14ac:dyDescent="0.35">
      <c r="B10" t="s">
        <v>135</v>
      </c>
      <c r="D10">
        <v>0.5</v>
      </c>
      <c r="E10">
        <v>1.5</v>
      </c>
      <c r="F10">
        <v>2.5</v>
      </c>
      <c r="G10">
        <v>3.5</v>
      </c>
      <c r="H10">
        <v>4.5</v>
      </c>
      <c r="M10" s="135"/>
      <c r="N10" s="66">
        <v>0.06</v>
      </c>
      <c r="O10" s="119">
        <v>2687.4055703314066</v>
      </c>
      <c r="P10">
        <v>2579.2959189949565</v>
      </c>
      <c r="Q10">
        <v>2469.5824000308385</v>
      </c>
      <c r="R10">
        <v>2378.9381568041235</v>
      </c>
      <c r="S10">
        <v>2286.0783536234817</v>
      </c>
    </row>
    <row r="11" spans="2:19" x14ac:dyDescent="0.35">
      <c r="B11" t="s">
        <v>136</v>
      </c>
      <c r="D11" s="69">
        <f>1/(1+$D$4)^D10</f>
        <v>0.96416174393390774</v>
      </c>
      <c r="E11" s="69">
        <f t="shared" ref="E11:H11" si="1">1/(1+$D$4)^E10</f>
        <v>0.89629234363454713</v>
      </c>
      <c r="F11" s="69">
        <f t="shared" si="1"/>
        <v>0.83320041508821496</v>
      </c>
      <c r="G11" s="69">
        <f t="shared" si="1"/>
        <v>0.77454966187487062</v>
      </c>
      <c r="H11" s="69">
        <f t="shared" si="1"/>
        <v>0.72002746019630715</v>
      </c>
    </row>
    <row r="13" spans="2:19" ht="15" thickBot="1" x14ac:dyDescent="0.4">
      <c r="B13" s="4" t="s">
        <v>137</v>
      </c>
      <c r="C13" s="4"/>
      <c r="D13" s="7">
        <f>D8*D11</f>
        <v>101708.18873630963</v>
      </c>
      <c r="E13" s="7">
        <f t="shared" ref="E13:H13" si="2">E8*E11</f>
        <v>88278.063120950566</v>
      </c>
      <c r="F13" s="7">
        <f t="shared" si="2"/>
        <v>84988.80551954855</v>
      </c>
      <c r="G13" s="7">
        <f t="shared" si="2"/>
        <v>81968.19805077833</v>
      </c>
      <c r="H13" s="7">
        <f t="shared" si="2"/>
        <v>79679.183046139005</v>
      </c>
    </row>
    <row r="14" spans="2:19" ht="15" thickTop="1" x14ac:dyDescent="0.35"/>
    <row r="15" spans="2:19" x14ac:dyDescent="0.35">
      <c r="B15" s="1" t="s">
        <v>138</v>
      </c>
      <c r="D15" s="25">
        <f>J8*H11</f>
        <v>2319731.279145387</v>
      </c>
    </row>
    <row r="17" spans="2:5" x14ac:dyDescent="0.35">
      <c r="B17" s="1" t="s">
        <v>204</v>
      </c>
      <c r="D17" s="6">
        <f>(SUM(D13:H13)+D15)</f>
        <v>2756353.7176191132</v>
      </c>
    </row>
    <row r="18" spans="2:5" x14ac:dyDescent="0.35">
      <c r="B18" s="1" t="s">
        <v>139</v>
      </c>
      <c r="D18" s="6">
        <f>'Balance Sheet'!G12</f>
        <v>8250</v>
      </c>
    </row>
    <row r="19" spans="2:5" x14ac:dyDescent="0.35">
      <c r="B19" s="1" t="s">
        <v>140</v>
      </c>
      <c r="D19" s="6">
        <f>WACC!C6</f>
        <v>14840</v>
      </c>
    </row>
    <row r="20" spans="2:5" x14ac:dyDescent="0.35">
      <c r="B20" s="1" t="s">
        <v>205</v>
      </c>
      <c r="D20" s="6">
        <f>D17+D18-D19</f>
        <v>2749763.7176191132</v>
      </c>
    </row>
    <row r="21" spans="2:5" x14ac:dyDescent="0.35">
      <c r="B21" s="1" t="s">
        <v>144</v>
      </c>
      <c r="D21">
        <f>Drivers!C11</f>
        <v>2349.5912619999999</v>
      </c>
    </row>
    <row r="23" spans="2:5" x14ac:dyDescent="0.35">
      <c r="B23" s="15" t="s">
        <v>142</v>
      </c>
      <c r="C23" s="43"/>
      <c r="D23" s="70">
        <f>D20/D21</f>
        <v>1170.3157745311335</v>
      </c>
    </row>
    <row r="24" spans="2:5" ht="15" thickBot="1" x14ac:dyDescent="0.4">
      <c r="B24" s="17" t="s">
        <v>143</v>
      </c>
      <c r="C24" s="71"/>
      <c r="D24" s="72">
        <f>Drivers!C12</f>
        <v>2711</v>
      </c>
    </row>
    <row r="25" spans="2:5" ht="15" thickTop="1" x14ac:dyDescent="0.35"/>
    <row r="26" spans="2:5" x14ac:dyDescent="0.35">
      <c r="B26" s="95" t="s">
        <v>203</v>
      </c>
      <c r="C26" s="96"/>
      <c r="D26" s="97">
        <f>D24/D23</f>
        <v>2.3164688189271949</v>
      </c>
      <c r="E26" s="80" t="str">
        <f>IF(D24&gt;D23,"Overvalued","Undervalued")</f>
        <v>Overvalued</v>
      </c>
    </row>
  </sheetData>
  <mergeCells count="3">
    <mergeCell ref="N3:S3"/>
    <mergeCell ref="O4:S4"/>
    <mergeCell ref="M6:M10"/>
  </mergeCells>
  <conditionalFormatting sqref="E26">
    <cfRule type="containsText" dxfId="4" priority="1" operator="containsText" text="Undervalued">
      <formula>NOT(ISERROR(SEARCH("Undervalued",E26)))</formula>
    </cfRule>
    <cfRule type="containsText" dxfId="3" priority="2" operator="containsText" text="Overvalued">
      <formula>NOT(ISERROR(SEARCH("Overvalued",E26)))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FE8D-7E22-4648-AC63-21E68981A232}">
  <sheetPr>
    <tabColor theme="6" tint="0.39997558519241921"/>
  </sheetPr>
  <dimension ref="B1:Q8"/>
  <sheetViews>
    <sheetView showGridLines="0" zoomScale="80" zoomScaleNormal="80" workbookViewId="0">
      <selection activeCell="R15" sqref="R15"/>
    </sheetView>
  </sheetViews>
  <sheetFormatPr defaultRowHeight="14.5" x14ac:dyDescent="0.35"/>
  <cols>
    <col min="1" max="1" width="1.81640625" customWidth="1"/>
    <col min="12" max="12" width="9" bestFit="1" customWidth="1"/>
  </cols>
  <sheetData>
    <row r="1" spans="2:17" ht="19.5" x14ac:dyDescent="0.45">
      <c r="B1" s="30" t="str">
        <f>"Football Field Analysis - " &amp;Drivers!C2</f>
        <v>Football Field Analysis - Hindustan Unilever Limited</v>
      </c>
      <c r="C1" s="30"/>
      <c r="D1" s="30"/>
      <c r="E1" s="30"/>
      <c r="F1" s="30"/>
      <c r="G1" s="30"/>
      <c r="H1" s="30"/>
      <c r="I1" s="30"/>
      <c r="J1" s="30"/>
      <c r="K1" s="73"/>
      <c r="L1" s="73"/>
      <c r="M1" s="73"/>
      <c r="N1" s="73"/>
      <c r="O1" s="73"/>
      <c r="P1" s="73"/>
      <c r="Q1" s="73"/>
    </row>
    <row r="3" spans="2:17" x14ac:dyDescent="0.35">
      <c r="M3" s="108" t="s">
        <v>228</v>
      </c>
      <c r="N3" s="108" t="s">
        <v>200</v>
      </c>
      <c r="O3" s="108" t="s">
        <v>229</v>
      </c>
      <c r="P3" s="108" t="s">
        <v>196</v>
      </c>
    </row>
    <row r="4" spans="2:17" x14ac:dyDescent="0.35">
      <c r="L4" s="1" t="s">
        <v>223</v>
      </c>
      <c r="M4" s="122">
        <f>'Relative Valuation'!$Q$35</f>
        <v>2711.0399216887981</v>
      </c>
      <c r="N4" s="121">
        <f>'Relative Valuation'!$Q$35</f>
        <v>2711.0399216887981</v>
      </c>
      <c r="O4" s="121">
        <f>'Relative Valuation'!$S$35</f>
        <v>2881.9342305110108</v>
      </c>
      <c r="P4" s="121">
        <f>'Relative Valuation'!$S$35</f>
        <v>2881.9342305110108</v>
      </c>
    </row>
    <row r="5" spans="2:17" x14ac:dyDescent="0.35">
      <c r="L5" s="1" t="s">
        <v>225</v>
      </c>
      <c r="M5" s="123">
        <f>DCF!$S$6</f>
        <v>748.44856914720162</v>
      </c>
      <c r="N5" s="77">
        <f>DCF!$S$6</f>
        <v>748.44856914720162</v>
      </c>
      <c r="O5" s="77">
        <f>DCF!$S$10</f>
        <v>2286.0783536234817</v>
      </c>
      <c r="P5" s="77">
        <f>DCF!$S$10</f>
        <v>2286.0783536234817</v>
      </c>
    </row>
    <row r="6" spans="2:17" x14ac:dyDescent="0.35">
      <c r="L6" s="1" t="s">
        <v>224</v>
      </c>
      <c r="M6" s="123">
        <f>DCF!$Q$6</f>
        <v>803.85066321394811</v>
      </c>
      <c r="N6" s="77">
        <f>DCF!$Q$6</f>
        <v>803.85066321394811</v>
      </c>
      <c r="O6" s="77">
        <f>DCF!$Q$10</f>
        <v>2469.5824000308385</v>
      </c>
      <c r="P6" s="77">
        <f>DCF!$Q$10</f>
        <v>2469.5824000308385</v>
      </c>
    </row>
    <row r="7" spans="2:17" x14ac:dyDescent="0.35">
      <c r="L7" s="1" t="s">
        <v>226</v>
      </c>
      <c r="M7" s="123">
        <f>DCF!$O$6</f>
        <v>869.46680393943291</v>
      </c>
      <c r="N7" s="77">
        <f>DCF!$O$6</f>
        <v>869.46680393943291</v>
      </c>
      <c r="O7" s="77">
        <f>DCF!$O$10</f>
        <v>2687.4055703314066</v>
      </c>
      <c r="P7" s="77">
        <f>DCF!$O$10</f>
        <v>2687.4055703314066</v>
      </c>
    </row>
    <row r="8" spans="2:17" x14ac:dyDescent="0.35">
      <c r="L8" s="1" t="s">
        <v>227</v>
      </c>
      <c r="M8" s="124">
        <v>2170.25</v>
      </c>
      <c r="N8" s="69">
        <v>2170.25</v>
      </c>
      <c r="O8" s="69">
        <v>2812</v>
      </c>
      <c r="P8" s="69">
        <v>2812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E20D-1ADF-465D-B8A6-52E147603A04}">
  <sheetPr>
    <tabColor theme="6" tint="0.39997558519241921"/>
  </sheetPr>
  <dimension ref="B1:L81"/>
  <sheetViews>
    <sheetView showGridLines="0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18.36328125" customWidth="1"/>
    <col min="5" max="6" width="8.6328125" bestFit="1" customWidth="1"/>
    <col min="7" max="7" width="8.26953125" bestFit="1" customWidth="1"/>
    <col min="8" max="8" width="8.6328125" bestFit="1" customWidth="1"/>
    <col min="9" max="12" width="9.26953125" customWidth="1"/>
  </cols>
  <sheetData>
    <row r="1" spans="2:12" ht="19.5" x14ac:dyDescent="0.45">
      <c r="B1" s="30" t="str">
        <f>"Ratio Analysis - " &amp; Drivers!C2</f>
        <v>Ratio Analysis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2:12" x14ac:dyDescent="0.35">
      <c r="B2" s="126" t="s">
        <v>239</v>
      </c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5" spans="2:12" x14ac:dyDescent="0.35">
      <c r="B5" s="60" t="s">
        <v>151</v>
      </c>
    </row>
    <row r="7" spans="2:12" x14ac:dyDescent="0.35">
      <c r="B7" t="s">
        <v>23</v>
      </c>
      <c r="D7" s="6">
        <f>'Balance Sheet'!D17</f>
        <v>142170</v>
      </c>
      <c r="E7" s="6">
        <f>'Balance Sheet'!E17</f>
        <v>155220</v>
      </c>
      <c r="F7" s="6">
        <f>'Balance Sheet'!F17</f>
        <v>169980</v>
      </c>
      <c r="G7" s="6">
        <f>'Balance Sheet'!G17</f>
        <v>213240</v>
      </c>
      <c r="H7" s="6">
        <f>'Balance Sheet'!H17</f>
        <v>318982.04118399625</v>
      </c>
      <c r="I7" s="6">
        <f>'Balance Sheet'!I17</f>
        <v>423478.87793167029</v>
      </c>
      <c r="J7" s="6">
        <f>'Balance Sheet'!J17</f>
        <v>531687.57765540795</v>
      </c>
      <c r="K7" s="6">
        <f>'Balance Sheet'!K17</f>
        <v>643643.09982409573</v>
      </c>
      <c r="L7" s="6">
        <f>'Balance Sheet'!L17</f>
        <v>758888.7487011723</v>
      </c>
    </row>
    <row r="8" spans="2:12" x14ac:dyDescent="0.35">
      <c r="B8" t="s">
        <v>145</v>
      </c>
      <c r="D8" s="6">
        <f>'Balance Sheet'!D35</f>
        <v>111030</v>
      </c>
      <c r="E8" s="6">
        <f>'Balance Sheet'!E35</f>
        <v>112800</v>
      </c>
      <c r="F8" s="6">
        <f>'Balance Sheet'!F35</f>
        <v>120280</v>
      </c>
      <c r="G8" s="6">
        <f>'Balance Sheet'!G35</f>
        <v>128760</v>
      </c>
      <c r="H8" s="6">
        <f>'Balance Sheet'!H35</f>
        <v>133583.4823119863</v>
      </c>
      <c r="I8" s="6">
        <f>'Balance Sheet'!I35</f>
        <v>137803.90484557705</v>
      </c>
      <c r="J8" s="6">
        <f>'Balance Sheet'!J35</f>
        <v>142164.83780276391</v>
      </c>
      <c r="K8" s="6">
        <f>'Balance Sheet'!K35</f>
        <v>146497.68436136821</v>
      </c>
      <c r="L8" s="6">
        <f>'Balance Sheet'!L35</f>
        <v>149911.8885338449</v>
      </c>
    </row>
    <row r="9" spans="2:12" ht="15" thickBot="1" x14ac:dyDescent="0.4">
      <c r="B9" s="78" t="s">
        <v>146</v>
      </c>
      <c r="C9" s="78"/>
      <c r="D9" s="98">
        <f>D7/D8</f>
        <v>1.2804647392596595</v>
      </c>
      <c r="E9" s="98">
        <f t="shared" ref="E9:L9" si="1">E7/E8</f>
        <v>1.3760638297872341</v>
      </c>
      <c r="F9" s="98">
        <f t="shared" si="1"/>
        <v>1.4132025274359827</v>
      </c>
      <c r="G9" s="98">
        <f t="shared" si="1"/>
        <v>1.6561043802423112</v>
      </c>
      <c r="H9" s="98">
        <f t="shared" si="1"/>
        <v>2.387885355758347</v>
      </c>
      <c r="I9" s="98">
        <f t="shared" si="1"/>
        <v>3.0730542679920454</v>
      </c>
      <c r="J9" s="98">
        <f t="shared" si="1"/>
        <v>3.7399372859909183</v>
      </c>
      <c r="K9" s="98">
        <f t="shared" si="1"/>
        <v>4.3935377042302655</v>
      </c>
      <c r="L9" s="98">
        <f t="shared" si="1"/>
        <v>5.0622319291898021</v>
      </c>
    </row>
    <row r="10" spans="2:12" ht="15" thickTop="1" x14ac:dyDescent="0.35"/>
    <row r="11" spans="2:12" x14ac:dyDescent="0.35">
      <c r="B11" t="s">
        <v>23</v>
      </c>
      <c r="D11" s="6">
        <f>D7</f>
        <v>142170</v>
      </c>
      <c r="E11" s="6">
        <f t="shared" ref="E11:L11" si="2">E7</f>
        <v>155220</v>
      </c>
      <c r="F11" s="6">
        <f t="shared" si="2"/>
        <v>169980</v>
      </c>
      <c r="G11" s="6">
        <f t="shared" si="2"/>
        <v>213240</v>
      </c>
      <c r="H11" s="6">
        <f t="shared" si="2"/>
        <v>318982.04118399625</v>
      </c>
      <c r="I11" s="6">
        <f t="shared" si="2"/>
        <v>423478.87793167029</v>
      </c>
      <c r="J11" s="6">
        <f t="shared" si="2"/>
        <v>531687.57765540795</v>
      </c>
      <c r="K11" s="6">
        <f t="shared" si="2"/>
        <v>643643.09982409573</v>
      </c>
      <c r="L11" s="6">
        <f t="shared" si="2"/>
        <v>758888.7487011723</v>
      </c>
    </row>
    <row r="12" spans="2:12" x14ac:dyDescent="0.35">
      <c r="B12" t="s">
        <v>147</v>
      </c>
      <c r="D12" s="6">
        <f>'Balance Sheet'!D13</f>
        <v>35790</v>
      </c>
      <c r="E12" s="6">
        <f>'Balance Sheet'!E13</f>
        <v>40960</v>
      </c>
      <c r="F12" s="6">
        <f>'Balance Sheet'!F13</f>
        <v>42510</v>
      </c>
      <c r="G12" s="6">
        <f>'Balance Sheet'!G13</f>
        <v>40220</v>
      </c>
      <c r="H12" s="6">
        <f>'Balance Sheet'!H13</f>
        <v>41709.280669863008</v>
      </c>
      <c r="I12" s="6">
        <f>'Balance Sheet'!I13</f>
        <v>43027.039310020547</v>
      </c>
      <c r="J12" s="6">
        <f>'Balance Sheet'!J13</f>
        <v>44388.670056170376</v>
      </c>
      <c r="K12" s="6">
        <f>'Balance Sheet'!K13</f>
        <v>45741.531278864088</v>
      </c>
      <c r="L12" s="6">
        <f>'Balance Sheet'!L13</f>
        <v>46807.561282195355</v>
      </c>
    </row>
    <row r="13" spans="2:12" x14ac:dyDescent="0.35">
      <c r="B13" t="s">
        <v>148</v>
      </c>
      <c r="D13" s="6">
        <v>3330</v>
      </c>
      <c r="E13" s="6">
        <v>4280</v>
      </c>
      <c r="F13" s="6">
        <v>4350</v>
      </c>
      <c r="G13" s="6">
        <v>3990</v>
      </c>
      <c r="H13" s="6">
        <f>G13</f>
        <v>3990</v>
      </c>
      <c r="I13" s="6">
        <f t="shared" ref="I13:L13" si="3">H13</f>
        <v>3990</v>
      </c>
      <c r="J13" s="6">
        <f t="shared" si="3"/>
        <v>3990</v>
      </c>
      <c r="K13" s="6">
        <f t="shared" si="3"/>
        <v>3990</v>
      </c>
      <c r="L13" s="6">
        <f t="shared" si="3"/>
        <v>3990</v>
      </c>
    </row>
    <row r="14" spans="2:12" x14ac:dyDescent="0.35">
      <c r="B14" t="s">
        <v>145</v>
      </c>
      <c r="D14" s="6">
        <f>D8</f>
        <v>111030</v>
      </c>
      <c r="E14" s="6">
        <f t="shared" ref="E14:L14" si="4">E8</f>
        <v>112800</v>
      </c>
      <c r="F14" s="6">
        <f t="shared" si="4"/>
        <v>120280</v>
      </c>
      <c r="G14" s="6">
        <f t="shared" si="4"/>
        <v>128760</v>
      </c>
      <c r="H14" s="6">
        <f t="shared" si="4"/>
        <v>133583.4823119863</v>
      </c>
      <c r="I14" s="6">
        <f t="shared" si="4"/>
        <v>137803.90484557705</v>
      </c>
      <c r="J14" s="6">
        <f t="shared" si="4"/>
        <v>142164.83780276391</v>
      </c>
      <c r="K14" s="6">
        <f t="shared" si="4"/>
        <v>146497.68436136821</v>
      </c>
      <c r="L14" s="6">
        <f t="shared" si="4"/>
        <v>149911.8885338449</v>
      </c>
    </row>
    <row r="15" spans="2:12" ht="15" thickBot="1" x14ac:dyDescent="0.4">
      <c r="B15" s="78" t="s">
        <v>149</v>
      </c>
      <c r="C15" s="78"/>
      <c r="D15" s="98">
        <f>(D11-D12-D13)/D14</f>
        <v>0.92812753309916241</v>
      </c>
      <c r="E15" s="98">
        <f t="shared" ref="E15:L15" si="5">(E11-E12-E13)/E14</f>
        <v>0.97499999999999998</v>
      </c>
      <c r="F15" s="98">
        <f t="shared" si="5"/>
        <v>1.023611572996342</v>
      </c>
      <c r="G15" s="98">
        <f t="shared" si="5"/>
        <v>1.3127524075799939</v>
      </c>
      <c r="H15" s="98">
        <f t="shared" si="5"/>
        <v>2.0457825756920838</v>
      </c>
      <c r="I15" s="98">
        <f t="shared" si="5"/>
        <v>2.7318662634670079</v>
      </c>
      <c r="J15" s="98">
        <f t="shared" si="5"/>
        <v>3.3996374565542626</v>
      </c>
      <c r="K15" s="98">
        <f t="shared" si="5"/>
        <v>4.054067961103196</v>
      </c>
      <c r="L15" s="98">
        <f t="shared" si="5"/>
        <v>4.7233824771616728</v>
      </c>
    </row>
    <row r="16" spans="2:12" ht="15" thickTop="1" x14ac:dyDescent="0.35"/>
    <row r="17" spans="2:12" x14ac:dyDescent="0.35">
      <c r="B17" t="s">
        <v>45</v>
      </c>
      <c r="D17" s="12">
        <f>'Working Capital'!D12</f>
        <v>13.644424598111764</v>
      </c>
      <c r="E17" s="12">
        <f>'Working Capital'!E12</f>
        <v>15.561529954619989</v>
      </c>
      <c r="F17" s="12">
        <f>'Working Capital'!F12</f>
        <v>18.551254539451964</v>
      </c>
      <c r="G17" s="12">
        <f>'Working Capital'!G12</f>
        <v>17.673274525009692</v>
      </c>
      <c r="H17" s="12">
        <f>'Working Capital'!H12</f>
        <v>18</v>
      </c>
      <c r="I17" s="12">
        <f>'Working Capital'!I12</f>
        <v>18</v>
      </c>
      <c r="J17" s="12">
        <f>'Working Capital'!J12</f>
        <v>18</v>
      </c>
      <c r="K17" s="12">
        <f>'Working Capital'!K12</f>
        <v>18</v>
      </c>
      <c r="L17" s="12">
        <f>'Working Capital'!L12</f>
        <v>18</v>
      </c>
    </row>
    <row r="18" spans="2:12" x14ac:dyDescent="0.35">
      <c r="B18" t="s">
        <v>46</v>
      </c>
      <c r="D18" s="12">
        <f>'Working Capital'!D13</f>
        <v>58.982075130937332</v>
      </c>
      <c r="E18" s="12">
        <f>'Working Capital'!E13</f>
        <v>58.093646784534677</v>
      </c>
      <c r="F18" s="12">
        <f>'Working Capital'!F13</f>
        <v>48.922152856602345</v>
      </c>
      <c r="G18" s="12">
        <f>'Working Capital'!G13</f>
        <v>49.328965053763447</v>
      </c>
      <c r="H18" s="12">
        <f>'Working Capital'!H13</f>
        <v>49</v>
      </c>
      <c r="I18" s="12">
        <f>'Working Capital'!I13</f>
        <v>49</v>
      </c>
      <c r="J18" s="12">
        <f>'Working Capital'!J13</f>
        <v>49</v>
      </c>
      <c r="K18" s="12">
        <f>'Working Capital'!K13</f>
        <v>49</v>
      </c>
      <c r="L18" s="12">
        <f>'Working Capital'!L13</f>
        <v>49</v>
      </c>
    </row>
    <row r="19" spans="2:12" x14ac:dyDescent="0.35">
      <c r="B19" t="s">
        <v>47</v>
      </c>
      <c r="D19" s="12">
        <f>'Working Capital'!D14</f>
        <v>145.05734152067905</v>
      </c>
      <c r="E19" s="12">
        <f>'Working Capital'!E14</f>
        <v>128.61161841849619</v>
      </c>
      <c r="F19" s="12">
        <f>'Working Capital'!F14</f>
        <v>110.18129650649514</v>
      </c>
      <c r="G19" s="12">
        <f>'Working Capital'!G14</f>
        <v>128.60853494623657</v>
      </c>
      <c r="H19" s="12">
        <f>'Working Capital'!H14</f>
        <v>129</v>
      </c>
      <c r="I19" s="12">
        <f>'Working Capital'!I14</f>
        <v>129</v>
      </c>
      <c r="J19" s="12">
        <f>'Working Capital'!J14</f>
        <v>129</v>
      </c>
      <c r="K19" s="12">
        <f>'Working Capital'!K14</f>
        <v>129</v>
      </c>
      <c r="L19" s="12">
        <f>'Working Capital'!L14</f>
        <v>129</v>
      </c>
    </row>
    <row r="20" spans="2:12" ht="15" thickBot="1" x14ac:dyDescent="0.4">
      <c r="B20" s="78" t="s">
        <v>48</v>
      </c>
      <c r="C20" s="78"/>
      <c r="D20" s="99">
        <f>D17+D18-D19</f>
        <v>-72.430841791629945</v>
      </c>
      <c r="E20" s="99">
        <f t="shared" ref="E20:L20" si="6">E17+E18-E19</f>
        <v>-54.956441679341523</v>
      </c>
      <c r="F20" s="99">
        <f t="shared" si="6"/>
        <v>-42.707889110440831</v>
      </c>
      <c r="G20" s="99">
        <f t="shared" si="6"/>
        <v>-61.606295367463431</v>
      </c>
      <c r="H20" s="99">
        <f t="shared" si="6"/>
        <v>-62</v>
      </c>
      <c r="I20" s="99">
        <f t="shared" si="6"/>
        <v>-62</v>
      </c>
      <c r="J20" s="99">
        <f t="shared" si="6"/>
        <v>-62</v>
      </c>
      <c r="K20" s="99">
        <f t="shared" si="6"/>
        <v>-62</v>
      </c>
      <c r="L20" s="99">
        <f t="shared" si="6"/>
        <v>-62</v>
      </c>
    </row>
    <row r="21" spans="2:12" ht="15" thickTop="1" x14ac:dyDescent="0.35"/>
    <row r="22" spans="2:12" x14ac:dyDescent="0.35">
      <c r="B22" s="60" t="s">
        <v>150</v>
      </c>
    </row>
    <row r="24" spans="2:12" x14ac:dyDescent="0.35">
      <c r="B24" t="s">
        <v>95</v>
      </c>
      <c r="D24" s="6">
        <f>('Balance Sheet'!D26+'Balance Sheet'!D31)</f>
        <v>10090</v>
      </c>
      <c r="E24" s="6">
        <f>('Balance Sheet'!E26+'Balance Sheet'!E31)</f>
        <v>10430</v>
      </c>
      <c r="F24" s="6">
        <f>('Balance Sheet'!F26+'Balance Sheet'!F31)</f>
        <v>12190</v>
      </c>
      <c r="G24" s="6">
        <f>('Balance Sheet'!G26+'Balance Sheet'!G31)</f>
        <v>14840</v>
      </c>
      <c r="H24" s="6">
        <f>('Balance Sheet'!H26+'Balance Sheet'!H31)</f>
        <v>13315.353449999999</v>
      </c>
      <c r="I24" s="6">
        <f>('Balance Sheet'!I26+'Balance Sheet'!I31)</f>
        <v>13736.037330749999</v>
      </c>
      <c r="J24" s="6">
        <f>('Balance Sheet'!J26+'Balance Sheet'!J31)</f>
        <v>14170.727029593749</v>
      </c>
      <c r="K24" s="6">
        <f>('Balance Sheet'!K26+'Balance Sheet'!K31)</f>
        <v>14602.617128383725</v>
      </c>
      <c r="L24" s="6">
        <f>('Balance Sheet'!L26+'Balance Sheet'!L31)</f>
        <v>14942.938660059448</v>
      </c>
    </row>
    <row r="25" spans="2:12" x14ac:dyDescent="0.35">
      <c r="B25" t="s">
        <v>28</v>
      </c>
      <c r="D25" s="6">
        <f>'Balance Sheet'!D24</f>
        <v>476940</v>
      </c>
      <c r="E25" s="6">
        <f>'Balance Sheet'!E24</f>
        <v>490870</v>
      </c>
      <c r="F25" s="6">
        <f>'Balance Sheet'!F24</f>
        <v>505220</v>
      </c>
      <c r="G25" s="6">
        <f>'Balance Sheet'!G24</f>
        <v>514230</v>
      </c>
      <c r="H25" s="6">
        <f>'Balance Sheet'!H24</f>
        <v>624173.12047200999</v>
      </c>
      <c r="I25" s="6">
        <f>'Balance Sheet'!I24</f>
        <v>736380.46042209328</v>
      </c>
      <c r="J25" s="6">
        <f>'Balance Sheet'!J24</f>
        <v>850929.82094364404</v>
      </c>
      <c r="K25" s="6">
        <f>'Balance Sheet'!K24</f>
        <v>967750.19297370431</v>
      </c>
      <c r="L25" s="6">
        <f>'Balance Sheet'!L24</f>
        <v>1085992.7357151036</v>
      </c>
    </row>
    <row r="26" spans="2:12" ht="15" thickBot="1" x14ac:dyDescent="0.4">
      <c r="B26" s="78" t="s">
        <v>104</v>
      </c>
      <c r="C26" s="100"/>
      <c r="D26" s="101">
        <f>D24/D25</f>
        <v>2.1155700926741308E-2</v>
      </c>
      <c r="E26" s="101">
        <f t="shared" ref="E26:L26" si="7">E24/E25</f>
        <v>2.1247988265732272E-2</v>
      </c>
      <c r="F26" s="101">
        <f t="shared" si="7"/>
        <v>2.4128102608764499E-2</v>
      </c>
      <c r="G26" s="101">
        <f t="shared" si="7"/>
        <v>2.8858681912762772E-2</v>
      </c>
      <c r="H26" s="101">
        <f t="shared" si="7"/>
        <v>2.1332788954338034E-2</v>
      </c>
      <c r="I26" s="101">
        <f t="shared" si="7"/>
        <v>1.8653451672083345E-2</v>
      </c>
      <c r="J26" s="101">
        <f t="shared" si="7"/>
        <v>1.6653226483329765E-2</v>
      </c>
      <c r="K26" s="101">
        <f t="shared" si="7"/>
        <v>1.5089242280089638E-2</v>
      </c>
      <c r="L26" s="101">
        <f t="shared" si="7"/>
        <v>1.375970406488938E-2</v>
      </c>
    </row>
    <row r="27" spans="2:12" ht="15" thickTop="1" x14ac:dyDescent="0.35"/>
    <row r="28" spans="2:12" x14ac:dyDescent="0.35">
      <c r="B28" t="s">
        <v>95</v>
      </c>
      <c r="D28" s="6">
        <f>D24</f>
        <v>10090</v>
      </c>
      <c r="E28" s="6">
        <f t="shared" ref="E28:L28" si="8">E24</f>
        <v>10430</v>
      </c>
      <c r="F28" s="6">
        <f t="shared" si="8"/>
        <v>12190</v>
      </c>
      <c r="G28" s="6">
        <f t="shared" si="8"/>
        <v>14840</v>
      </c>
      <c r="H28" s="6">
        <f t="shared" si="8"/>
        <v>13315.353449999999</v>
      </c>
      <c r="I28" s="6">
        <f t="shared" si="8"/>
        <v>13736.037330749999</v>
      </c>
      <c r="J28" s="6">
        <f t="shared" si="8"/>
        <v>14170.727029593749</v>
      </c>
      <c r="K28" s="6">
        <f t="shared" si="8"/>
        <v>14602.617128383725</v>
      </c>
      <c r="L28" s="6">
        <f t="shared" si="8"/>
        <v>14942.938660059448</v>
      </c>
    </row>
    <row r="29" spans="2:12" x14ac:dyDescent="0.35">
      <c r="B29" t="s">
        <v>24</v>
      </c>
      <c r="D29" s="6">
        <f>'Balance Sheet'!D19</f>
        <v>687570</v>
      </c>
      <c r="E29" s="6">
        <f>'Balance Sheet'!E19</f>
        <v>705170</v>
      </c>
      <c r="F29" s="6">
        <f>'Balance Sheet'!F19</f>
        <v>730870</v>
      </c>
      <c r="G29" s="6">
        <f>'Balance Sheet'!G19</f>
        <v>784990</v>
      </c>
      <c r="H29" s="6">
        <f>'Balance Sheet'!H19</f>
        <v>901689.23293399625</v>
      </c>
      <c r="I29" s="6">
        <f>'Balance Sheet'!I19</f>
        <v>1022664.3878429204</v>
      </c>
      <c r="J29" s="6">
        <f>'Balance Sheet'!J19</f>
        <v>1146273.4699710642</v>
      </c>
      <c r="K29" s="6">
        <f>'Balance Sheet'!K19</f>
        <v>1272095.2148656966</v>
      </c>
      <c r="L29" s="6">
        <f>'Balance Sheet'!L19</f>
        <v>1397430.675479115</v>
      </c>
    </row>
    <row r="30" spans="2:12" ht="15" thickBot="1" x14ac:dyDescent="0.4">
      <c r="B30" s="78" t="s">
        <v>154</v>
      </c>
      <c r="C30" s="78"/>
      <c r="D30" s="101">
        <f>D28/D29</f>
        <v>1.4674869467836003E-2</v>
      </c>
      <c r="E30" s="101">
        <f t="shared" ref="E30:L30" si="9">E28/E29</f>
        <v>1.4790759674971992E-2</v>
      </c>
      <c r="F30" s="101">
        <f t="shared" si="9"/>
        <v>1.6678752719361856E-2</v>
      </c>
      <c r="G30" s="101">
        <f t="shared" si="9"/>
        <v>1.8904699422922586E-2</v>
      </c>
      <c r="H30" s="101">
        <f t="shared" si="9"/>
        <v>1.4767120382122478E-2</v>
      </c>
      <c r="I30" s="101">
        <f t="shared" si="9"/>
        <v>1.3431617932568345E-2</v>
      </c>
      <c r="J30" s="101">
        <f t="shared" si="9"/>
        <v>1.2362431305290059E-2</v>
      </c>
      <c r="K30" s="101">
        <f t="shared" si="9"/>
        <v>1.1479185644075721E-2</v>
      </c>
      <c r="L30" s="101">
        <f t="shared" si="9"/>
        <v>1.0693152026977079E-2</v>
      </c>
    </row>
    <row r="31" spans="2:12" ht="15" thickTop="1" x14ac:dyDescent="0.35"/>
    <row r="32" spans="2:12" x14ac:dyDescent="0.35">
      <c r="B32" t="s">
        <v>28</v>
      </c>
      <c r="D32" s="6">
        <f>D25</f>
        <v>476940</v>
      </c>
      <c r="E32" s="6">
        <f t="shared" ref="E32:L32" si="10">E25</f>
        <v>490870</v>
      </c>
      <c r="F32" s="6">
        <f t="shared" si="10"/>
        <v>505220</v>
      </c>
      <c r="G32" s="6">
        <f t="shared" si="10"/>
        <v>514230</v>
      </c>
      <c r="H32" s="6">
        <f t="shared" si="10"/>
        <v>624173.12047200999</v>
      </c>
      <c r="I32" s="6">
        <f t="shared" si="10"/>
        <v>736380.46042209328</v>
      </c>
      <c r="J32" s="6">
        <f t="shared" si="10"/>
        <v>850929.82094364404</v>
      </c>
      <c r="K32" s="6">
        <f t="shared" si="10"/>
        <v>967750.19297370431</v>
      </c>
      <c r="L32" s="6">
        <f t="shared" si="10"/>
        <v>1085992.7357151036</v>
      </c>
    </row>
    <row r="33" spans="2:12" x14ac:dyDescent="0.35">
      <c r="B33" t="s">
        <v>24</v>
      </c>
      <c r="D33" s="6">
        <f>D29</f>
        <v>687570</v>
      </c>
      <c r="E33" s="6">
        <f t="shared" ref="E33:L33" si="11">E29</f>
        <v>705170</v>
      </c>
      <c r="F33" s="6">
        <f t="shared" si="11"/>
        <v>730870</v>
      </c>
      <c r="G33" s="6">
        <f t="shared" si="11"/>
        <v>784990</v>
      </c>
      <c r="H33" s="6">
        <f t="shared" si="11"/>
        <v>901689.23293399625</v>
      </c>
      <c r="I33" s="6">
        <f t="shared" si="11"/>
        <v>1022664.3878429204</v>
      </c>
      <c r="J33" s="6">
        <f t="shared" si="11"/>
        <v>1146273.4699710642</v>
      </c>
      <c r="K33" s="6">
        <f t="shared" si="11"/>
        <v>1272095.2148656966</v>
      </c>
      <c r="L33" s="6">
        <f t="shared" si="11"/>
        <v>1397430.675479115</v>
      </c>
    </row>
    <row r="34" spans="2:12" ht="15" thickBot="1" x14ac:dyDescent="0.4">
      <c r="B34" s="78" t="s">
        <v>155</v>
      </c>
      <c r="C34" s="78"/>
      <c r="D34" s="101">
        <f>D32/D33</f>
        <v>0.6936602818622104</v>
      </c>
      <c r="E34" s="101">
        <f t="shared" ref="E34:L34" si="12">E32/E33</f>
        <v>0.69610164924769913</v>
      </c>
      <c r="F34" s="101">
        <f t="shared" si="12"/>
        <v>0.69125836332042634</v>
      </c>
      <c r="G34" s="101">
        <f t="shared" si="12"/>
        <v>0.65507840864214828</v>
      </c>
      <c r="H34" s="101">
        <f t="shared" si="12"/>
        <v>0.69222643198368938</v>
      </c>
      <c r="I34" s="101">
        <f t="shared" si="12"/>
        <v>0.72006072488289297</v>
      </c>
      <c r="J34" s="101">
        <f t="shared" si="12"/>
        <v>0.74234451309871485</v>
      </c>
      <c r="K34" s="101">
        <f t="shared" si="12"/>
        <v>0.76075295438940549</v>
      </c>
      <c r="L34" s="101">
        <f t="shared" si="12"/>
        <v>0.77713532039273892</v>
      </c>
    </row>
    <row r="35" spans="2:12" ht="15" thickTop="1" x14ac:dyDescent="0.35"/>
    <row r="36" spans="2:12" x14ac:dyDescent="0.35">
      <c r="B36" s="60" t="s">
        <v>153</v>
      </c>
    </row>
    <row r="38" spans="2:12" x14ac:dyDescent="0.35">
      <c r="B38" t="s">
        <v>1</v>
      </c>
      <c r="D38" s="6">
        <f>'Income Statement'!D5</f>
        <v>470280</v>
      </c>
      <c r="E38" s="6">
        <f>'Income Statement'!E5</f>
        <v>524460</v>
      </c>
      <c r="F38" s="6">
        <f>'Income Statement'!F5</f>
        <v>605800</v>
      </c>
      <c r="G38" s="6">
        <f>'Income Statement'!G5</f>
        <v>618960</v>
      </c>
      <c r="H38" s="6">
        <f>'Income Statement'!H5</f>
        <v>634064.44999999995</v>
      </c>
      <c r="I38" s="6">
        <f>'Income Statement'!I5</f>
        <v>654097.01575000002</v>
      </c>
      <c r="J38" s="6">
        <f>'Income Statement'!J5</f>
        <v>674796.52521875</v>
      </c>
      <c r="K38" s="6">
        <f>'Income Statement'!K5</f>
        <v>695362.72039922501</v>
      </c>
      <c r="L38" s="6">
        <f>'Income Statement'!L5</f>
        <v>711568.50762187853</v>
      </c>
    </row>
    <row r="39" spans="2:12" x14ac:dyDescent="0.35">
      <c r="B39" t="s">
        <v>24</v>
      </c>
      <c r="D39" s="6">
        <f>D29</f>
        <v>687570</v>
      </c>
      <c r="E39" s="6">
        <f t="shared" ref="E39:L39" si="13">E29</f>
        <v>705170</v>
      </c>
      <c r="F39" s="6">
        <f t="shared" si="13"/>
        <v>730870</v>
      </c>
      <c r="G39" s="6">
        <f t="shared" si="13"/>
        <v>784990</v>
      </c>
      <c r="H39" s="6">
        <f t="shared" si="13"/>
        <v>901689.23293399625</v>
      </c>
      <c r="I39" s="6">
        <f t="shared" si="13"/>
        <v>1022664.3878429204</v>
      </c>
      <c r="J39" s="6">
        <f t="shared" si="13"/>
        <v>1146273.4699710642</v>
      </c>
      <c r="K39" s="6">
        <f t="shared" si="13"/>
        <v>1272095.2148656966</v>
      </c>
      <c r="L39" s="6">
        <f t="shared" si="13"/>
        <v>1397430.675479115</v>
      </c>
    </row>
    <row r="40" spans="2:12" ht="15" thickBot="1" x14ac:dyDescent="0.4">
      <c r="B40" s="78" t="s">
        <v>156</v>
      </c>
      <c r="C40" s="100"/>
      <c r="D40" s="101"/>
      <c r="E40" s="101">
        <f>E38/(AVERAGE(D39:E39))</f>
        <v>0.75313410974051154</v>
      </c>
      <c r="F40" s="101">
        <f t="shared" ref="F40:L40" si="14">F38/(AVERAGE(E39:F39))</f>
        <v>0.84370908888331797</v>
      </c>
      <c r="G40" s="101">
        <f t="shared" si="14"/>
        <v>0.81664533664058692</v>
      </c>
      <c r="H40" s="101">
        <f t="shared" si="14"/>
        <v>0.75184947750502407</v>
      </c>
      <c r="I40" s="101">
        <f t="shared" si="14"/>
        <v>0.67980958248819401</v>
      </c>
      <c r="J40" s="101">
        <f t="shared" si="14"/>
        <v>0.62223684536435697</v>
      </c>
      <c r="K40" s="101">
        <f t="shared" si="14"/>
        <v>0.57506758564909366</v>
      </c>
      <c r="L40" s="101">
        <f t="shared" si="14"/>
        <v>0.53310478103658188</v>
      </c>
    </row>
    <row r="41" spans="2:12" ht="15" thickTop="1" x14ac:dyDescent="0.35"/>
    <row r="42" spans="2:12" x14ac:dyDescent="0.35">
      <c r="B42" t="s">
        <v>157</v>
      </c>
      <c r="D42" s="6">
        <f>-'Income Statement'!D6</f>
        <v>221480</v>
      </c>
      <c r="E42" s="6">
        <f>-'Income Statement'!E6</f>
        <v>257350</v>
      </c>
      <c r="F42" s="6">
        <f>-'Income Statement'!F6</f>
        <v>317160</v>
      </c>
      <c r="G42" s="6">
        <f>-'Income Statement'!G6</f>
        <v>297600</v>
      </c>
      <c r="H42" s="6">
        <f>-'Income Statement'!H6</f>
        <v>310691.58049999998</v>
      </c>
      <c r="I42" s="6">
        <f>-'Income Statement'!I6</f>
        <v>320507.5377175</v>
      </c>
      <c r="J42" s="6">
        <f>-'Income Statement'!J6</f>
        <v>330650.29735718749</v>
      </c>
      <c r="K42" s="6">
        <f>-'Income Statement'!K6</f>
        <v>340727.73299562023</v>
      </c>
      <c r="L42" s="6">
        <f>-'Income Statement'!L6</f>
        <v>348668.56873472047</v>
      </c>
    </row>
    <row r="43" spans="2:12" x14ac:dyDescent="0.35">
      <c r="B43" t="s">
        <v>147</v>
      </c>
      <c r="D43" s="6">
        <f>'Balance Sheet'!D13</f>
        <v>35790</v>
      </c>
      <c r="E43" s="6">
        <f>'Balance Sheet'!E13</f>
        <v>40960</v>
      </c>
      <c r="F43" s="6">
        <f>'Balance Sheet'!F13</f>
        <v>42510</v>
      </c>
      <c r="G43" s="6">
        <f>'Balance Sheet'!G13</f>
        <v>40220</v>
      </c>
      <c r="H43" s="6">
        <f>'Balance Sheet'!H13</f>
        <v>41709.280669863008</v>
      </c>
      <c r="I43" s="6">
        <f>'Balance Sheet'!I13</f>
        <v>43027.039310020547</v>
      </c>
      <c r="J43" s="6">
        <f>'Balance Sheet'!J13</f>
        <v>44388.670056170376</v>
      </c>
      <c r="K43" s="6">
        <f>'Balance Sheet'!K13</f>
        <v>45741.531278864088</v>
      </c>
      <c r="L43" s="6">
        <f>'Balance Sheet'!L13</f>
        <v>46807.561282195355</v>
      </c>
    </row>
    <row r="44" spans="2:12" ht="15" thickBot="1" x14ac:dyDescent="0.4">
      <c r="B44" s="78" t="s">
        <v>158</v>
      </c>
      <c r="C44" s="78"/>
      <c r="D44" s="78"/>
      <c r="E44" s="101">
        <f>E42/(AVERAGE(D43:E43))</f>
        <v>6.7061889250814328</v>
      </c>
      <c r="F44" s="101">
        <f t="shared" ref="F44:L44" si="15">F42/(AVERAGE(E43:F43))</f>
        <v>7.5993770216844378</v>
      </c>
      <c r="G44" s="101">
        <f t="shared" si="15"/>
        <v>7.1944880937991051</v>
      </c>
      <c r="H44" s="101">
        <f t="shared" si="15"/>
        <v>7.5843844339838133</v>
      </c>
      <c r="I44" s="101">
        <f t="shared" si="15"/>
        <v>7.5648207945209007</v>
      </c>
      <c r="J44" s="101">
        <f t="shared" si="15"/>
        <v>7.5650086181207721</v>
      </c>
      <c r="K44" s="101">
        <f t="shared" si="15"/>
        <v>7.5607893458277706</v>
      </c>
      <c r="L44" s="101">
        <f t="shared" si="15"/>
        <v>7.5347809273156452</v>
      </c>
    </row>
    <row r="45" spans="2:12" ht="15" thickTop="1" x14ac:dyDescent="0.35"/>
    <row r="46" spans="2:12" x14ac:dyDescent="0.35">
      <c r="B46" s="60" t="s">
        <v>159</v>
      </c>
    </row>
    <row r="48" spans="2:12" x14ac:dyDescent="0.35">
      <c r="B48" t="s">
        <v>95</v>
      </c>
      <c r="D48" s="6">
        <f t="shared" ref="D48:L48" si="16">D28</f>
        <v>10090</v>
      </c>
      <c r="E48" s="6">
        <f t="shared" si="16"/>
        <v>10430</v>
      </c>
      <c r="F48" s="6">
        <f t="shared" si="16"/>
        <v>12190</v>
      </c>
      <c r="G48" s="6">
        <f t="shared" si="16"/>
        <v>14840</v>
      </c>
      <c r="H48" s="6">
        <f t="shared" si="16"/>
        <v>13315.353449999999</v>
      </c>
      <c r="I48" s="6">
        <f t="shared" si="16"/>
        <v>13736.037330749999</v>
      </c>
      <c r="J48" s="6">
        <f t="shared" si="16"/>
        <v>14170.727029593749</v>
      </c>
      <c r="K48" s="6">
        <f t="shared" si="16"/>
        <v>14602.617128383725</v>
      </c>
      <c r="L48" s="6">
        <f t="shared" si="16"/>
        <v>14942.938660059448</v>
      </c>
    </row>
    <row r="49" spans="2:12" x14ac:dyDescent="0.35">
      <c r="B49" t="s">
        <v>7</v>
      </c>
      <c r="D49" s="6">
        <f>'Income Statement'!D14</f>
        <v>120360</v>
      </c>
      <c r="E49" s="6">
        <f>'Income Statement'!E14</f>
        <v>131150</v>
      </c>
      <c r="F49" s="6">
        <f>'Income Statement'!F14</f>
        <v>146600</v>
      </c>
      <c r="G49" s="6">
        <f>'Income Statement'!G14</f>
        <v>154740</v>
      </c>
      <c r="H49" s="6">
        <f>'Income Statement'!H14</f>
        <v>159150.17694999994</v>
      </c>
      <c r="I49" s="6">
        <f>'Income Statement'!I14</f>
        <v>164178.35095324999</v>
      </c>
      <c r="J49" s="6">
        <f>'Income Statement'!J14</f>
        <v>169373.92782990629</v>
      </c>
      <c r="K49" s="6">
        <f>'Income Statement'!K14</f>
        <v>174536.04282020548</v>
      </c>
      <c r="L49" s="6">
        <f>'Income Statement'!L14</f>
        <v>178603.69541309154</v>
      </c>
    </row>
    <row r="50" spans="2:12" ht="15" thickBot="1" x14ac:dyDescent="0.4">
      <c r="B50" s="78" t="s">
        <v>152</v>
      </c>
      <c r="C50" s="78"/>
      <c r="D50" s="101"/>
      <c r="E50" s="101">
        <f>AVERAGE(D48:E48)/E49</f>
        <v>7.82310331681281E-2</v>
      </c>
      <c r="F50" s="101">
        <f t="shared" ref="F50:L50" si="17">AVERAGE(E48:F48)/F49</f>
        <v>7.7148703956343795E-2</v>
      </c>
      <c r="G50" s="101">
        <f t="shared" si="17"/>
        <v>8.7340054284606436E-2</v>
      </c>
      <c r="H50" s="101">
        <f t="shared" si="17"/>
        <v>8.8455300489064304E-2</v>
      </c>
      <c r="I50" s="101">
        <f t="shared" si="17"/>
        <v>8.2384159128425283E-2</v>
      </c>
      <c r="J50" s="101">
        <f t="shared" si="17"/>
        <v>8.2382113699249818E-2</v>
      </c>
      <c r="K50" s="101">
        <f t="shared" si="17"/>
        <v>8.2428086752309698E-2</v>
      </c>
      <c r="L50" s="101">
        <f t="shared" si="17"/>
        <v>8.2712610509282608E-2</v>
      </c>
    </row>
    <row r="51" spans="2:12" ht="15" thickTop="1" x14ac:dyDescent="0.35"/>
    <row r="52" spans="2:12" x14ac:dyDescent="0.35">
      <c r="B52" t="s">
        <v>9</v>
      </c>
      <c r="D52" s="6">
        <f>'Income Statement'!D18</f>
        <v>109620</v>
      </c>
      <c r="E52" s="6">
        <f>'Income Statement'!E18</f>
        <v>120240</v>
      </c>
      <c r="F52" s="6">
        <f>'Income Statement'!F18</f>
        <v>135230</v>
      </c>
      <c r="G52" s="6">
        <f>'Income Statement'!G18</f>
        <v>142580</v>
      </c>
      <c r="H52" s="6">
        <f>'Income Statement'!H18</f>
        <v>148191.98359999995</v>
      </c>
      <c r="I52" s="6">
        <f>'Income Statement'!I18</f>
        <v>151257.86655599999</v>
      </c>
      <c r="J52" s="6">
        <f>'Income Statement'!J18</f>
        <v>154429.05385700002</v>
      </c>
      <c r="K52" s="6">
        <f>'Income Statement'!K18</f>
        <v>157505.08068610154</v>
      </c>
      <c r="L52" s="6">
        <f>'Income Statement'!L18</f>
        <v>159438.02775612197</v>
      </c>
    </row>
    <row r="53" spans="2:12" x14ac:dyDescent="0.35">
      <c r="B53" t="s">
        <v>72</v>
      </c>
      <c r="D53" s="6">
        <f>-'Income Statement'!D20</f>
        <v>1170</v>
      </c>
      <c r="E53" s="6">
        <f>-'Income Statement'!E20</f>
        <v>1060</v>
      </c>
      <c r="F53" s="6">
        <f>-'Income Statement'!F20</f>
        <v>1140</v>
      </c>
      <c r="G53" s="6">
        <f>-'Income Statement'!G20</f>
        <v>3340</v>
      </c>
      <c r="H53" s="6">
        <f>-'Income Statement'!H20</f>
        <v>1268.1288999999999</v>
      </c>
      <c r="I53" s="6">
        <f>-'Income Statement'!I20</f>
        <v>1308.1940315000002</v>
      </c>
      <c r="J53" s="6">
        <f>-'Income Statement'!J20</f>
        <v>1349.5930504375001</v>
      </c>
      <c r="K53" s="6">
        <f>-'Income Statement'!K20</f>
        <v>1390.7254407984501</v>
      </c>
      <c r="L53" s="6">
        <f>-'Income Statement'!L20</f>
        <v>1423.1370152437571</v>
      </c>
    </row>
    <row r="54" spans="2:12" ht="15" thickBot="1" x14ac:dyDescent="0.4">
      <c r="B54" s="78" t="s">
        <v>123</v>
      </c>
      <c r="C54" s="78"/>
      <c r="D54" s="101">
        <f>D52/D53</f>
        <v>93.692307692307693</v>
      </c>
      <c r="E54" s="101">
        <f t="shared" ref="E54:L54" si="18">E52/E53</f>
        <v>113.43396226415095</v>
      </c>
      <c r="F54" s="101">
        <f t="shared" si="18"/>
        <v>118.62280701754386</v>
      </c>
      <c r="G54" s="101">
        <f t="shared" si="18"/>
        <v>42.688622754491021</v>
      </c>
      <c r="H54" s="101">
        <f t="shared" si="18"/>
        <v>116.85877011398443</v>
      </c>
      <c r="I54" s="101">
        <f t="shared" si="18"/>
        <v>115.62341893775869</v>
      </c>
      <c r="J54" s="101">
        <f t="shared" si="18"/>
        <v>114.42638490687135</v>
      </c>
      <c r="K54" s="101">
        <f t="shared" si="18"/>
        <v>113.25390049359703</v>
      </c>
      <c r="L54" s="101">
        <f t="shared" si="18"/>
        <v>112.03280221673749</v>
      </c>
    </row>
    <row r="55" spans="2:12" ht="15" thickTop="1" x14ac:dyDescent="0.35"/>
    <row r="56" spans="2:12" x14ac:dyDescent="0.35">
      <c r="B56" s="60" t="s">
        <v>160</v>
      </c>
    </row>
    <row r="58" spans="2:12" x14ac:dyDescent="0.35">
      <c r="B58" t="s">
        <v>3</v>
      </c>
      <c r="D58" s="6">
        <f>'Income Statement'!D8</f>
        <v>248800</v>
      </c>
      <c r="E58" s="6">
        <f>'Income Statement'!E8</f>
        <v>267110</v>
      </c>
      <c r="F58" s="6">
        <f>'Income Statement'!F8</f>
        <v>288640</v>
      </c>
      <c r="G58" s="6">
        <f>'Income Statement'!G8</f>
        <v>321360</v>
      </c>
      <c r="H58" s="6">
        <f>'Income Statement'!H8</f>
        <v>323372.86949999997</v>
      </c>
      <c r="I58" s="6">
        <f>'Income Statement'!I8</f>
        <v>333589.47803250002</v>
      </c>
      <c r="J58" s="6">
        <f>'Income Statement'!J8</f>
        <v>344146.22786156251</v>
      </c>
      <c r="K58" s="6">
        <f>'Income Statement'!K8</f>
        <v>354634.98740360478</v>
      </c>
      <c r="L58" s="6">
        <f>'Income Statement'!L8</f>
        <v>362899.93888715806</v>
      </c>
    </row>
    <row r="59" spans="2:12" x14ac:dyDescent="0.35">
      <c r="B59" t="s">
        <v>1</v>
      </c>
      <c r="D59" s="6">
        <f>'Income Statement'!D5</f>
        <v>470280</v>
      </c>
      <c r="E59" s="6">
        <f>'Income Statement'!E5</f>
        <v>524460</v>
      </c>
      <c r="F59" s="6">
        <f>'Income Statement'!F5</f>
        <v>605800</v>
      </c>
      <c r="G59" s="6">
        <f>'Income Statement'!G5</f>
        <v>618960</v>
      </c>
      <c r="H59" s="6">
        <f>'Income Statement'!H5</f>
        <v>634064.44999999995</v>
      </c>
      <c r="I59" s="6">
        <f>'Income Statement'!I5</f>
        <v>654097.01575000002</v>
      </c>
      <c r="J59" s="6">
        <f>'Income Statement'!J5</f>
        <v>674796.52521875</v>
      </c>
      <c r="K59" s="6">
        <f>'Income Statement'!K5</f>
        <v>695362.72039922501</v>
      </c>
      <c r="L59" s="6">
        <f>'Income Statement'!L5</f>
        <v>711568.50762187853</v>
      </c>
    </row>
    <row r="60" spans="2:12" ht="15" thickBot="1" x14ac:dyDescent="0.4">
      <c r="B60" s="78" t="s">
        <v>161</v>
      </c>
      <c r="C60" s="78"/>
      <c r="D60" s="79">
        <f>D58/D59</f>
        <v>0.52904652547418562</v>
      </c>
      <c r="E60" s="79">
        <f t="shared" ref="E60:L60" si="19">E58/E59</f>
        <v>0.50930480875567252</v>
      </c>
      <c r="F60" s="79">
        <f t="shared" si="19"/>
        <v>0.4764608781776164</v>
      </c>
      <c r="G60" s="79">
        <f t="shared" si="19"/>
        <v>0.51919348584722758</v>
      </c>
      <c r="H60" s="79">
        <f t="shared" si="19"/>
        <v>0.51</v>
      </c>
      <c r="I60" s="79">
        <f t="shared" si="19"/>
        <v>0.51</v>
      </c>
      <c r="J60" s="79">
        <f t="shared" si="19"/>
        <v>0.51</v>
      </c>
      <c r="K60" s="79">
        <f t="shared" si="19"/>
        <v>0.51</v>
      </c>
      <c r="L60" s="79">
        <f t="shared" si="19"/>
        <v>0.51</v>
      </c>
    </row>
    <row r="61" spans="2:12" ht="15" thickTop="1" x14ac:dyDescent="0.35"/>
    <row r="62" spans="2:12" x14ac:dyDescent="0.35">
      <c r="B62" t="s">
        <v>7</v>
      </c>
      <c r="D62" s="6">
        <f>'Income Statement'!D14</f>
        <v>120360</v>
      </c>
      <c r="E62" s="6">
        <f>'Income Statement'!E14</f>
        <v>131150</v>
      </c>
      <c r="F62" s="6">
        <f>'Income Statement'!F14</f>
        <v>146600</v>
      </c>
      <c r="G62" s="6">
        <f>'Income Statement'!G14</f>
        <v>154740</v>
      </c>
      <c r="H62" s="6">
        <f>'Income Statement'!H14</f>
        <v>159150.17694999994</v>
      </c>
      <c r="I62" s="6">
        <f>'Income Statement'!I14</f>
        <v>164178.35095324999</v>
      </c>
      <c r="J62" s="6">
        <f>'Income Statement'!J14</f>
        <v>169373.92782990629</v>
      </c>
      <c r="K62" s="6">
        <f>'Income Statement'!K14</f>
        <v>174536.04282020548</v>
      </c>
      <c r="L62" s="6">
        <f>'Income Statement'!L14</f>
        <v>178603.69541309154</v>
      </c>
    </row>
    <row r="63" spans="2:12" x14ac:dyDescent="0.35">
      <c r="B63" t="s">
        <v>1</v>
      </c>
      <c r="D63" s="6">
        <f>D59</f>
        <v>470280</v>
      </c>
      <c r="E63" s="6">
        <f t="shared" ref="E63:L63" si="20">E59</f>
        <v>524460</v>
      </c>
      <c r="F63" s="6">
        <f t="shared" si="20"/>
        <v>605800</v>
      </c>
      <c r="G63" s="6">
        <f t="shared" si="20"/>
        <v>618960</v>
      </c>
      <c r="H63" s="6">
        <f t="shared" si="20"/>
        <v>634064.44999999995</v>
      </c>
      <c r="I63" s="6">
        <f t="shared" si="20"/>
        <v>654097.01575000002</v>
      </c>
      <c r="J63" s="6">
        <f t="shared" si="20"/>
        <v>674796.52521875</v>
      </c>
      <c r="K63" s="6">
        <f t="shared" si="20"/>
        <v>695362.72039922501</v>
      </c>
      <c r="L63" s="6">
        <f t="shared" si="20"/>
        <v>711568.50762187853</v>
      </c>
    </row>
    <row r="64" spans="2:12" ht="15" thickBot="1" x14ac:dyDescent="0.4">
      <c r="B64" s="78" t="s">
        <v>162</v>
      </c>
      <c r="C64" s="78"/>
      <c r="D64" s="79">
        <f>D62/D63</f>
        <v>0.25593263587649911</v>
      </c>
      <c r="E64" s="79">
        <f t="shared" ref="E64:L64" si="21">E62/E63</f>
        <v>0.2500667353086985</v>
      </c>
      <c r="F64" s="79">
        <f t="shared" si="21"/>
        <v>0.24199405744470123</v>
      </c>
      <c r="G64" s="79">
        <f t="shared" si="21"/>
        <v>0.25</v>
      </c>
      <c r="H64" s="79">
        <f t="shared" si="21"/>
        <v>0.25099999999999989</v>
      </c>
      <c r="I64" s="79">
        <f t="shared" si="21"/>
        <v>0.251</v>
      </c>
      <c r="J64" s="79">
        <f t="shared" si="21"/>
        <v>0.25100000000000006</v>
      </c>
      <c r="K64" s="79">
        <f t="shared" si="21"/>
        <v>0.251</v>
      </c>
      <c r="L64" s="79">
        <f t="shared" si="21"/>
        <v>0.25100000000000006</v>
      </c>
    </row>
    <row r="65" spans="2:12" ht="15" thickTop="1" x14ac:dyDescent="0.35"/>
    <row r="66" spans="2:12" x14ac:dyDescent="0.35">
      <c r="B66" t="s">
        <v>9</v>
      </c>
      <c r="D66" s="6">
        <f>'Income Statement'!D18</f>
        <v>109620</v>
      </c>
      <c r="E66" s="6">
        <f>'Income Statement'!E18</f>
        <v>120240</v>
      </c>
      <c r="F66" s="6">
        <f>'Income Statement'!F18</f>
        <v>135230</v>
      </c>
      <c r="G66" s="6">
        <f>'Income Statement'!G18</f>
        <v>142580</v>
      </c>
      <c r="H66" s="6">
        <f>'Income Statement'!H18</f>
        <v>148191.98359999995</v>
      </c>
      <c r="I66" s="6">
        <f>'Income Statement'!I18</f>
        <v>151257.86655599999</v>
      </c>
      <c r="J66" s="6">
        <f>'Income Statement'!J18</f>
        <v>154429.05385700002</v>
      </c>
      <c r="K66" s="6">
        <f>'Income Statement'!K18</f>
        <v>157505.08068610154</v>
      </c>
      <c r="L66" s="6">
        <f>'Income Statement'!L18</f>
        <v>159438.02775612197</v>
      </c>
    </row>
    <row r="67" spans="2:12" x14ac:dyDescent="0.35">
      <c r="B67" t="s">
        <v>1</v>
      </c>
      <c r="D67" s="6">
        <f>D63</f>
        <v>470280</v>
      </c>
      <c r="E67" s="6">
        <f t="shared" ref="E67:L67" si="22">E63</f>
        <v>524460</v>
      </c>
      <c r="F67" s="6">
        <f t="shared" si="22"/>
        <v>605800</v>
      </c>
      <c r="G67" s="6">
        <f t="shared" si="22"/>
        <v>618960</v>
      </c>
      <c r="H67" s="6">
        <f t="shared" si="22"/>
        <v>634064.44999999995</v>
      </c>
      <c r="I67" s="6">
        <f t="shared" si="22"/>
        <v>654097.01575000002</v>
      </c>
      <c r="J67" s="6">
        <f t="shared" si="22"/>
        <v>674796.52521875</v>
      </c>
      <c r="K67" s="6">
        <f t="shared" si="22"/>
        <v>695362.72039922501</v>
      </c>
      <c r="L67" s="6">
        <f t="shared" si="22"/>
        <v>711568.50762187853</v>
      </c>
    </row>
    <row r="68" spans="2:12" ht="15" thickBot="1" x14ac:dyDescent="0.4">
      <c r="B68" s="78" t="s">
        <v>163</v>
      </c>
      <c r="C68" s="78"/>
      <c r="D68" s="79">
        <f>D66/D67</f>
        <v>0.23309517734115845</v>
      </c>
      <c r="E68" s="79">
        <f t="shared" ref="E68:L68" si="23">E66/E67</f>
        <v>0.22926438622583228</v>
      </c>
      <c r="F68" s="79">
        <f t="shared" si="23"/>
        <v>0.22322548695939254</v>
      </c>
      <c r="G68" s="79">
        <f t="shared" si="23"/>
        <v>0.23035414243246735</v>
      </c>
      <c r="H68" s="79">
        <f t="shared" si="23"/>
        <v>0.23371754022796887</v>
      </c>
      <c r="I68" s="79">
        <f t="shared" si="23"/>
        <v>0.23124683787551739</v>
      </c>
      <c r="J68" s="79">
        <f t="shared" si="23"/>
        <v>0.2288527698137427</v>
      </c>
      <c r="K68" s="79">
        <f t="shared" si="23"/>
        <v>0.22650780098719409</v>
      </c>
      <c r="L68" s="79">
        <f t="shared" si="23"/>
        <v>0.22406560443347501</v>
      </c>
    </row>
    <row r="69" spans="2:12" ht="15" thickTop="1" x14ac:dyDescent="0.35"/>
    <row r="70" spans="2:12" x14ac:dyDescent="0.35">
      <c r="B70" t="s">
        <v>12</v>
      </c>
      <c r="D70" s="6">
        <f>'Income Statement'!D36</f>
        <v>79950</v>
      </c>
      <c r="E70" s="6">
        <f>'Income Statement'!E36</f>
        <v>88790</v>
      </c>
      <c r="F70" s="6">
        <f>'Income Statement'!F36</f>
        <v>101200</v>
      </c>
      <c r="G70" s="6">
        <f>'Income Statement'!G36</f>
        <v>102770</v>
      </c>
      <c r="H70" s="6">
        <f>'Income Statement'!H36</f>
        <v>109943.12047200996</v>
      </c>
      <c r="I70" s="6">
        <f>'Income Statement'!I36</f>
        <v>112207.33995008335</v>
      </c>
      <c r="J70" s="6">
        <f>'Income Statement'!J36</f>
        <v>114549.36052155073</v>
      </c>
      <c r="K70" s="6">
        <f>'Income Statement'!K36</f>
        <v>116820.37203006032</v>
      </c>
      <c r="L70" s="6">
        <f>'Income Statement'!L36</f>
        <v>118242.54274139917</v>
      </c>
    </row>
    <row r="71" spans="2:12" x14ac:dyDescent="0.35">
      <c r="B71" t="s">
        <v>1</v>
      </c>
      <c r="D71" s="6">
        <f>D67</f>
        <v>470280</v>
      </c>
      <c r="E71" s="6">
        <f t="shared" ref="E71:L71" si="24">E67</f>
        <v>524460</v>
      </c>
      <c r="F71" s="6">
        <f t="shared" si="24"/>
        <v>605800</v>
      </c>
      <c r="G71" s="6">
        <f t="shared" si="24"/>
        <v>618960</v>
      </c>
      <c r="H71" s="6">
        <f t="shared" si="24"/>
        <v>634064.44999999995</v>
      </c>
      <c r="I71" s="6">
        <f t="shared" si="24"/>
        <v>654097.01575000002</v>
      </c>
      <c r="J71" s="6">
        <f t="shared" si="24"/>
        <v>674796.52521875</v>
      </c>
      <c r="K71" s="6">
        <f t="shared" si="24"/>
        <v>695362.72039922501</v>
      </c>
      <c r="L71" s="6">
        <f t="shared" si="24"/>
        <v>711568.50762187853</v>
      </c>
    </row>
    <row r="72" spans="2:12" ht="15" thickBot="1" x14ac:dyDescent="0.4">
      <c r="B72" s="78" t="s">
        <v>164</v>
      </c>
      <c r="C72" s="78"/>
      <c r="D72" s="79">
        <f>D70/D71</f>
        <v>0.17000510334268945</v>
      </c>
      <c r="E72" s="79">
        <f t="shared" ref="E72:L72" si="25">E70/E71</f>
        <v>0.16929794455249209</v>
      </c>
      <c r="F72" s="79">
        <f t="shared" si="25"/>
        <v>0.16705183228788378</v>
      </c>
      <c r="G72" s="79">
        <f t="shared" si="25"/>
        <v>0.16603657748481324</v>
      </c>
      <c r="H72" s="79">
        <f t="shared" si="25"/>
        <v>0.1733942353525891</v>
      </c>
      <c r="I72" s="79">
        <f t="shared" si="25"/>
        <v>0.17154540878224966</v>
      </c>
      <c r="J72" s="79">
        <f t="shared" si="25"/>
        <v>0.16975392765162367</v>
      </c>
      <c r="K72" s="79">
        <f t="shared" si="25"/>
        <v>0.16799918747871734</v>
      </c>
      <c r="L72" s="79">
        <f t="shared" si="25"/>
        <v>0.16617169179756935</v>
      </c>
    </row>
    <row r="73" spans="2:12" ht="15" thickTop="1" x14ac:dyDescent="0.35"/>
    <row r="74" spans="2:12" x14ac:dyDescent="0.35">
      <c r="B74" t="s">
        <v>12</v>
      </c>
      <c r="D74" s="6">
        <f>D70</f>
        <v>79950</v>
      </c>
      <c r="E74" s="6">
        <f t="shared" ref="E74:L74" si="26">E70</f>
        <v>88790</v>
      </c>
      <c r="F74" s="6">
        <f t="shared" si="26"/>
        <v>101200</v>
      </c>
      <c r="G74" s="6">
        <f t="shared" si="26"/>
        <v>102770</v>
      </c>
      <c r="H74" s="6">
        <f t="shared" si="26"/>
        <v>109943.12047200996</v>
      </c>
      <c r="I74" s="6">
        <f t="shared" si="26"/>
        <v>112207.33995008335</v>
      </c>
      <c r="J74" s="6">
        <f t="shared" si="26"/>
        <v>114549.36052155073</v>
      </c>
      <c r="K74" s="6">
        <f t="shared" si="26"/>
        <v>116820.37203006032</v>
      </c>
      <c r="L74" s="6">
        <f t="shared" si="26"/>
        <v>118242.54274139917</v>
      </c>
    </row>
    <row r="75" spans="2:12" x14ac:dyDescent="0.35">
      <c r="B75" t="s">
        <v>24</v>
      </c>
      <c r="D75" s="6">
        <f>D39</f>
        <v>687570</v>
      </c>
      <c r="E75" s="6">
        <f t="shared" ref="E75:L75" si="27">E39</f>
        <v>705170</v>
      </c>
      <c r="F75" s="6">
        <f t="shared" si="27"/>
        <v>730870</v>
      </c>
      <c r="G75" s="6">
        <f t="shared" si="27"/>
        <v>784990</v>
      </c>
      <c r="H75" s="6">
        <f t="shared" si="27"/>
        <v>901689.23293399625</v>
      </c>
      <c r="I75" s="6">
        <f t="shared" si="27"/>
        <v>1022664.3878429204</v>
      </c>
      <c r="J75" s="6">
        <f t="shared" si="27"/>
        <v>1146273.4699710642</v>
      </c>
      <c r="K75" s="6">
        <f t="shared" si="27"/>
        <v>1272095.2148656966</v>
      </c>
      <c r="L75" s="6">
        <f t="shared" si="27"/>
        <v>1397430.675479115</v>
      </c>
    </row>
    <row r="76" spans="2:12" ht="15" thickBot="1" x14ac:dyDescent="0.4">
      <c r="B76" s="78" t="s">
        <v>165</v>
      </c>
      <c r="C76" s="78"/>
      <c r="D76" s="78"/>
      <c r="E76" s="79">
        <f>E74/(AVERAGE(D75:E75))</f>
        <v>0.12750405675143961</v>
      </c>
      <c r="F76" s="79">
        <f t="shared" ref="F76:L76" si="28">F74/(AVERAGE(E75:F75))</f>
        <v>0.14094314921589929</v>
      </c>
      <c r="G76" s="79">
        <f t="shared" si="28"/>
        <v>0.13559299671473618</v>
      </c>
      <c r="H76" s="79">
        <f t="shared" si="28"/>
        <v>0.13036636525222731</v>
      </c>
      <c r="I76" s="79">
        <f t="shared" si="28"/>
        <v>0.1166182127220277</v>
      </c>
      <c r="J76" s="79">
        <f t="shared" si="28"/>
        <v>0.1056271484301556</v>
      </c>
      <c r="K76" s="79">
        <f t="shared" si="28"/>
        <v>9.6610887134395432E-2</v>
      </c>
      <c r="L76" s="79">
        <f t="shared" si="28"/>
        <v>8.8586923370221574E-2</v>
      </c>
    </row>
    <row r="77" spans="2:12" ht="15" thickTop="1" x14ac:dyDescent="0.35"/>
    <row r="78" spans="2:12" x14ac:dyDescent="0.35">
      <c r="B78" t="s">
        <v>12</v>
      </c>
      <c r="D78" s="6">
        <f>D74</f>
        <v>79950</v>
      </c>
      <c r="E78" s="6">
        <f t="shared" ref="E78:L78" si="29">E74</f>
        <v>88790</v>
      </c>
      <c r="F78" s="6">
        <f t="shared" si="29"/>
        <v>101200</v>
      </c>
      <c r="G78" s="6">
        <f t="shared" si="29"/>
        <v>102770</v>
      </c>
      <c r="H78" s="6">
        <f t="shared" si="29"/>
        <v>109943.12047200996</v>
      </c>
      <c r="I78" s="6">
        <f t="shared" si="29"/>
        <v>112207.33995008335</v>
      </c>
      <c r="J78" s="6">
        <f t="shared" si="29"/>
        <v>114549.36052155073</v>
      </c>
      <c r="K78" s="6">
        <f t="shared" si="29"/>
        <v>116820.37203006032</v>
      </c>
      <c r="L78" s="6">
        <f t="shared" si="29"/>
        <v>118242.54274139917</v>
      </c>
    </row>
    <row r="79" spans="2:12" x14ac:dyDescent="0.35">
      <c r="B79" t="s">
        <v>166</v>
      </c>
      <c r="D79" s="6">
        <f>D25</f>
        <v>476940</v>
      </c>
      <c r="E79" s="6">
        <f t="shared" ref="E79:L79" si="30">E25</f>
        <v>490870</v>
      </c>
      <c r="F79" s="6">
        <f t="shared" si="30"/>
        <v>505220</v>
      </c>
      <c r="G79" s="6">
        <f t="shared" si="30"/>
        <v>514230</v>
      </c>
      <c r="H79" s="6">
        <f t="shared" si="30"/>
        <v>624173.12047200999</v>
      </c>
      <c r="I79" s="6">
        <f t="shared" si="30"/>
        <v>736380.46042209328</v>
      </c>
      <c r="J79" s="6">
        <f t="shared" si="30"/>
        <v>850929.82094364404</v>
      </c>
      <c r="K79" s="6">
        <f t="shared" si="30"/>
        <v>967750.19297370431</v>
      </c>
      <c r="L79" s="6">
        <f t="shared" si="30"/>
        <v>1085992.7357151036</v>
      </c>
    </row>
    <row r="80" spans="2:12" ht="15" thickBot="1" x14ac:dyDescent="0.4">
      <c r="B80" s="78" t="s">
        <v>167</v>
      </c>
      <c r="C80" s="78"/>
      <c r="D80" s="78"/>
      <c r="E80" s="79">
        <f>E78/(AVERAGE(D79:E79))</f>
        <v>0.18348642812122215</v>
      </c>
      <c r="F80" s="79">
        <f t="shared" ref="F80:L80" si="31">F78/(AVERAGE(E79:F79))</f>
        <v>0.20319449045768956</v>
      </c>
      <c r="G80" s="79">
        <f t="shared" si="31"/>
        <v>0.20161851979008288</v>
      </c>
      <c r="H80" s="79">
        <f t="shared" si="31"/>
        <v>0.19315323103897472</v>
      </c>
      <c r="I80" s="79">
        <f t="shared" si="31"/>
        <v>0.16494365459145682</v>
      </c>
      <c r="J80" s="79">
        <f t="shared" si="31"/>
        <v>0.14433140371646977</v>
      </c>
      <c r="K80" s="79">
        <f t="shared" si="31"/>
        <v>0.12846720823465246</v>
      </c>
      <c r="L80" s="79">
        <f t="shared" si="31"/>
        <v>0.11514833827512187</v>
      </c>
    </row>
    <row r="81" ht="15" thickTop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8E09-59F7-456E-85D0-4372A3A1DDA3}">
  <sheetPr>
    <tabColor theme="6" tint="0.39997558519241921"/>
  </sheetPr>
  <dimension ref="B1:W1"/>
  <sheetViews>
    <sheetView showGridLines="0" zoomScale="80" zoomScaleNormal="80" workbookViewId="0">
      <selection activeCell="X28" sqref="X28"/>
    </sheetView>
  </sheetViews>
  <sheetFormatPr defaultRowHeight="14.5" x14ac:dyDescent="0.35"/>
  <cols>
    <col min="1" max="1" width="1.81640625" customWidth="1"/>
  </cols>
  <sheetData>
    <row r="1" spans="2:23" ht="19.5" x14ac:dyDescent="0.45">
      <c r="B1" s="30" t="str">
        <f>"Charts - " &amp; Drivers!C2</f>
        <v>Charts - Hindustan Unilever Limited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9D21-0AA5-4F3C-A407-6D6E68ED18BD}">
  <sheetPr>
    <tabColor theme="6" tint="0.39997558519241921"/>
  </sheetPr>
  <dimension ref="B1:L41"/>
  <sheetViews>
    <sheetView showGridLines="0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19.7265625" customWidth="1"/>
    <col min="9" max="12" width="9.26953125" bestFit="1" customWidth="1"/>
  </cols>
  <sheetData>
    <row r="1" spans="2:12" ht="19.5" x14ac:dyDescent="0.45">
      <c r="B1" s="30" t="str">
        <f>"DuPont Analysis - " &amp; Drivers!C2</f>
        <v>DuPont Analysis - Hindustan Unilever Limited</v>
      </c>
      <c r="C1" s="30"/>
      <c r="D1" s="30"/>
      <c r="E1" s="30"/>
      <c r="F1" s="30"/>
      <c r="G1" s="30"/>
      <c r="H1" s="30"/>
      <c r="I1" s="30"/>
      <c r="J1" s="30"/>
      <c r="K1" s="30"/>
      <c r="L1" s="73"/>
    </row>
    <row r="2" spans="2:12" x14ac:dyDescent="0.35">
      <c r="B2" s="126" t="s">
        <v>239</v>
      </c>
    </row>
    <row r="3" spans="2:12" x14ac:dyDescent="0.35">
      <c r="B3" s="27" t="s">
        <v>0</v>
      </c>
      <c r="C3" s="27"/>
      <c r="D3" s="28">
        <v>2021</v>
      </c>
      <c r="E3" s="28">
        <f>D3+1</f>
        <v>2022</v>
      </c>
      <c r="F3" s="28">
        <f t="shared" ref="F3:L3" si="0">E3+1</f>
        <v>2023</v>
      </c>
      <c r="G3" s="28">
        <f t="shared" si="0"/>
        <v>2024</v>
      </c>
      <c r="H3" s="29">
        <f t="shared" si="0"/>
        <v>2025</v>
      </c>
      <c r="I3" s="29">
        <f t="shared" si="0"/>
        <v>2026</v>
      </c>
      <c r="J3" s="29">
        <f t="shared" si="0"/>
        <v>2027</v>
      </c>
      <c r="K3" s="29">
        <f t="shared" si="0"/>
        <v>2028</v>
      </c>
      <c r="L3" s="29">
        <f t="shared" si="0"/>
        <v>2029</v>
      </c>
    </row>
    <row r="5" spans="2:12" x14ac:dyDescent="0.35">
      <c r="B5" s="132" t="s">
        <v>167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</row>
    <row r="6" spans="2:12" x14ac:dyDescent="0.35">
      <c r="B6" t="s">
        <v>12</v>
      </c>
      <c r="D6" s="6">
        <f>'Ratio Analysis'!D78</f>
        <v>79950</v>
      </c>
      <c r="E6" s="6">
        <f>'Ratio Analysis'!E78</f>
        <v>88790</v>
      </c>
      <c r="F6" s="6">
        <f>'Ratio Analysis'!F78</f>
        <v>101200</v>
      </c>
      <c r="G6" s="6">
        <f>'Ratio Analysis'!G78</f>
        <v>102770</v>
      </c>
      <c r="H6" s="6">
        <f>'Ratio Analysis'!H78</f>
        <v>109943.12047200996</v>
      </c>
      <c r="I6" s="6">
        <f>'Ratio Analysis'!I78</f>
        <v>112207.33995008335</v>
      </c>
      <c r="J6" s="6">
        <f>'Ratio Analysis'!J78</f>
        <v>114549.36052155073</v>
      </c>
      <c r="K6" s="6">
        <f>'Ratio Analysis'!K78</f>
        <v>116820.37203006032</v>
      </c>
      <c r="L6" s="6">
        <f>'Ratio Analysis'!L78</f>
        <v>118242.54274139917</v>
      </c>
    </row>
    <row r="7" spans="2:12" x14ac:dyDescent="0.35">
      <c r="B7" t="s">
        <v>166</v>
      </c>
      <c r="D7" s="6">
        <f>'Ratio Analysis'!D79</f>
        <v>476940</v>
      </c>
      <c r="E7" s="6">
        <f>'Ratio Analysis'!E79</f>
        <v>490870</v>
      </c>
      <c r="F7" s="6">
        <f>'Ratio Analysis'!F79</f>
        <v>505220</v>
      </c>
      <c r="G7" s="6">
        <f>'Ratio Analysis'!G79</f>
        <v>514230</v>
      </c>
      <c r="H7" s="6">
        <f>'Ratio Analysis'!H79</f>
        <v>624173.12047200999</v>
      </c>
      <c r="I7" s="6">
        <f>'Ratio Analysis'!I79</f>
        <v>736380.46042209328</v>
      </c>
      <c r="J7" s="6">
        <f>'Ratio Analysis'!J79</f>
        <v>850929.82094364404</v>
      </c>
      <c r="K7" s="6">
        <f>'Ratio Analysis'!K79</f>
        <v>967750.19297370431</v>
      </c>
      <c r="L7" s="6">
        <f>'Ratio Analysis'!L79</f>
        <v>1085992.7357151036</v>
      </c>
    </row>
    <row r="8" spans="2:12" ht="15" thickBot="1" x14ac:dyDescent="0.4">
      <c r="B8" s="4" t="s">
        <v>167</v>
      </c>
      <c r="C8" s="4"/>
      <c r="D8" s="4"/>
      <c r="E8" s="75">
        <f>E6/(AVERAGE(D7:E7))</f>
        <v>0.18348642812122215</v>
      </c>
      <c r="F8" s="75">
        <f t="shared" ref="F8:L8" si="1">F6/(AVERAGE(E7:F7))</f>
        <v>0.20319449045768956</v>
      </c>
      <c r="G8" s="75">
        <f t="shared" si="1"/>
        <v>0.20161851979008288</v>
      </c>
      <c r="H8" s="75">
        <f t="shared" si="1"/>
        <v>0.19315323103897472</v>
      </c>
      <c r="I8" s="75">
        <f t="shared" si="1"/>
        <v>0.16494365459145682</v>
      </c>
      <c r="J8" s="75">
        <f t="shared" si="1"/>
        <v>0.14433140371646977</v>
      </c>
      <c r="K8" s="75">
        <f t="shared" si="1"/>
        <v>0.12846720823465246</v>
      </c>
      <c r="L8" s="75">
        <f t="shared" si="1"/>
        <v>0.11514833827512187</v>
      </c>
    </row>
    <row r="9" spans="2:12" ht="15" thickTop="1" x14ac:dyDescent="0.35"/>
    <row r="10" spans="2:12" x14ac:dyDescent="0.35">
      <c r="B10" s="132" t="s">
        <v>168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</row>
    <row r="11" spans="2:12" x14ac:dyDescent="0.35">
      <c r="B11" t="s">
        <v>12</v>
      </c>
      <c r="D11" s="6">
        <f>'Ratio Analysis'!D70</f>
        <v>79950</v>
      </c>
      <c r="E11" s="6">
        <f>'Ratio Analysis'!E70</f>
        <v>88790</v>
      </c>
      <c r="F11" s="6">
        <f>'Ratio Analysis'!F70</f>
        <v>101200</v>
      </c>
      <c r="G11" s="6">
        <f>'Ratio Analysis'!G70</f>
        <v>102770</v>
      </c>
      <c r="H11" s="6">
        <f>'Ratio Analysis'!H70</f>
        <v>109943.12047200996</v>
      </c>
      <c r="I11" s="6">
        <f>'Ratio Analysis'!I70</f>
        <v>112207.33995008335</v>
      </c>
      <c r="J11" s="6">
        <f>'Ratio Analysis'!J70</f>
        <v>114549.36052155073</v>
      </c>
      <c r="K11" s="6">
        <f>'Ratio Analysis'!K70</f>
        <v>116820.37203006032</v>
      </c>
      <c r="L11" s="6">
        <f>'Ratio Analysis'!L70</f>
        <v>118242.54274139917</v>
      </c>
    </row>
    <row r="12" spans="2:12" x14ac:dyDescent="0.35">
      <c r="B12" t="s">
        <v>1</v>
      </c>
      <c r="D12" s="6">
        <f>'Ratio Analysis'!D71</f>
        <v>470280</v>
      </c>
      <c r="E12" s="6">
        <f>'Ratio Analysis'!E71</f>
        <v>524460</v>
      </c>
      <c r="F12" s="6">
        <f>'Ratio Analysis'!F71</f>
        <v>605800</v>
      </c>
      <c r="G12" s="6">
        <f>'Ratio Analysis'!G71</f>
        <v>618960</v>
      </c>
      <c r="H12" s="6">
        <f>'Ratio Analysis'!H71</f>
        <v>634064.44999999995</v>
      </c>
      <c r="I12" s="6">
        <f>'Ratio Analysis'!I71</f>
        <v>654097.01575000002</v>
      </c>
      <c r="J12" s="6">
        <f>'Ratio Analysis'!J71</f>
        <v>674796.52521875</v>
      </c>
      <c r="K12" s="6">
        <f>'Ratio Analysis'!K71</f>
        <v>695362.72039922501</v>
      </c>
      <c r="L12" s="6">
        <f>'Ratio Analysis'!L71</f>
        <v>711568.50762187853</v>
      </c>
    </row>
    <row r="13" spans="2:12" ht="15" thickBot="1" x14ac:dyDescent="0.4">
      <c r="B13" s="4" t="s">
        <v>170</v>
      </c>
      <c r="C13" s="4"/>
      <c r="D13" s="75">
        <f>D11/D12</f>
        <v>0.17000510334268945</v>
      </c>
      <c r="E13" s="75">
        <f t="shared" ref="E13:L13" si="2">E11/E12</f>
        <v>0.16929794455249209</v>
      </c>
      <c r="F13" s="75">
        <f t="shared" si="2"/>
        <v>0.16705183228788378</v>
      </c>
      <c r="G13" s="75">
        <f t="shared" si="2"/>
        <v>0.16603657748481324</v>
      </c>
      <c r="H13" s="75">
        <f t="shared" si="2"/>
        <v>0.1733942353525891</v>
      </c>
      <c r="I13" s="75">
        <f t="shared" si="2"/>
        <v>0.17154540878224966</v>
      </c>
      <c r="J13" s="75">
        <f t="shared" si="2"/>
        <v>0.16975392765162367</v>
      </c>
      <c r="K13" s="75">
        <f t="shared" si="2"/>
        <v>0.16799918747871734</v>
      </c>
      <c r="L13" s="75">
        <f t="shared" si="2"/>
        <v>0.16617169179756935</v>
      </c>
    </row>
    <row r="14" spans="2:12" ht="15" thickTop="1" x14ac:dyDescent="0.35"/>
    <row r="15" spans="2:12" x14ac:dyDescent="0.35">
      <c r="B15" t="s">
        <v>1</v>
      </c>
      <c r="D15" s="6">
        <f>D12</f>
        <v>470280</v>
      </c>
      <c r="E15" s="6">
        <f t="shared" ref="E15:L15" si="3">E12</f>
        <v>524460</v>
      </c>
      <c r="F15" s="6">
        <f t="shared" si="3"/>
        <v>605800</v>
      </c>
      <c r="G15" s="6">
        <f t="shared" si="3"/>
        <v>618960</v>
      </c>
      <c r="H15" s="6">
        <f t="shared" si="3"/>
        <v>634064.44999999995</v>
      </c>
      <c r="I15" s="6">
        <f t="shared" si="3"/>
        <v>654097.01575000002</v>
      </c>
      <c r="J15" s="6">
        <f t="shared" si="3"/>
        <v>674796.52521875</v>
      </c>
      <c r="K15" s="6">
        <f t="shared" si="3"/>
        <v>695362.72039922501</v>
      </c>
      <c r="L15" s="6">
        <f t="shared" si="3"/>
        <v>711568.50762187853</v>
      </c>
    </row>
    <row r="16" spans="2:12" x14ac:dyDescent="0.35">
      <c r="B16" t="s">
        <v>169</v>
      </c>
      <c r="D16" s="6">
        <f>'Ratio Analysis'!D75</f>
        <v>687570</v>
      </c>
      <c r="E16" s="6">
        <f>'Ratio Analysis'!E75</f>
        <v>705170</v>
      </c>
      <c r="F16" s="6">
        <f>'Ratio Analysis'!F75</f>
        <v>730870</v>
      </c>
      <c r="G16" s="6">
        <f>'Ratio Analysis'!G75</f>
        <v>784990</v>
      </c>
      <c r="H16" s="6">
        <f>'Ratio Analysis'!H75</f>
        <v>901689.23293399625</v>
      </c>
      <c r="I16" s="6">
        <f>'Ratio Analysis'!I75</f>
        <v>1022664.3878429204</v>
      </c>
      <c r="J16" s="6">
        <f>'Ratio Analysis'!J75</f>
        <v>1146273.4699710642</v>
      </c>
      <c r="K16" s="6">
        <f>'Ratio Analysis'!K75</f>
        <v>1272095.2148656966</v>
      </c>
      <c r="L16" s="6">
        <f>'Ratio Analysis'!L75</f>
        <v>1397430.675479115</v>
      </c>
    </row>
    <row r="17" spans="2:12" ht="15" thickBot="1" x14ac:dyDescent="0.4">
      <c r="B17" s="4" t="s">
        <v>171</v>
      </c>
      <c r="C17" s="4"/>
      <c r="D17" s="4"/>
      <c r="E17" s="74">
        <f>E15/(AVERAGE(D16:E16))</f>
        <v>0.75313410974051154</v>
      </c>
      <c r="F17" s="74">
        <f t="shared" ref="F17:L17" si="4">F15/(AVERAGE(E16:F16))</f>
        <v>0.84370908888331797</v>
      </c>
      <c r="G17" s="74">
        <f t="shared" si="4"/>
        <v>0.81664533664058692</v>
      </c>
      <c r="H17" s="74">
        <f t="shared" si="4"/>
        <v>0.75184947750502407</v>
      </c>
      <c r="I17" s="74">
        <f t="shared" si="4"/>
        <v>0.67980958248819401</v>
      </c>
      <c r="J17" s="74">
        <f t="shared" si="4"/>
        <v>0.62223684536435697</v>
      </c>
      <c r="K17" s="74">
        <f t="shared" si="4"/>
        <v>0.57506758564909366</v>
      </c>
      <c r="L17" s="74">
        <f t="shared" si="4"/>
        <v>0.53310478103658188</v>
      </c>
    </row>
    <row r="18" spans="2:12" ht="15" thickTop="1" x14ac:dyDescent="0.35"/>
    <row r="19" spans="2:12" x14ac:dyDescent="0.35">
      <c r="B19" t="s">
        <v>169</v>
      </c>
      <c r="D19" s="6">
        <f>D16</f>
        <v>687570</v>
      </c>
      <c r="E19" s="6">
        <f t="shared" ref="E19:L19" si="5">E16</f>
        <v>705170</v>
      </c>
      <c r="F19" s="6">
        <f t="shared" si="5"/>
        <v>730870</v>
      </c>
      <c r="G19" s="6">
        <f t="shared" si="5"/>
        <v>784990</v>
      </c>
      <c r="H19" s="6">
        <f t="shared" si="5"/>
        <v>901689.23293399625</v>
      </c>
      <c r="I19" s="6">
        <f t="shared" si="5"/>
        <v>1022664.3878429204</v>
      </c>
      <c r="J19" s="6">
        <f t="shared" si="5"/>
        <v>1146273.4699710642</v>
      </c>
      <c r="K19" s="6">
        <f t="shared" si="5"/>
        <v>1272095.2148656966</v>
      </c>
      <c r="L19" s="6">
        <f t="shared" si="5"/>
        <v>1397430.675479115</v>
      </c>
    </row>
    <row r="20" spans="2:12" x14ac:dyDescent="0.35">
      <c r="B20" t="s">
        <v>166</v>
      </c>
      <c r="D20" s="6">
        <f>D7</f>
        <v>476940</v>
      </c>
      <c r="E20" s="6">
        <f t="shared" ref="E20:L20" si="6">E7</f>
        <v>490870</v>
      </c>
      <c r="F20" s="6">
        <f t="shared" si="6"/>
        <v>505220</v>
      </c>
      <c r="G20" s="6">
        <f t="shared" si="6"/>
        <v>514230</v>
      </c>
      <c r="H20" s="6">
        <f t="shared" si="6"/>
        <v>624173.12047200999</v>
      </c>
      <c r="I20" s="6">
        <f t="shared" si="6"/>
        <v>736380.46042209328</v>
      </c>
      <c r="J20" s="6">
        <f t="shared" si="6"/>
        <v>850929.82094364404</v>
      </c>
      <c r="K20" s="6">
        <f t="shared" si="6"/>
        <v>967750.19297370431</v>
      </c>
      <c r="L20" s="6">
        <f t="shared" si="6"/>
        <v>1085992.7357151036</v>
      </c>
    </row>
    <row r="21" spans="2:12" ht="15" thickBot="1" x14ac:dyDescent="0.4">
      <c r="B21" s="4" t="s">
        <v>172</v>
      </c>
      <c r="C21" s="4"/>
      <c r="D21" s="4"/>
      <c r="E21" s="74">
        <f>(AVERAGE(D19:E19))/(AVERAGE(D20:E20))</f>
        <v>1.4390634525371715</v>
      </c>
      <c r="F21" s="74">
        <f t="shared" ref="F21:L21" si="7">(AVERAGE(E19:F19))/(AVERAGE(E20:F20))</f>
        <v>1.4416769569014849</v>
      </c>
      <c r="G21" s="74">
        <f t="shared" si="7"/>
        <v>1.4869390357545735</v>
      </c>
      <c r="H21" s="74">
        <f t="shared" si="7"/>
        <v>1.4816185959106098</v>
      </c>
      <c r="I21" s="74">
        <f t="shared" si="7"/>
        <v>1.4143901774984162</v>
      </c>
      <c r="J21" s="74">
        <f t="shared" si="7"/>
        <v>1.3664233661661973</v>
      </c>
      <c r="K21" s="74">
        <f t="shared" si="7"/>
        <v>1.3297384181551062</v>
      </c>
      <c r="L21" s="74">
        <f t="shared" si="7"/>
        <v>1.2998344890463698</v>
      </c>
    </row>
    <row r="22" spans="2:12" ht="15" thickTop="1" x14ac:dyDescent="0.35"/>
    <row r="23" spans="2:12" ht="15" thickBot="1" x14ac:dyDescent="0.4">
      <c r="B23" s="78" t="s">
        <v>173</v>
      </c>
      <c r="C23" s="78"/>
      <c r="D23" s="78"/>
      <c r="E23" s="79">
        <f>E13*E17*E21</f>
        <v>0.18348642812122212</v>
      </c>
      <c r="F23" s="79">
        <f t="shared" ref="F23:L23" si="8">F13*F17*F21</f>
        <v>0.20319449045768956</v>
      </c>
      <c r="G23" s="79">
        <f t="shared" si="8"/>
        <v>0.20161851979008291</v>
      </c>
      <c r="H23" s="79">
        <f t="shared" si="8"/>
        <v>0.19315323103897469</v>
      </c>
      <c r="I23" s="79">
        <f t="shared" si="8"/>
        <v>0.16494365459145685</v>
      </c>
      <c r="J23" s="79">
        <f t="shared" si="8"/>
        <v>0.14433140371646977</v>
      </c>
      <c r="K23" s="79">
        <f t="shared" si="8"/>
        <v>0.12846720823465249</v>
      </c>
      <c r="L23" s="79">
        <f t="shared" si="8"/>
        <v>0.11514833827512187</v>
      </c>
    </row>
    <row r="24" spans="2:12" ht="15" thickTop="1" x14ac:dyDescent="0.35"/>
    <row r="26" spans="2:12" x14ac:dyDescent="0.35">
      <c r="B26" s="132" t="s">
        <v>165</v>
      </c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2:12" x14ac:dyDescent="0.35">
      <c r="B27" t="s">
        <v>174</v>
      </c>
      <c r="D27" s="6">
        <f>D11</f>
        <v>79950</v>
      </c>
      <c r="E27" s="6">
        <f t="shared" ref="E27:L27" si="9">E11</f>
        <v>88790</v>
      </c>
      <c r="F27" s="6">
        <f t="shared" si="9"/>
        <v>101200</v>
      </c>
      <c r="G27" s="6">
        <f t="shared" si="9"/>
        <v>102770</v>
      </c>
      <c r="H27" s="6">
        <f t="shared" si="9"/>
        <v>109943.12047200996</v>
      </c>
      <c r="I27" s="6">
        <f t="shared" si="9"/>
        <v>112207.33995008335</v>
      </c>
      <c r="J27" s="6">
        <f t="shared" si="9"/>
        <v>114549.36052155073</v>
      </c>
      <c r="K27" s="6">
        <f t="shared" si="9"/>
        <v>116820.37203006032</v>
      </c>
      <c r="L27" s="6">
        <f t="shared" si="9"/>
        <v>118242.54274139917</v>
      </c>
    </row>
    <row r="28" spans="2:12" x14ac:dyDescent="0.35">
      <c r="B28" t="s">
        <v>169</v>
      </c>
      <c r="D28" s="6">
        <f>D16</f>
        <v>687570</v>
      </c>
      <c r="E28" s="6">
        <f t="shared" ref="E28:L28" si="10">E16</f>
        <v>705170</v>
      </c>
      <c r="F28" s="6">
        <f t="shared" si="10"/>
        <v>730870</v>
      </c>
      <c r="G28" s="6">
        <f t="shared" si="10"/>
        <v>784990</v>
      </c>
      <c r="H28" s="6">
        <f t="shared" si="10"/>
        <v>901689.23293399625</v>
      </c>
      <c r="I28" s="6">
        <f t="shared" si="10"/>
        <v>1022664.3878429204</v>
      </c>
      <c r="J28" s="6">
        <f t="shared" si="10"/>
        <v>1146273.4699710642</v>
      </c>
      <c r="K28" s="6">
        <f t="shared" si="10"/>
        <v>1272095.2148656966</v>
      </c>
      <c r="L28" s="6">
        <f t="shared" si="10"/>
        <v>1397430.675479115</v>
      </c>
    </row>
    <row r="29" spans="2:12" ht="15" thickBot="1" x14ac:dyDescent="0.4">
      <c r="B29" s="4" t="s">
        <v>165</v>
      </c>
      <c r="C29" s="4"/>
      <c r="D29" s="4"/>
      <c r="E29" s="75">
        <f>E27/(AVERAGE(D28:E28))</f>
        <v>0.12750405675143961</v>
      </c>
      <c r="F29" s="75">
        <f t="shared" ref="F29:L29" si="11">F27/(AVERAGE(E28:F28))</f>
        <v>0.14094314921589929</v>
      </c>
      <c r="G29" s="75">
        <f t="shared" si="11"/>
        <v>0.13559299671473618</v>
      </c>
      <c r="H29" s="75">
        <f t="shared" si="11"/>
        <v>0.13036636525222731</v>
      </c>
      <c r="I29" s="75">
        <f t="shared" si="11"/>
        <v>0.1166182127220277</v>
      </c>
      <c r="J29" s="75">
        <f t="shared" si="11"/>
        <v>0.1056271484301556</v>
      </c>
      <c r="K29" s="75">
        <f t="shared" si="11"/>
        <v>9.6610887134395432E-2</v>
      </c>
      <c r="L29" s="75">
        <f t="shared" si="11"/>
        <v>8.8586923370221574E-2</v>
      </c>
    </row>
    <row r="30" spans="2:12" ht="15" thickTop="1" x14ac:dyDescent="0.35"/>
    <row r="31" spans="2:12" x14ac:dyDescent="0.35">
      <c r="B31" s="132" t="s">
        <v>175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2"/>
    </row>
    <row r="32" spans="2:12" x14ac:dyDescent="0.35">
      <c r="B32" t="s">
        <v>12</v>
      </c>
      <c r="D32" s="6">
        <f>D27</f>
        <v>79950</v>
      </c>
      <c r="E32" s="6">
        <f t="shared" ref="E32:L32" si="12">E27</f>
        <v>88790</v>
      </c>
      <c r="F32" s="6">
        <f t="shared" si="12"/>
        <v>101200</v>
      </c>
      <c r="G32" s="6">
        <f t="shared" si="12"/>
        <v>102770</v>
      </c>
      <c r="H32" s="6">
        <f t="shared" si="12"/>
        <v>109943.12047200996</v>
      </c>
      <c r="I32" s="6">
        <f t="shared" si="12"/>
        <v>112207.33995008335</v>
      </c>
      <c r="J32" s="6">
        <f t="shared" si="12"/>
        <v>114549.36052155073</v>
      </c>
      <c r="K32" s="6">
        <f t="shared" si="12"/>
        <v>116820.37203006032</v>
      </c>
      <c r="L32" s="6">
        <f t="shared" si="12"/>
        <v>118242.54274139917</v>
      </c>
    </row>
    <row r="33" spans="2:12" x14ac:dyDescent="0.35">
      <c r="B33" t="s">
        <v>1</v>
      </c>
      <c r="D33" s="6">
        <f>D12</f>
        <v>470280</v>
      </c>
      <c r="E33" s="6">
        <f t="shared" ref="E33:L33" si="13">E12</f>
        <v>524460</v>
      </c>
      <c r="F33" s="6">
        <f t="shared" si="13"/>
        <v>605800</v>
      </c>
      <c r="G33" s="6">
        <f t="shared" si="13"/>
        <v>618960</v>
      </c>
      <c r="H33" s="6">
        <f t="shared" si="13"/>
        <v>634064.44999999995</v>
      </c>
      <c r="I33" s="6">
        <f t="shared" si="13"/>
        <v>654097.01575000002</v>
      </c>
      <c r="J33" s="6">
        <f t="shared" si="13"/>
        <v>674796.52521875</v>
      </c>
      <c r="K33" s="6">
        <f t="shared" si="13"/>
        <v>695362.72039922501</v>
      </c>
      <c r="L33" s="6">
        <f t="shared" si="13"/>
        <v>711568.50762187853</v>
      </c>
    </row>
    <row r="34" spans="2:12" ht="15" thickBot="1" x14ac:dyDescent="0.4">
      <c r="B34" s="4" t="s">
        <v>170</v>
      </c>
      <c r="C34" s="4"/>
      <c r="D34" s="75">
        <f>D32/D33</f>
        <v>0.17000510334268945</v>
      </c>
      <c r="E34" s="75">
        <f t="shared" ref="E34:L34" si="14">E32/E33</f>
        <v>0.16929794455249209</v>
      </c>
      <c r="F34" s="75">
        <f t="shared" si="14"/>
        <v>0.16705183228788378</v>
      </c>
      <c r="G34" s="75">
        <f t="shared" si="14"/>
        <v>0.16603657748481324</v>
      </c>
      <c r="H34" s="75">
        <f t="shared" si="14"/>
        <v>0.1733942353525891</v>
      </c>
      <c r="I34" s="75">
        <f t="shared" si="14"/>
        <v>0.17154540878224966</v>
      </c>
      <c r="J34" s="75">
        <f t="shared" si="14"/>
        <v>0.16975392765162367</v>
      </c>
      <c r="K34" s="75">
        <f t="shared" si="14"/>
        <v>0.16799918747871734</v>
      </c>
      <c r="L34" s="75">
        <f t="shared" si="14"/>
        <v>0.16617169179756935</v>
      </c>
    </row>
    <row r="35" spans="2:12" ht="15" thickTop="1" x14ac:dyDescent="0.35"/>
    <row r="36" spans="2:12" x14ac:dyDescent="0.35">
      <c r="B36" t="s">
        <v>1</v>
      </c>
      <c r="D36" s="6">
        <f>D33</f>
        <v>470280</v>
      </c>
      <c r="E36" s="6">
        <f t="shared" ref="E36:L36" si="15">E33</f>
        <v>524460</v>
      </c>
      <c r="F36" s="6">
        <f t="shared" si="15"/>
        <v>605800</v>
      </c>
      <c r="G36" s="6">
        <f t="shared" si="15"/>
        <v>618960</v>
      </c>
      <c r="H36" s="6">
        <f t="shared" si="15"/>
        <v>634064.44999999995</v>
      </c>
      <c r="I36" s="6">
        <f t="shared" si="15"/>
        <v>654097.01575000002</v>
      </c>
      <c r="J36" s="6">
        <f t="shared" si="15"/>
        <v>674796.52521875</v>
      </c>
      <c r="K36" s="6">
        <f t="shared" si="15"/>
        <v>695362.72039922501</v>
      </c>
      <c r="L36" s="6">
        <f t="shared" si="15"/>
        <v>711568.50762187853</v>
      </c>
    </row>
    <row r="37" spans="2:12" x14ac:dyDescent="0.35">
      <c r="B37" t="s">
        <v>176</v>
      </c>
      <c r="D37" s="6">
        <f>D28</f>
        <v>687570</v>
      </c>
      <c r="E37" s="6">
        <f t="shared" ref="E37:L37" si="16">E28</f>
        <v>705170</v>
      </c>
      <c r="F37" s="6">
        <f t="shared" si="16"/>
        <v>730870</v>
      </c>
      <c r="G37" s="6">
        <f t="shared" si="16"/>
        <v>784990</v>
      </c>
      <c r="H37" s="6">
        <f t="shared" si="16"/>
        <v>901689.23293399625</v>
      </c>
      <c r="I37" s="6">
        <f t="shared" si="16"/>
        <v>1022664.3878429204</v>
      </c>
      <c r="J37" s="6">
        <f t="shared" si="16"/>
        <v>1146273.4699710642</v>
      </c>
      <c r="K37" s="6">
        <f t="shared" si="16"/>
        <v>1272095.2148656966</v>
      </c>
      <c r="L37" s="6">
        <f t="shared" si="16"/>
        <v>1397430.675479115</v>
      </c>
    </row>
    <row r="38" spans="2:12" ht="15" thickBot="1" x14ac:dyDescent="0.4">
      <c r="B38" s="4" t="s">
        <v>171</v>
      </c>
      <c r="C38" s="4"/>
      <c r="D38" s="4"/>
      <c r="E38" s="74">
        <f>E36/AVERAGE(D37:E37)</f>
        <v>0.75313410974051154</v>
      </c>
      <c r="F38" s="74">
        <f t="shared" ref="F38:L38" si="17">F36/AVERAGE(E37:F37)</f>
        <v>0.84370908888331797</v>
      </c>
      <c r="G38" s="74">
        <f t="shared" si="17"/>
        <v>0.81664533664058692</v>
      </c>
      <c r="H38" s="74">
        <f t="shared" si="17"/>
        <v>0.75184947750502407</v>
      </c>
      <c r="I38" s="74">
        <f t="shared" si="17"/>
        <v>0.67980958248819401</v>
      </c>
      <c r="J38" s="74">
        <f t="shared" si="17"/>
        <v>0.62223684536435697</v>
      </c>
      <c r="K38" s="74">
        <f t="shared" si="17"/>
        <v>0.57506758564909366</v>
      </c>
      <c r="L38" s="74">
        <f t="shared" si="17"/>
        <v>0.53310478103658188</v>
      </c>
    </row>
    <row r="39" spans="2:12" ht="15" thickTop="1" x14ac:dyDescent="0.35"/>
    <row r="40" spans="2:12" ht="15" thickBot="1" x14ac:dyDescent="0.4">
      <c r="B40" s="79" t="s">
        <v>177</v>
      </c>
      <c r="C40" s="79"/>
      <c r="D40" s="79"/>
      <c r="E40" s="79">
        <f>E34*E38</f>
        <v>0.12750405675143961</v>
      </c>
      <c r="F40" s="79">
        <f t="shared" ref="F40:L40" si="18">F34*F38</f>
        <v>0.14094314921589926</v>
      </c>
      <c r="G40" s="79">
        <f t="shared" si="18"/>
        <v>0.13559299671473621</v>
      </c>
      <c r="H40" s="79">
        <f t="shared" si="18"/>
        <v>0.13036636525222728</v>
      </c>
      <c r="I40" s="79">
        <f t="shared" si="18"/>
        <v>0.11661821272202771</v>
      </c>
      <c r="J40" s="79">
        <f t="shared" si="18"/>
        <v>0.1056271484301556</v>
      </c>
      <c r="K40" s="79">
        <f t="shared" si="18"/>
        <v>9.6610887134395432E-2</v>
      </c>
      <c r="L40" s="79">
        <f t="shared" si="18"/>
        <v>8.8586923370221574E-2</v>
      </c>
    </row>
    <row r="41" spans="2:12" ht="15" thickTop="1" x14ac:dyDescent="0.35"/>
  </sheetData>
  <mergeCells count="4">
    <mergeCell ref="B5:L5"/>
    <mergeCell ref="B10:L10"/>
    <mergeCell ref="B26:L26"/>
    <mergeCell ref="B31:L3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5B11-16A6-4295-BB3B-FFB2D6383800}">
  <sheetPr>
    <tabColor theme="5" tint="-0.249977111117893"/>
  </sheetPr>
  <dimension ref="B1:S36"/>
  <sheetViews>
    <sheetView showGridLines="0" topLeftCell="A8" zoomScale="80" zoomScaleNormal="80" workbookViewId="0">
      <selection activeCell="B2" sqref="B2"/>
    </sheetView>
  </sheetViews>
  <sheetFormatPr defaultRowHeight="14.5" x14ac:dyDescent="0.35"/>
  <cols>
    <col min="1" max="1" width="1.81640625" customWidth="1"/>
    <col min="2" max="2" width="26.36328125" customWidth="1"/>
    <col min="3" max="3" width="5.453125" customWidth="1"/>
    <col min="4" max="4" width="5.90625" customWidth="1"/>
    <col min="5" max="5" width="19.1796875" bestFit="1" customWidth="1"/>
    <col min="6" max="6" width="10.7265625" bestFit="1" customWidth="1"/>
    <col min="7" max="7" width="11.36328125" customWidth="1"/>
    <col min="8" max="8" width="12.6328125" bestFit="1" customWidth="1"/>
    <col min="9" max="10" width="10" bestFit="1" customWidth="1"/>
    <col min="11" max="11" width="9.6328125" customWidth="1"/>
    <col min="13" max="14" width="11.54296875" bestFit="1" customWidth="1"/>
    <col min="17" max="17" width="11" bestFit="1" customWidth="1"/>
    <col min="18" max="19" width="12.1796875" bestFit="1" customWidth="1"/>
  </cols>
  <sheetData>
    <row r="1" spans="2:19" ht="19.5" x14ac:dyDescent="0.45">
      <c r="B1" s="30" t="str">
        <f>"Relative Valuation - " &amp;Drivers!C2</f>
        <v>Relative Valuation - Hindustan Unilever Limited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3"/>
      <c r="N1" s="73"/>
      <c r="O1" s="73"/>
      <c r="P1" s="73"/>
      <c r="Q1" s="73"/>
      <c r="R1" s="73"/>
      <c r="S1" s="73"/>
    </row>
    <row r="2" spans="2:19" x14ac:dyDescent="0.35">
      <c r="B2" s="126" t="s">
        <v>239</v>
      </c>
    </row>
    <row r="4" spans="2:19" ht="29" x14ac:dyDescent="0.35">
      <c r="B4" s="81" t="s">
        <v>178</v>
      </c>
      <c r="C4" s="81"/>
      <c r="D4" s="81"/>
      <c r="E4" s="82" t="s">
        <v>179</v>
      </c>
      <c r="F4" s="82" t="s">
        <v>180</v>
      </c>
      <c r="G4" s="82" t="s">
        <v>181</v>
      </c>
      <c r="H4" s="82" t="s">
        <v>182</v>
      </c>
      <c r="I4" s="82" t="s">
        <v>183</v>
      </c>
      <c r="J4" s="82" t="s">
        <v>184</v>
      </c>
      <c r="K4" s="82" t="s">
        <v>185</v>
      </c>
      <c r="L4" s="83"/>
      <c r="M4" s="82" t="s">
        <v>1</v>
      </c>
      <c r="N4" s="82" t="s">
        <v>7</v>
      </c>
      <c r="O4" s="82" t="s">
        <v>12</v>
      </c>
      <c r="P4" s="83"/>
      <c r="Q4" s="82" t="s">
        <v>186</v>
      </c>
      <c r="R4" s="82" t="s">
        <v>187</v>
      </c>
      <c r="S4" s="82" t="s">
        <v>188</v>
      </c>
    </row>
    <row r="6" spans="2:19" x14ac:dyDescent="0.35">
      <c r="B6" s="93" t="s">
        <v>86</v>
      </c>
      <c r="C6" s="85"/>
      <c r="D6" s="85"/>
      <c r="E6" s="93" t="str">
        <f>Drivers!C4</f>
        <v>500696|HINDUNILVR</v>
      </c>
      <c r="F6" s="106">
        <v>2711.05</v>
      </c>
      <c r="G6" s="104">
        <v>2349.6</v>
      </c>
      <c r="H6" s="86">
        <v>6369859.4000000004</v>
      </c>
      <c r="I6" s="86">
        <v>14840</v>
      </c>
      <c r="J6" s="86">
        <v>75590</v>
      </c>
      <c r="K6" s="87">
        <f>H6+I6-J6</f>
        <v>6309109.4000000004</v>
      </c>
      <c r="L6" s="87"/>
      <c r="M6" s="86">
        <v>621070</v>
      </c>
      <c r="N6" s="86">
        <v>156204.70000000001</v>
      </c>
      <c r="O6" s="86">
        <v>103380</v>
      </c>
      <c r="P6" s="87"/>
      <c r="Q6" s="88">
        <f>K6/M6</f>
        <v>10.158451382291851</v>
      </c>
      <c r="R6" s="88">
        <f>K6/N6</f>
        <v>40.390010031708393</v>
      </c>
      <c r="S6" s="88">
        <f>H6/O6</f>
        <v>61.615974076223644</v>
      </c>
    </row>
    <row r="7" spans="2:19" x14ac:dyDescent="0.35">
      <c r="F7" s="107"/>
      <c r="G7" s="105"/>
      <c r="H7" s="53"/>
      <c r="I7" s="53"/>
      <c r="J7" s="53"/>
      <c r="K7" s="109"/>
      <c r="L7" s="39"/>
      <c r="M7" s="53"/>
      <c r="N7" s="53"/>
      <c r="O7" s="53"/>
      <c r="P7" s="39"/>
      <c r="Q7" s="84"/>
      <c r="R7" s="84"/>
      <c r="S7" s="84"/>
    </row>
    <row r="8" spans="2:19" x14ac:dyDescent="0.35">
      <c r="B8" s="77" t="s">
        <v>189</v>
      </c>
      <c r="E8" s="34" t="s">
        <v>209</v>
      </c>
      <c r="F8" s="107">
        <v>2476.9</v>
      </c>
      <c r="G8" s="105">
        <v>964.2</v>
      </c>
      <c r="H8" s="53">
        <v>2388120.9</v>
      </c>
      <c r="I8" s="53">
        <v>3445.3</v>
      </c>
      <c r="J8" s="53">
        <v>7788.5</v>
      </c>
      <c r="K8" s="109">
        <f t="shared" ref="K8:K17" si="0">H8+I8-J8</f>
        <v>2383777.6999999997</v>
      </c>
      <c r="L8" s="39"/>
      <c r="M8" s="53">
        <v>197187.8</v>
      </c>
      <c r="N8" s="53">
        <v>49129.7</v>
      </c>
      <c r="O8" s="53">
        <v>32444.6</v>
      </c>
      <c r="P8" s="39"/>
      <c r="Q8" s="84">
        <f t="shared" ref="Q8:Q17" si="1">K8/M8</f>
        <v>12.088870102511413</v>
      </c>
      <c r="R8" s="84">
        <f t="shared" ref="R8:R17" si="2">K8/N8</f>
        <v>48.520094769558938</v>
      </c>
      <c r="S8" s="84">
        <f t="shared" ref="S8:S17" si="3">H8/O8</f>
        <v>73.606113189868267</v>
      </c>
    </row>
    <row r="9" spans="2:19" x14ac:dyDescent="0.35">
      <c r="B9" s="77" t="s">
        <v>107</v>
      </c>
      <c r="E9" s="34" t="s">
        <v>210</v>
      </c>
      <c r="F9" s="107">
        <v>1676.65</v>
      </c>
      <c r="G9" s="105">
        <v>1299.4000000000001</v>
      </c>
      <c r="H9" s="53">
        <v>2178720.2000000002</v>
      </c>
      <c r="I9" s="53">
        <v>54313.1</v>
      </c>
      <c r="J9" s="53">
        <v>4598.6000000000004</v>
      </c>
      <c r="K9" s="109">
        <f t="shared" si="0"/>
        <v>2228434.7000000002</v>
      </c>
      <c r="L9" s="39"/>
      <c r="M9" s="53">
        <v>164669.20000000001</v>
      </c>
      <c r="N9" s="53">
        <v>38768.800000000003</v>
      </c>
      <c r="O9" s="53">
        <v>22112.2</v>
      </c>
      <c r="P9" s="39"/>
      <c r="Q9" s="84">
        <f t="shared" si="1"/>
        <v>13.532796054149774</v>
      </c>
      <c r="R9" s="84">
        <f t="shared" si="2"/>
        <v>57.480105136088817</v>
      </c>
      <c r="S9" s="84">
        <f t="shared" si="3"/>
        <v>98.530232179520809</v>
      </c>
    </row>
    <row r="10" spans="2:19" x14ac:dyDescent="0.35">
      <c r="B10" s="77" t="s">
        <v>190</v>
      </c>
      <c r="E10" s="34" t="s">
        <v>211</v>
      </c>
      <c r="F10" s="107">
        <v>1467.5</v>
      </c>
      <c r="G10" s="105">
        <v>1022.8</v>
      </c>
      <c r="H10" s="53">
        <v>1500988.8</v>
      </c>
      <c r="I10" s="53">
        <v>32222</v>
      </c>
      <c r="J10" s="53">
        <v>5469.4</v>
      </c>
      <c r="K10" s="109">
        <f t="shared" si="0"/>
        <v>1527741.4000000001</v>
      </c>
      <c r="L10" s="39"/>
      <c r="M10" s="53">
        <v>140961.1</v>
      </c>
      <c r="N10" s="53">
        <v>31649.9</v>
      </c>
      <c r="O10" s="53">
        <v>-5605.5</v>
      </c>
      <c r="P10" s="39"/>
      <c r="Q10" s="84">
        <f t="shared" si="1"/>
        <v>10.838035458009339</v>
      </c>
      <c r="R10" s="84">
        <f t="shared" si="2"/>
        <v>48.270022970056779</v>
      </c>
      <c r="S10" s="84">
        <f t="shared" si="3"/>
        <v>-267.77072518062619</v>
      </c>
    </row>
    <row r="11" spans="2:19" x14ac:dyDescent="0.35">
      <c r="B11" s="77" t="s">
        <v>191</v>
      </c>
      <c r="E11" s="34" t="s">
        <v>212</v>
      </c>
      <c r="F11" s="107">
        <v>5872.8</v>
      </c>
      <c r="G11" s="105">
        <v>240.9</v>
      </c>
      <c r="H11" s="53">
        <v>1414571.3</v>
      </c>
      <c r="I11" s="53">
        <v>20649.599999999999</v>
      </c>
      <c r="J11" s="53">
        <v>4463.5</v>
      </c>
      <c r="K11" s="109">
        <f t="shared" si="0"/>
        <v>1430757.4000000001</v>
      </c>
      <c r="L11" s="39"/>
      <c r="M11" s="53">
        <v>167692.70000000001</v>
      </c>
      <c r="N11" s="53">
        <v>33800</v>
      </c>
      <c r="O11" s="53">
        <v>21342.2</v>
      </c>
      <c r="P11" s="39"/>
      <c r="Q11" s="84">
        <f t="shared" si="1"/>
        <v>8.532019581055108</v>
      </c>
      <c r="R11" s="84">
        <f t="shared" si="2"/>
        <v>42.330100591715983</v>
      </c>
      <c r="S11" s="84">
        <f t="shared" si="3"/>
        <v>66.280481862226011</v>
      </c>
    </row>
    <row r="12" spans="2:19" x14ac:dyDescent="0.35">
      <c r="B12" s="77" t="s">
        <v>110</v>
      </c>
      <c r="E12" s="34" t="s">
        <v>213</v>
      </c>
      <c r="F12" s="107">
        <v>632.45000000000005</v>
      </c>
      <c r="G12" s="105">
        <v>1772.3</v>
      </c>
      <c r="H12" s="53">
        <v>1120898.3</v>
      </c>
      <c r="I12" s="53">
        <v>13650.9</v>
      </c>
      <c r="J12" s="53">
        <v>6663.6</v>
      </c>
      <c r="K12" s="109">
        <f t="shared" si="0"/>
        <v>1127885.5999999999</v>
      </c>
      <c r="L12" s="39"/>
      <c r="M12" s="53">
        <v>124040.1</v>
      </c>
      <c r="N12" s="53">
        <v>28809.3</v>
      </c>
      <c r="O12" s="53">
        <v>18113.099999999999</v>
      </c>
      <c r="P12" s="39"/>
      <c r="Q12" s="84">
        <f t="shared" si="1"/>
        <v>9.0929110827869355</v>
      </c>
      <c r="R12" s="84">
        <f t="shared" si="2"/>
        <v>39.150052240075247</v>
      </c>
      <c r="S12" s="84">
        <f t="shared" si="3"/>
        <v>61.88329441122724</v>
      </c>
    </row>
    <row r="13" spans="2:19" x14ac:dyDescent="0.35">
      <c r="B13" s="77" t="s">
        <v>108</v>
      </c>
      <c r="E13" s="34" t="s">
        <v>214</v>
      </c>
      <c r="F13" s="107">
        <v>3165.2</v>
      </c>
      <c r="G13" s="105">
        <v>272</v>
      </c>
      <c r="H13" s="53">
        <v>860888.9</v>
      </c>
      <c r="I13" s="53">
        <v>717.5</v>
      </c>
      <c r="J13" s="53">
        <v>13737.8</v>
      </c>
      <c r="K13" s="109">
        <f t="shared" si="0"/>
        <v>847868.6</v>
      </c>
      <c r="L13" s="39"/>
      <c r="M13" s="53">
        <v>56804.3</v>
      </c>
      <c r="N13" s="53">
        <v>19777.599999999999</v>
      </c>
      <c r="O13" s="53">
        <v>13236.6</v>
      </c>
      <c r="P13" s="39"/>
      <c r="Q13" s="84">
        <f t="shared" si="1"/>
        <v>14.926134113086508</v>
      </c>
      <c r="R13" s="84">
        <f t="shared" si="2"/>
        <v>42.870146023784486</v>
      </c>
      <c r="S13" s="84">
        <f t="shared" si="3"/>
        <v>65.038521976942718</v>
      </c>
    </row>
    <row r="14" spans="2:19" x14ac:dyDescent="0.35">
      <c r="B14" s="77" t="s">
        <v>192</v>
      </c>
      <c r="E14" s="34" t="s">
        <v>215</v>
      </c>
      <c r="F14" s="107">
        <v>17385.7</v>
      </c>
      <c r="G14" s="105">
        <v>32.5</v>
      </c>
      <c r="H14" s="53">
        <v>564352.6</v>
      </c>
      <c r="I14" s="53">
        <v>35.799999999999997</v>
      </c>
      <c r="J14" s="53">
        <v>9779.9</v>
      </c>
      <c r="K14" s="109">
        <f t="shared" si="0"/>
        <v>554608.5</v>
      </c>
      <c r="L14" s="39"/>
      <c r="M14" s="53">
        <v>41264.800000000003</v>
      </c>
      <c r="N14" s="53">
        <v>11219</v>
      </c>
      <c r="O14" s="53">
        <v>7452</v>
      </c>
      <c r="P14" s="39"/>
      <c r="Q14" s="84">
        <f t="shared" si="1"/>
        <v>13.440232352998196</v>
      </c>
      <c r="R14" s="84">
        <f t="shared" si="2"/>
        <v>49.434753543096534</v>
      </c>
      <c r="S14" s="84">
        <f t="shared" si="3"/>
        <v>75.731696188942564</v>
      </c>
    </row>
    <row r="15" spans="2:19" x14ac:dyDescent="0.35">
      <c r="B15" s="77" t="s">
        <v>193</v>
      </c>
      <c r="E15" s="34" t="s">
        <v>216</v>
      </c>
      <c r="F15" s="107">
        <v>797.1</v>
      </c>
      <c r="G15" s="105">
        <v>436.5</v>
      </c>
      <c r="H15" s="53">
        <v>347934.2</v>
      </c>
      <c r="I15" s="53">
        <v>939.5</v>
      </c>
      <c r="J15" s="53">
        <v>2013.8</v>
      </c>
      <c r="K15" s="109">
        <f t="shared" si="0"/>
        <v>346859.9</v>
      </c>
      <c r="L15" s="39"/>
      <c r="M15" s="53">
        <v>35780.9</v>
      </c>
      <c r="N15" s="53">
        <v>9927.2999999999993</v>
      </c>
      <c r="O15" s="53">
        <v>7241.4</v>
      </c>
      <c r="P15" s="39"/>
      <c r="Q15" s="84">
        <f t="shared" si="1"/>
        <v>9.6939959587377622</v>
      </c>
      <c r="R15" s="84">
        <f t="shared" si="2"/>
        <v>34.940003827828313</v>
      </c>
      <c r="S15" s="84">
        <f t="shared" si="3"/>
        <v>48.047918910707878</v>
      </c>
    </row>
    <row r="16" spans="2:19" x14ac:dyDescent="0.35">
      <c r="B16" s="77" t="s">
        <v>194</v>
      </c>
      <c r="E16" s="34" t="s">
        <v>217</v>
      </c>
      <c r="F16" s="107">
        <v>1212.25</v>
      </c>
      <c r="G16" s="105">
        <v>222.7</v>
      </c>
      <c r="H16" s="53">
        <v>270026.59999999998</v>
      </c>
      <c r="I16" s="53">
        <v>26983</v>
      </c>
      <c r="J16" s="53">
        <v>533.1</v>
      </c>
      <c r="K16" s="109">
        <f t="shared" si="0"/>
        <v>296476.5</v>
      </c>
      <c r="L16" s="39"/>
      <c r="M16" s="53">
        <v>82148.2</v>
      </c>
      <c r="N16" s="53">
        <v>10139.4</v>
      </c>
      <c r="O16" s="53">
        <v>3176.6</v>
      </c>
      <c r="P16" s="39"/>
      <c r="Q16" s="84">
        <f t="shared" si="1"/>
        <v>3.6090443856347432</v>
      </c>
      <c r="R16" s="84">
        <f t="shared" si="2"/>
        <v>29.240043789573349</v>
      </c>
      <c r="S16" s="84">
        <f t="shared" si="3"/>
        <v>85.004910911036959</v>
      </c>
    </row>
    <row r="17" spans="2:19" x14ac:dyDescent="0.35">
      <c r="B17" s="77" t="s">
        <v>195</v>
      </c>
      <c r="E17" s="34" t="s">
        <v>218</v>
      </c>
      <c r="F17" s="107">
        <v>7787.65</v>
      </c>
      <c r="G17" s="105">
        <v>32.6</v>
      </c>
      <c r="H17" s="53">
        <v>253799.5</v>
      </c>
      <c r="I17" s="53">
        <v>0.5</v>
      </c>
      <c r="J17" s="53">
        <v>4555.6000000000004</v>
      </c>
      <c r="K17" s="109">
        <f t="shared" si="0"/>
        <v>249244.4</v>
      </c>
      <c r="L17" s="39"/>
      <c r="M17" s="53">
        <v>26071.9</v>
      </c>
      <c r="N17" s="53">
        <v>6228.8</v>
      </c>
      <c r="O17" s="53">
        <v>3874.8</v>
      </c>
      <c r="P17" s="39"/>
      <c r="Q17" s="84">
        <f t="shared" si="1"/>
        <v>9.5598863143844515</v>
      </c>
      <c r="R17" s="84">
        <f t="shared" si="2"/>
        <v>40.014834318006677</v>
      </c>
      <c r="S17" s="84">
        <f t="shared" si="3"/>
        <v>65.500025807783629</v>
      </c>
    </row>
    <row r="18" spans="2:19" x14ac:dyDescent="0.35">
      <c r="F18" s="39"/>
    </row>
    <row r="20" spans="2:19" x14ac:dyDescent="0.35">
      <c r="B20" s="92" t="s">
        <v>196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0">
        <f>MAX(Q6:Q17)</f>
        <v>14.926134113086508</v>
      </c>
      <c r="R20" s="90">
        <f t="shared" ref="R20:S20" si="4">MAX(R6:R17)</f>
        <v>57.480105136088817</v>
      </c>
      <c r="S20" s="90">
        <f t="shared" si="4"/>
        <v>98.530232179520809</v>
      </c>
    </row>
    <row r="21" spans="2:19" x14ac:dyDescent="0.35">
      <c r="B21" s="92" t="s">
        <v>197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>
        <f>QUARTILE(Q6:Q17,3)</f>
        <v>12.764551227754804</v>
      </c>
      <c r="R21" s="90">
        <f t="shared" ref="R21:S21" si="5">QUARTILE(R6:R17,3)</f>
        <v>48.395058869807855</v>
      </c>
      <c r="S21" s="90">
        <f t="shared" si="5"/>
        <v>74.668904689405423</v>
      </c>
    </row>
    <row r="22" spans="2:19" x14ac:dyDescent="0.35">
      <c r="B22" s="92" t="s">
        <v>198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1">
        <f>AVERAGE(Q6:Q17)</f>
        <v>10.497488798695098</v>
      </c>
      <c r="R22" s="91">
        <f t="shared" ref="R22:S22" si="6">AVERAGE(R6:R17)</f>
        <v>42.967287931044865</v>
      </c>
      <c r="S22" s="91">
        <f t="shared" si="6"/>
        <v>39.406222212168508</v>
      </c>
    </row>
    <row r="23" spans="2:19" x14ac:dyDescent="0.35">
      <c r="B23" s="92" t="s">
        <v>112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1">
        <f>MEDIAN(Q6:Q17)</f>
        <v>10.158451382291851</v>
      </c>
      <c r="R23" s="91">
        <f t="shared" ref="R23:S23" si="7">MEDIAN(R6:R17)</f>
        <v>42.330100591715983</v>
      </c>
      <c r="S23" s="91">
        <f t="shared" si="7"/>
        <v>65.500025807783629</v>
      </c>
    </row>
    <row r="24" spans="2:19" x14ac:dyDescent="0.35">
      <c r="B24" s="92" t="s">
        <v>199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0">
        <f>QUARTILE(Q6:Q17,1)</f>
        <v>9.3263986985856935</v>
      </c>
      <c r="R24" s="90">
        <f t="shared" ref="R24:S24" si="8">QUARTILE(R6:R17,1)</f>
        <v>39.582443279040959</v>
      </c>
      <c r="S24" s="90">
        <f t="shared" si="8"/>
        <v>61.749634243725438</v>
      </c>
    </row>
    <row r="25" spans="2:19" x14ac:dyDescent="0.35">
      <c r="B25" s="92" t="s">
        <v>200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0">
        <f>MIN(Q6:Q17)</f>
        <v>3.6090443856347432</v>
      </c>
      <c r="R25" s="90">
        <f t="shared" ref="R25:S25" si="9">MIN(R6:R17)</f>
        <v>29.240043789573349</v>
      </c>
      <c r="S25" s="90">
        <f t="shared" si="9"/>
        <v>-267.77072518062619</v>
      </c>
    </row>
    <row r="28" spans="2:19" x14ac:dyDescent="0.35">
      <c r="B28" s="132" t="s">
        <v>201</v>
      </c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</row>
    <row r="30" spans="2:19" x14ac:dyDescent="0.35">
      <c r="B30" s="92" t="s">
        <v>202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02">
        <f>Q$23*M6</f>
        <v>6309109.3999999994</v>
      </c>
      <c r="R30" s="102">
        <f>R$23*N6</f>
        <v>6612160.6638988182</v>
      </c>
      <c r="S30" s="102">
        <f>S33+S31-S32</f>
        <v>6710642.6680086711</v>
      </c>
    </row>
    <row r="31" spans="2:19" x14ac:dyDescent="0.35">
      <c r="B31" s="92" t="s">
        <v>95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102">
        <f>$I$6</f>
        <v>14840</v>
      </c>
      <c r="R31" s="102">
        <f t="shared" ref="R31:S31" si="10">$I$6</f>
        <v>14840</v>
      </c>
      <c r="S31" s="102">
        <f t="shared" si="10"/>
        <v>14840</v>
      </c>
    </row>
    <row r="32" spans="2:19" x14ac:dyDescent="0.35">
      <c r="B32" s="92" t="s">
        <v>184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102">
        <f>$J$6</f>
        <v>75590</v>
      </c>
      <c r="R32" s="102">
        <f t="shared" ref="R32:S32" si="11">$J$6</f>
        <v>75590</v>
      </c>
      <c r="S32" s="102">
        <f t="shared" si="11"/>
        <v>75590</v>
      </c>
    </row>
    <row r="33" spans="2:19" x14ac:dyDescent="0.35">
      <c r="B33" s="92" t="s">
        <v>206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102">
        <f>Q30-Q31+Q32</f>
        <v>6369859.3999999994</v>
      </c>
      <c r="R33" s="102">
        <f t="shared" ref="R33" si="12">R30-R31+R32</f>
        <v>6672910.6638988182</v>
      </c>
      <c r="S33" s="102">
        <f>S23*O6</f>
        <v>6771392.6680086711</v>
      </c>
    </row>
    <row r="34" spans="2:19" x14ac:dyDescent="0.35">
      <c r="B34" s="92" t="s">
        <v>141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103">
        <f>$G$6</f>
        <v>2349.6</v>
      </c>
      <c r="R34" s="103">
        <f t="shared" ref="R34:S34" si="13">$G$6</f>
        <v>2349.6</v>
      </c>
      <c r="S34" s="103">
        <f t="shared" si="13"/>
        <v>2349.6</v>
      </c>
    </row>
    <row r="35" spans="2:19" x14ac:dyDescent="0.35">
      <c r="B35" s="92" t="s">
        <v>207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110">
        <f>Q33/Q34</f>
        <v>2711.0399216887981</v>
      </c>
      <c r="R35" s="110">
        <f t="shared" ref="R35:S35" si="14">R33/R34</f>
        <v>2840.0198603587073</v>
      </c>
      <c r="S35" s="110">
        <f t="shared" si="14"/>
        <v>2881.9342305110108</v>
      </c>
    </row>
    <row r="36" spans="2:19" x14ac:dyDescent="0.35">
      <c r="Q36" s="111" t="str">
        <f>IF($F$6&gt;Q$35,"Over valued",IF($F$6&lt;Q$35,"Under valued","Fairly valued"))</f>
        <v>Over valued</v>
      </c>
      <c r="R36" s="111" t="str">
        <f t="shared" ref="R36:S36" si="15">IF($F$6&gt;R$35,"Over valued",IF($F$6&lt;R$35,"Under valued","Fairly valued"))</f>
        <v>Under valued</v>
      </c>
      <c r="S36" s="111" t="str">
        <f t="shared" si="15"/>
        <v>Under valued</v>
      </c>
    </row>
  </sheetData>
  <mergeCells count="1">
    <mergeCell ref="B28:S28"/>
  </mergeCells>
  <conditionalFormatting sqref="Q36:S36">
    <cfRule type="containsText" dxfId="2" priority="1" operator="containsText" text="Under valued">
      <formula>NOT(ISERROR(SEARCH("Under valued",Q36)))</formula>
    </cfRule>
    <cfRule type="containsText" priority="2" operator="containsText" text="Under valued">
      <formula>NOT(ISERROR(SEARCH("Under valued",Q36)))</formula>
    </cfRule>
    <cfRule type="containsText" dxfId="1" priority="3" operator="containsText" text="Over valued">
      <formula>NOT(ISERROR(SEARCH("Over valued",Q36)))</formula>
    </cfRule>
    <cfRule type="containsText" dxfId="0" priority="4" operator="containsText" text="&quot;Over valued&quot;">
      <formula>NOT(ISERROR(SEARCH("""Over valued""",Q36)))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4AB0-32D4-4CB9-B416-FA9DCD3D91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Drivers</vt:lpstr>
      <vt:lpstr>Income Statement</vt:lpstr>
      <vt:lpstr>Revenues By Segment</vt:lpstr>
      <vt:lpstr>Gross Profit Margin</vt:lpstr>
      <vt:lpstr>Balance Sheet</vt:lpstr>
      <vt:lpstr>Cash Flow</vt:lpstr>
      <vt:lpstr>Working Capital</vt:lpstr>
      <vt:lpstr>Fixed Asset Rollover</vt:lpstr>
      <vt:lpstr>WACC</vt:lpstr>
      <vt:lpstr>DCF</vt:lpstr>
      <vt:lpstr>Football Field Analysis</vt:lpstr>
      <vt:lpstr>Ratio Analysis</vt:lpstr>
      <vt:lpstr>Charts</vt:lpstr>
      <vt:lpstr>DuPont Analysis</vt:lpstr>
      <vt:lpstr>Relative Valuation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2024-07-27T05:00:45Z</dcterms:created>
  <dcterms:modified xsi:type="dcterms:W3CDTF">2024-10-03T11:14:04Z</dcterms:modified>
</cp:coreProperties>
</file>