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mc:AlternateContent xmlns:mc="http://schemas.openxmlformats.org/markup-compatibility/2006">
    <mc:Choice Requires="x15">
      <x15ac:absPath xmlns:x15ac="http://schemas.microsoft.com/office/spreadsheetml/2010/11/ac" url="/Users/Elliot/Box Sync/ICTV/EC50/"/>
    </mc:Choice>
  </mc:AlternateContent>
  <xr:revisionPtr revIDLastSave="0" documentId="13_ncr:1_{1166CF8B-AD12-114B-829D-97A806A7727B}" xr6:coauthVersionLast="36" xr6:coauthVersionMax="38" xr10:uidLastSave="{00000000-0000-0000-0000-000000000000}"/>
  <bookViews>
    <workbookView xWindow="0" yWindow="460" windowWidth="28800" windowHeight="16420" xr2:uid="{00000000-000D-0000-FFFF-FFFF00000000}"/>
  </bookViews>
  <sheets>
    <sheet name="Version" sheetId="2" r:id="rId1"/>
    <sheet name="Column Definitions" sheetId="3" r:id="rId2"/>
    <sheet name="ICTV 2018 Master Species #33" sheetId="1" r:id="rId3"/>
  </sheets>
  <definedNames>
    <definedName name="_xlnm._FilterDatabase" localSheetId="2" hidden="1">'ICTV 2018 Master Species #33'!$R$1:$R$4853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2">'ICTV 2018 Master Species #33'!$1:$1</definedName>
  </definedNames>
  <calcPr calcId="179021"/>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V2" i="1" l="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565" i="1"/>
  <c r="V2566" i="1"/>
  <c r="V2567" i="1"/>
  <c r="V2568" i="1"/>
  <c r="V2569" i="1"/>
  <c r="V2570" i="1"/>
  <c r="V2571" i="1"/>
  <c r="V2572" i="1"/>
  <c r="V2573" i="1"/>
  <c r="V2574" i="1"/>
  <c r="V2575" i="1"/>
  <c r="V2576" i="1"/>
  <c r="V2577" i="1"/>
  <c r="V2578" i="1"/>
  <c r="V2579" i="1"/>
  <c r="V2580" i="1"/>
  <c r="V2581" i="1"/>
  <c r="V2582" i="1"/>
  <c r="V2583" i="1"/>
  <c r="V2584" i="1"/>
  <c r="V2585" i="1"/>
  <c r="V2586" i="1"/>
  <c r="V2587" i="1"/>
  <c r="V2588" i="1"/>
  <c r="V2589" i="1"/>
  <c r="V2590" i="1"/>
  <c r="V2591" i="1"/>
  <c r="V2592" i="1"/>
  <c r="V2593" i="1"/>
  <c r="V2594" i="1"/>
  <c r="V2595" i="1"/>
  <c r="V2596" i="1"/>
  <c r="V2597" i="1"/>
  <c r="V2598" i="1"/>
  <c r="V2599" i="1"/>
  <c r="V2600" i="1"/>
  <c r="V2601" i="1"/>
  <c r="V2602" i="1"/>
  <c r="V2603" i="1"/>
  <c r="V2604" i="1"/>
  <c r="V2605" i="1"/>
  <c r="V2606" i="1"/>
  <c r="V2607" i="1"/>
  <c r="V2608" i="1"/>
  <c r="V2609" i="1"/>
  <c r="V2610" i="1"/>
  <c r="V2611" i="1"/>
  <c r="V2612" i="1"/>
  <c r="V2613" i="1"/>
  <c r="V2614" i="1"/>
  <c r="V2615" i="1"/>
  <c r="V2616" i="1"/>
  <c r="V2617" i="1"/>
  <c r="V2618" i="1"/>
  <c r="V2619" i="1"/>
  <c r="V2620" i="1"/>
  <c r="V2621" i="1"/>
  <c r="V2622" i="1"/>
  <c r="V2623" i="1"/>
  <c r="V2624" i="1"/>
  <c r="V2625" i="1"/>
  <c r="V2626" i="1"/>
  <c r="V2627" i="1"/>
  <c r="V2628" i="1"/>
  <c r="V2629" i="1"/>
  <c r="V2630" i="1"/>
  <c r="V2631" i="1"/>
  <c r="V2632" i="1"/>
  <c r="V2633" i="1"/>
  <c r="V2634" i="1"/>
  <c r="V2635" i="1"/>
  <c r="V2636" i="1"/>
  <c r="V2637" i="1"/>
  <c r="V2638" i="1"/>
  <c r="V2639" i="1"/>
  <c r="V2640" i="1"/>
  <c r="V2641" i="1"/>
  <c r="V2642" i="1"/>
  <c r="V2643" i="1"/>
  <c r="V2644" i="1"/>
  <c r="V2645" i="1"/>
  <c r="V2646" i="1"/>
  <c r="V2647" i="1"/>
  <c r="V2648" i="1"/>
  <c r="V2649" i="1"/>
  <c r="V2650" i="1"/>
  <c r="V2651" i="1"/>
  <c r="V2652" i="1"/>
  <c r="V2653" i="1"/>
  <c r="V2654" i="1"/>
  <c r="V2655" i="1"/>
  <c r="V2656" i="1"/>
  <c r="V2657" i="1"/>
  <c r="V2658" i="1"/>
  <c r="V2659" i="1"/>
  <c r="V2660" i="1"/>
  <c r="V2661" i="1"/>
  <c r="V2662" i="1"/>
  <c r="V2663" i="1"/>
  <c r="V2664" i="1"/>
  <c r="V2665" i="1"/>
  <c r="V2666" i="1"/>
  <c r="V2667" i="1"/>
  <c r="V2668" i="1"/>
  <c r="V2669" i="1"/>
  <c r="V2670" i="1"/>
  <c r="V2671" i="1"/>
  <c r="V2672" i="1"/>
  <c r="V2673" i="1"/>
  <c r="V2674" i="1"/>
  <c r="V2675" i="1"/>
  <c r="V2676" i="1"/>
  <c r="V2677" i="1"/>
  <c r="V2678" i="1"/>
  <c r="V2679" i="1"/>
  <c r="V2680" i="1"/>
  <c r="V2681" i="1"/>
  <c r="V2682" i="1"/>
  <c r="V2683" i="1"/>
  <c r="V2684" i="1"/>
  <c r="V2685" i="1"/>
  <c r="V2686" i="1"/>
  <c r="V2687" i="1"/>
  <c r="V2688" i="1"/>
  <c r="V2689" i="1"/>
  <c r="V2690" i="1"/>
  <c r="V2691" i="1"/>
  <c r="V2692" i="1"/>
  <c r="V2693" i="1"/>
  <c r="V2694" i="1"/>
  <c r="V2695" i="1"/>
  <c r="V2696" i="1"/>
  <c r="V2697" i="1"/>
  <c r="V2698" i="1"/>
  <c r="V2699" i="1"/>
  <c r="V2700" i="1"/>
  <c r="V2701" i="1"/>
  <c r="V2702" i="1"/>
  <c r="V2703" i="1"/>
  <c r="V2704" i="1"/>
  <c r="V2705" i="1"/>
  <c r="V2706" i="1"/>
  <c r="V2707" i="1"/>
  <c r="V2708" i="1"/>
  <c r="V2709" i="1"/>
  <c r="V2710" i="1"/>
  <c r="V2711" i="1"/>
  <c r="V2712" i="1"/>
  <c r="V2713" i="1"/>
  <c r="V2714" i="1"/>
  <c r="V2715" i="1"/>
  <c r="V2716" i="1"/>
  <c r="V2717" i="1"/>
  <c r="V2718" i="1"/>
  <c r="V2719" i="1"/>
  <c r="V2720" i="1"/>
  <c r="V2721" i="1"/>
  <c r="V2722" i="1"/>
  <c r="V2723" i="1"/>
  <c r="V2724" i="1"/>
  <c r="V2725" i="1"/>
  <c r="V2726" i="1"/>
  <c r="V2727" i="1"/>
  <c r="V2728" i="1"/>
  <c r="V2729" i="1"/>
  <c r="V2730" i="1"/>
  <c r="V2731" i="1"/>
  <c r="V2732" i="1"/>
  <c r="V2733" i="1"/>
  <c r="V2734" i="1"/>
  <c r="V2735" i="1"/>
  <c r="V2736" i="1"/>
  <c r="V2737" i="1"/>
  <c r="V2738" i="1"/>
  <c r="V2739" i="1"/>
  <c r="V2740" i="1"/>
  <c r="V2741" i="1"/>
  <c r="V2742" i="1"/>
  <c r="V2743" i="1"/>
  <c r="V2744" i="1"/>
  <c r="V2745" i="1"/>
  <c r="V2746" i="1"/>
  <c r="V2747" i="1"/>
  <c r="V2748" i="1"/>
  <c r="V2749" i="1"/>
  <c r="V2750" i="1"/>
  <c r="V2751" i="1"/>
  <c r="V2752" i="1"/>
  <c r="V2753" i="1"/>
  <c r="V2754" i="1"/>
  <c r="V2755" i="1"/>
  <c r="V2756" i="1"/>
  <c r="V2757" i="1"/>
  <c r="V2758" i="1"/>
  <c r="V2759" i="1"/>
  <c r="V2760" i="1"/>
  <c r="V2761" i="1"/>
  <c r="V2762" i="1"/>
  <c r="V2763" i="1"/>
  <c r="V2764" i="1"/>
  <c r="V2765" i="1"/>
  <c r="V2766" i="1"/>
  <c r="V2767" i="1"/>
  <c r="V2768" i="1"/>
  <c r="V2769" i="1"/>
  <c r="V2770" i="1"/>
  <c r="V2771" i="1"/>
  <c r="V2772" i="1"/>
  <c r="V2773" i="1"/>
  <c r="V2774" i="1"/>
  <c r="V2775" i="1"/>
  <c r="V2776" i="1"/>
  <c r="V2777" i="1"/>
  <c r="V2778" i="1"/>
  <c r="V2779" i="1"/>
  <c r="V2780" i="1"/>
  <c r="V2781" i="1"/>
  <c r="V2782" i="1"/>
  <c r="V2783" i="1"/>
  <c r="V2784" i="1"/>
  <c r="V2785" i="1"/>
  <c r="V2786" i="1"/>
  <c r="V2787" i="1"/>
  <c r="V2788" i="1"/>
  <c r="V2789" i="1"/>
  <c r="V2790" i="1"/>
  <c r="V2791" i="1"/>
  <c r="V2792" i="1"/>
  <c r="V2793" i="1"/>
  <c r="V2794" i="1"/>
  <c r="V2795" i="1"/>
  <c r="V2796" i="1"/>
  <c r="V2797" i="1"/>
  <c r="V2798" i="1"/>
  <c r="V2799" i="1"/>
  <c r="V2800" i="1"/>
  <c r="V2801" i="1"/>
  <c r="V2802" i="1"/>
  <c r="V2803" i="1"/>
  <c r="V2804" i="1"/>
  <c r="V2805" i="1"/>
  <c r="V2806" i="1"/>
  <c r="V2807" i="1"/>
  <c r="V2808" i="1"/>
  <c r="V2809" i="1"/>
  <c r="V2810" i="1"/>
  <c r="V2811" i="1"/>
  <c r="V2812" i="1"/>
  <c r="V2813" i="1"/>
  <c r="V2814" i="1"/>
  <c r="V2815" i="1"/>
  <c r="V2816" i="1"/>
  <c r="V2817" i="1"/>
  <c r="V2818" i="1"/>
  <c r="V2819" i="1"/>
  <c r="V2820" i="1"/>
  <c r="V2821" i="1"/>
  <c r="V2822" i="1"/>
  <c r="V2823" i="1"/>
  <c r="V2824" i="1"/>
  <c r="V2825" i="1"/>
  <c r="V2826" i="1"/>
  <c r="V2827" i="1"/>
  <c r="V2828" i="1"/>
  <c r="V2829" i="1"/>
  <c r="V2830" i="1"/>
  <c r="V2831" i="1"/>
  <c r="V2832" i="1"/>
  <c r="V2833" i="1"/>
  <c r="V2834" i="1"/>
  <c r="V2835" i="1"/>
  <c r="V2836" i="1"/>
  <c r="V2837" i="1"/>
  <c r="V2838" i="1"/>
  <c r="V2839" i="1"/>
  <c r="V2840" i="1"/>
  <c r="V2841" i="1"/>
  <c r="V2842" i="1"/>
  <c r="V2843" i="1"/>
  <c r="V2844" i="1"/>
  <c r="V2845" i="1"/>
  <c r="V2846" i="1"/>
  <c r="V2847" i="1"/>
  <c r="V2848" i="1"/>
  <c r="V2849" i="1"/>
  <c r="V2850" i="1"/>
  <c r="V2851" i="1"/>
  <c r="V2852" i="1"/>
  <c r="V2853" i="1"/>
  <c r="V2854" i="1"/>
  <c r="V2855" i="1"/>
  <c r="V2856" i="1"/>
  <c r="V2857" i="1"/>
  <c r="V2858" i="1"/>
  <c r="V2859" i="1"/>
  <c r="V2860" i="1"/>
  <c r="V2861" i="1"/>
  <c r="V2862" i="1"/>
  <c r="V2863" i="1"/>
  <c r="V2864" i="1"/>
  <c r="V2865" i="1"/>
  <c r="V2866" i="1"/>
  <c r="V2867" i="1"/>
  <c r="V2868" i="1"/>
  <c r="V2869" i="1"/>
  <c r="V2870" i="1"/>
  <c r="V2871" i="1"/>
  <c r="V2872" i="1"/>
  <c r="V2873" i="1"/>
  <c r="V2874" i="1"/>
  <c r="V2875" i="1"/>
  <c r="V2876" i="1"/>
  <c r="V2877" i="1"/>
  <c r="V2878" i="1"/>
  <c r="V2879" i="1"/>
  <c r="V2880" i="1"/>
  <c r="V2881" i="1"/>
  <c r="V2882" i="1"/>
  <c r="V2883" i="1"/>
  <c r="V2884" i="1"/>
  <c r="V2885" i="1"/>
  <c r="V2886" i="1"/>
  <c r="V2887" i="1"/>
  <c r="V2888" i="1"/>
  <c r="V2889" i="1"/>
  <c r="V2890" i="1"/>
  <c r="V2891" i="1"/>
  <c r="V2892" i="1"/>
  <c r="V2893" i="1"/>
  <c r="V2894" i="1"/>
  <c r="V2895" i="1"/>
  <c r="V2896" i="1"/>
  <c r="V2897" i="1"/>
  <c r="V2898" i="1"/>
  <c r="V2899" i="1"/>
  <c r="V2900" i="1"/>
  <c r="V2901" i="1"/>
  <c r="V2902" i="1"/>
  <c r="V2903" i="1"/>
  <c r="V2904" i="1"/>
  <c r="V2905" i="1"/>
  <c r="V2906" i="1"/>
  <c r="V2907" i="1"/>
  <c r="V2908" i="1"/>
  <c r="V2909" i="1"/>
  <c r="V2910" i="1"/>
  <c r="V2911" i="1"/>
  <c r="V2912" i="1"/>
  <c r="V2913" i="1"/>
  <c r="V2914" i="1"/>
  <c r="V2915" i="1"/>
  <c r="V2916" i="1"/>
  <c r="V2917" i="1"/>
  <c r="V2918" i="1"/>
  <c r="V2919" i="1"/>
  <c r="V2920" i="1"/>
  <c r="V2921" i="1"/>
  <c r="V2922" i="1"/>
  <c r="V2923" i="1"/>
  <c r="V2924" i="1"/>
  <c r="V2925" i="1"/>
  <c r="V2926" i="1"/>
  <c r="V2927" i="1"/>
  <c r="V2928" i="1"/>
  <c r="V2929" i="1"/>
  <c r="V2930" i="1"/>
  <c r="V2931" i="1"/>
  <c r="V2932" i="1"/>
  <c r="V2933" i="1"/>
  <c r="V2934" i="1"/>
  <c r="V2935" i="1"/>
  <c r="V2936" i="1"/>
  <c r="V2937" i="1"/>
  <c r="V2938" i="1"/>
  <c r="V2939" i="1"/>
  <c r="V2940" i="1"/>
  <c r="V2941" i="1"/>
  <c r="V2942" i="1"/>
  <c r="V2943" i="1"/>
  <c r="V2944" i="1"/>
  <c r="V2945" i="1"/>
  <c r="V2946" i="1"/>
  <c r="V2947" i="1"/>
  <c r="V2948" i="1"/>
  <c r="V2949" i="1"/>
  <c r="V2950" i="1"/>
  <c r="V2951" i="1"/>
  <c r="V2952" i="1"/>
  <c r="V2953" i="1"/>
  <c r="V2954" i="1"/>
  <c r="V2955" i="1"/>
  <c r="V2956" i="1"/>
  <c r="V2957" i="1"/>
  <c r="V2958" i="1"/>
  <c r="V2959" i="1"/>
  <c r="V2960" i="1"/>
  <c r="V2961" i="1"/>
  <c r="V2962" i="1"/>
  <c r="V2963" i="1"/>
  <c r="V2964" i="1"/>
  <c r="V2965" i="1"/>
  <c r="V2966" i="1"/>
  <c r="V2967" i="1"/>
  <c r="V2968" i="1"/>
  <c r="V2969" i="1"/>
  <c r="V2970" i="1"/>
  <c r="V2971" i="1"/>
  <c r="V2972" i="1"/>
  <c r="V2973" i="1"/>
  <c r="V2974" i="1"/>
  <c r="V2975" i="1"/>
  <c r="V2976" i="1"/>
  <c r="V2977" i="1"/>
  <c r="V2978" i="1"/>
  <c r="V2979" i="1"/>
  <c r="V2980" i="1"/>
  <c r="V2981" i="1"/>
  <c r="V2982" i="1"/>
  <c r="V2983" i="1"/>
  <c r="V2984" i="1"/>
  <c r="V2985" i="1"/>
  <c r="V2986" i="1"/>
  <c r="V2987" i="1"/>
  <c r="V2988" i="1"/>
  <c r="V2989" i="1"/>
  <c r="V2990" i="1"/>
  <c r="V2991" i="1"/>
  <c r="V2992" i="1"/>
  <c r="V2993" i="1"/>
  <c r="V2994" i="1"/>
  <c r="V2995" i="1"/>
  <c r="V2996" i="1"/>
  <c r="V2997" i="1"/>
  <c r="V2998" i="1"/>
  <c r="V2999" i="1"/>
  <c r="V3000" i="1"/>
  <c r="V3001" i="1"/>
  <c r="V3002" i="1"/>
  <c r="V3003" i="1"/>
  <c r="V3004" i="1"/>
  <c r="V3005" i="1"/>
  <c r="V3006" i="1"/>
  <c r="V3007" i="1"/>
  <c r="V3008" i="1"/>
  <c r="V3009" i="1"/>
  <c r="V3010" i="1"/>
  <c r="V3011" i="1"/>
  <c r="V3012" i="1"/>
  <c r="V3013" i="1"/>
  <c r="V3014" i="1"/>
  <c r="V3015" i="1"/>
  <c r="V3016" i="1"/>
  <c r="V3017" i="1"/>
  <c r="V3018" i="1"/>
  <c r="V3019" i="1"/>
  <c r="V3020" i="1"/>
  <c r="V3021" i="1"/>
  <c r="V3022" i="1"/>
  <c r="V3023" i="1"/>
  <c r="V3024" i="1"/>
  <c r="V3025" i="1"/>
  <c r="V3026" i="1"/>
  <c r="V3027" i="1"/>
  <c r="V3028" i="1"/>
  <c r="V3029" i="1"/>
  <c r="V3030" i="1"/>
  <c r="V3031" i="1"/>
  <c r="V3032" i="1"/>
  <c r="V3033" i="1"/>
  <c r="V3034" i="1"/>
  <c r="V3035" i="1"/>
  <c r="V3036" i="1"/>
  <c r="V3037" i="1"/>
  <c r="V3038" i="1"/>
  <c r="V3039" i="1"/>
  <c r="V3040" i="1"/>
  <c r="V3041" i="1"/>
  <c r="V3042" i="1"/>
  <c r="V3043" i="1"/>
  <c r="V3044" i="1"/>
  <c r="V3045" i="1"/>
  <c r="V3046" i="1"/>
  <c r="V3047" i="1"/>
  <c r="V3048" i="1"/>
  <c r="V3049" i="1"/>
  <c r="V3050" i="1"/>
  <c r="V3051" i="1"/>
  <c r="V3052" i="1"/>
  <c r="V3053" i="1"/>
  <c r="V3054" i="1"/>
  <c r="V3055" i="1"/>
  <c r="V3056" i="1"/>
  <c r="V3057" i="1"/>
  <c r="V3058" i="1"/>
  <c r="V3059" i="1"/>
  <c r="V3060" i="1"/>
  <c r="V3061" i="1"/>
  <c r="V3062" i="1"/>
  <c r="V3063" i="1"/>
  <c r="V3064" i="1"/>
  <c r="V3065" i="1"/>
  <c r="V3066" i="1"/>
  <c r="V3067" i="1"/>
  <c r="V3068" i="1"/>
  <c r="V3069" i="1"/>
  <c r="V3070" i="1"/>
  <c r="V3071" i="1"/>
  <c r="V3072" i="1"/>
  <c r="V3073" i="1"/>
  <c r="V3074" i="1"/>
  <c r="V3075" i="1"/>
  <c r="V3076" i="1"/>
  <c r="V3077" i="1"/>
  <c r="V3078" i="1"/>
  <c r="V3079" i="1"/>
  <c r="V3080" i="1"/>
  <c r="V3081" i="1"/>
  <c r="V3082" i="1"/>
  <c r="V3083" i="1"/>
  <c r="V3084" i="1"/>
  <c r="V3085" i="1"/>
  <c r="V3086" i="1"/>
  <c r="V3087" i="1"/>
  <c r="V3088" i="1"/>
  <c r="V3089" i="1"/>
  <c r="V3090" i="1"/>
  <c r="V3091" i="1"/>
  <c r="V3092" i="1"/>
  <c r="V3093" i="1"/>
  <c r="V3094" i="1"/>
  <c r="V3095" i="1"/>
  <c r="V3096" i="1"/>
  <c r="V3097" i="1"/>
  <c r="V3098" i="1"/>
  <c r="V3099" i="1"/>
  <c r="V3100" i="1"/>
  <c r="V3101" i="1"/>
  <c r="V3102" i="1"/>
  <c r="V3103" i="1"/>
  <c r="V3104" i="1"/>
  <c r="V3105" i="1"/>
  <c r="V3106" i="1"/>
  <c r="V3107" i="1"/>
  <c r="V3108" i="1"/>
  <c r="V3109" i="1"/>
  <c r="V3110" i="1"/>
  <c r="V3111" i="1"/>
  <c r="V3112" i="1"/>
  <c r="V3113" i="1"/>
  <c r="V3114" i="1"/>
  <c r="V3115" i="1"/>
  <c r="V3116" i="1"/>
  <c r="V3117" i="1"/>
  <c r="V3118" i="1"/>
  <c r="V3119" i="1"/>
  <c r="V3120" i="1"/>
  <c r="V3121" i="1"/>
  <c r="V3122" i="1"/>
  <c r="V3123" i="1"/>
  <c r="V3124" i="1"/>
  <c r="V3125" i="1"/>
  <c r="V3126" i="1"/>
  <c r="V3127" i="1"/>
  <c r="V3128" i="1"/>
  <c r="V3129" i="1"/>
  <c r="V3130" i="1"/>
  <c r="V3131" i="1"/>
  <c r="V3132" i="1"/>
  <c r="V3133" i="1"/>
  <c r="V3134" i="1"/>
  <c r="V3135" i="1"/>
  <c r="V3136" i="1"/>
  <c r="V3137" i="1"/>
  <c r="V3138" i="1"/>
  <c r="V3139" i="1"/>
  <c r="V3140" i="1"/>
  <c r="V3141" i="1"/>
  <c r="V3142" i="1"/>
  <c r="V3143" i="1"/>
  <c r="V3144" i="1"/>
  <c r="V3145" i="1"/>
  <c r="V3146" i="1"/>
  <c r="V3147" i="1"/>
  <c r="V3148" i="1"/>
  <c r="V3149" i="1"/>
  <c r="V3150" i="1"/>
  <c r="V3151" i="1"/>
  <c r="V3152" i="1"/>
  <c r="V3153" i="1"/>
  <c r="V3154" i="1"/>
  <c r="V3155" i="1"/>
  <c r="V3156" i="1"/>
  <c r="V3157" i="1"/>
  <c r="V3158" i="1"/>
  <c r="V3159" i="1"/>
  <c r="V3160" i="1"/>
  <c r="V3161" i="1"/>
  <c r="V3162" i="1"/>
  <c r="V3163" i="1"/>
  <c r="V3164" i="1"/>
  <c r="V3165" i="1"/>
  <c r="V3166" i="1"/>
  <c r="V3167" i="1"/>
  <c r="V3168" i="1"/>
  <c r="V3169" i="1"/>
  <c r="V3170" i="1"/>
  <c r="V3171" i="1"/>
  <c r="V3172" i="1"/>
  <c r="V3173" i="1"/>
  <c r="V3174" i="1"/>
  <c r="V3175" i="1"/>
  <c r="V3176" i="1"/>
  <c r="V3177" i="1"/>
  <c r="V3178" i="1"/>
  <c r="V3179" i="1"/>
  <c r="V3180" i="1"/>
  <c r="V3181" i="1"/>
  <c r="V3182" i="1"/>
  <c r="V3183" i="1"/>
  <c r="V3184" i="1"/>
  <c r="V3185" i="1"/>
  <c r="V3186" i="1"/>
  <c r="V3187" i="1"/>
  <c r="V3188" i="1"/>
  <c r="V3189" i="1"/>
  <c r="V3190" i="1"/>
  <c r="V3191" i="1"/>
  <c r="V3192" i="1"/>
  <c r="V3193" i="1"/>
  <c r="V3194" i="1"/>
  <c r="V3195" i="1"/>
  <c r="V3196" i="1"/>
  <c r="V3197" i="1"/>
  <c r="V3198" i="1"/>
  <c r="V3199" i="1"/>
  <c r="V3200" i="1"/>
  <c r="V3201" i="1"/>
  <c r="V3202" i="1"/>
  <c r="V3203" i="1"/>
  <c r="V3204" i="1"/>
  <c r="V3205" i="1"/>
  <c r="V3206" i="1"/>
  <c r="V3207" i="1"/>
  <c r="V3208" i="1"/>
  <c r="V3209" i="1"/>
  <c r="V3210" i="1"/>
  <c r="V3211" i="1"/>
  <c r="V3212" i="1"/>
  <c r="V3213" i="1"/>
  <c r="V3214" i="1"/>
  <c r="V3215" i="1"/>
  <c r="V3216" i="1"/>
  <c r="V3217" i="1"/>
  <c r="V3218" i="1"/>
  <c r="V3219" i="1"/>
  <c r="V3220" i="1"/>
  <c r="V3221" i="1"/>
  <c r="V3222" i="1"/>
  <c r="V3223" i="1"/>
  <c r="V3224" i="1"/>
  <c r="V3225" i="1"/>
  <c r="V3226" i="1"/>
  <c r="V3227" i="1"/>
  <c r="V3228" i="1"/>
  <c r="V3229" i="1"/>
  <c r="V3230" i="1"/>
  <c r="V3231" i="1"/>
  <c r="V3232" i="1"/>
  <c r="V3233" i="1"/>
  <c r="V3234" i="1"/>
  <c r="V3235" i="1"/>
  <c r="V3236" i="1"/>
  <c r="V3237" i="1"/>
  <c r="V3238" i="1"/>
  <c r="V3239" i="1"/>
  <c r="V3240" i="1"/>
  <c r="V3241" i="1"/>
  <c r="V3242" i="1"/>
  <c r="V3243" i="1"/>
  <c r="V3244" i="1"/>
  <c r="V3245" i="1"/>
  <c r="V3246" i="1"/>
  <c r="V3247" i="1"/>
  <c r="V3248" i="1"/>
  <c r="V3249" i="1"/>
  <c r="V3250" i="1"/>
  <c r="V3251" i="1"/>
  <c r="V3252" i="1"/>
  <c r="V3253" i="1"/>
  <c r="V3254" i="1"/>
  <c r="V3255" i="1"/>
  <c r="V3256" i="1"/>
  <c r="V3257" i="1"/>
  <c r="V3258" i="1"/>
  <c r="V3259" i="1"/>
  <c r="V3260" i="1"/>
  <c r="V3261" i="1"/>
  <c r="V3262" i="1"/>
  <c r="V3263" i="1"/>
  <c r="V3264" i="1"/>
  <c r="V3265" i="1"/>
  <c r="V3266" i="1"/>
  <c r="V3267" i="1"/>
  <c r="V3268" i="1"/>
  <c r="V3269" i="1"/>
  <c r="V3270" i="1"/>
  <c r="V3271" i="1"/>
  <c r="V3272" i="1"/>
  <c r="V3273" i="1"/>
  <c r="V3274" i="1"/>
  <c r="V3275" i="1"/>
  <c r="V3276" i="1"/>
  <c r="V3277" i="1"/>
  <c r="V3278" i="1"/>
  <c r="V3279" i="1"/>
  <c r="V3280" i="1"/>
  <c r="V3281" i="1"/>
  <c r="V3282" i="1"/>
  <c r="V3283" i="1"/>
  <c r="V3284" i="1"/>
  <c r="V3285" i="1"/>
  <c r="V3286" i="1"/>
  <c r="V3287" i="1"/>
  <c r="V3288" i="1"/>
  <c r="V3289" i="1"/>
  <c r="V3290" i="1"/>
  <c r="V3291" i="1"/>
  <c r="V3292" i="1"/>
  <c r="V3293" i="1"/>
  <c r="V3294" i="1"/>
  <c r="V3295" i="1"/>
  <c r="V3296" i="1"/>
  <c r="V3297" i="1"/>
  <c r="V3298" i="1"/>
  <c r="V3299" i="1"/>
  <c r="V3300" i="1"/>
  <c r="V3301" i="1"/>
  <c r="V3302" i="1"/>
  <c r="V3303" i="1"/>
  <c r="V3304" i="1"/>
  <c r="V3305" i="1"/>
  <c r="V3306" i="1"/>
  <c r="V3307" i="1"/>
  <c r="V3308" i="1"/>
  <c r="V3309" i="1"/>
  <c r="V3310" i="1"/>
  <c r="V3311" i="1"/>
  <c r="V3312" i="1"/>
  <c r="V3313" i="1"/>
  <c r="V3314" i="1"/>
  <c r="V3315" i="1"/>
  <c r="V3316" i="1"/>
  <c r="V3317" i="1"/>
  <c r="V3318" i="1"/>
  <c r="V3319" i="1"/>
  <c r="V3320" i="1"/>
  <c r="V3321" i="1"/>
  <c r="V3322" i="1"/>
  <c r="V3323" i="1"/>
  <c r="V3324" i="1"/>
  <c r="V3325" i="1"/>
  <c r="V3326" i="1"/>
  <c r="V3327" i="1"/>
  <c r="V3328" i="1"/>
  <c r="V3329" i="1"/>
  <c r="V3330" i="1"/>
  <c r="V3331" i="1"/>
  <c r="V3332" i="1"/>
  <c r="V3333" i="1"/>
  <c r="V3334" i="1"/>
  <c r="V3335" i="1"/>
  <c r="V3336" i="1"/>
  <c r="V3337" i="1"/>
  <c r="V3338" i="1"/>
  <c r="V3339" i="1"/>
  <c r="V3340" i="1"/>
  <c r="V3341" i="1"/>
  <c r="V3342" i="1"/>
  <c r="V3343" i="1"/>
  <c r="V3344" i="1"/>
  <c r="V3345" i="1"/>
  <c r="V3346" i="1"/>
  <c r="V3347" i="1"/>
  <c r="V3348" i="1"/>
  <c r="V3349" i="1"/>
  <c r="V3350" i="1"/>
  <c r="V3351" i="1"/>
  <c r="V3352" i="1"/>
  <c r="V3353" i="1"/>
  <c r="V3354" i="1"/>
  <c r="V3355" i="1"/>
  <c r="V3356" i="1"/>
  <c r="V3357" i="1"/>
  <c r="V3358" i="1"/>
  <c r="V3359" i="1"/>
  <c r="V3360" i="1"/>
  <c r="V3361" i="1"/>
  <c r="V3362" i="1"/>
  <c r="V3363" i="1"/>
  <c r="V3364" i="1"/>
  <c r="V3365" i="1"/>
  <c r="V3366" i="1"/>
  <c r="V3367" i="1"/>
  <c r="V3368" i="1"/>
  <c r="V3369" i="1"/>
  <c r="V3370" i="1"/>
  <c r="V3371" i="1"/>
  <c r="V3372" i="1"/>
  <c r="V3373" i="1"/>
  <c r="V3374" i="1"/>
  <c r="V3375" i="1"/>
  <c r="V3376" i="1"/>
  <c r="V3377" i="1"/>
  <c r="V3378" i="1"/>
  <c r="V3379" i="1"/>
  <c r="V3380" i="1"/>
  <c r="V3381" i="1"/>
  <c r="V3382" i="1"/>
  <c r="V3383" i="1"/>
  <c r="V3384" i="1"/>
  <c r="V3385" i="1"/>
  <c r="V3386" i="1"/>
  <c r="V3387" i="1"/>
  <c r="V3388" i="1"/>
  <c r="V3389" i="1"/>
  <c r="V3390" i="1"/>
  <c r="V3391" i="1"/>
  <c r="V3392" i="1"/>
  <c r="V3393" i="1"/>
  <c r="V3394" i="1"/>
  <c r="V3395" i="1"/>
  <c r="V3396" i="1"/>
  <c r="V3397" i="1"/>
  <c r="V3398" i="1"/>
  <c r="V3399" i="1"/>
  <c r="V3400" i="1"/>
  <c r="V3401" i="1"/>
  <c r="V3402" i="1"/>
  <c r="V3403" i="1"/>
  <c r="V3404" i="1"/>
  <c r="V3405" i="1"/>
  <c r="V3406" i="1"/>
  <c r="V3407" i="1"/>
  <c r="V3408" i="1"/>
  <c r="V3409" i="1"/>
  <c r="V3410" i="1"/>
  <c r="V3411" i="1"/>
  <c r="V3412" i="1"/>
  <c r="V3413" i="1"/>
  <c r="V3414" i="1"/>
  <c r="V3415" i="1"/>
  <c r="V3416" i="1"/>
  <c r="V3417" i="1"/>
  <c r="V3418" i="1"/>
  <c r="V3419" i="1"/>
  <c r="V3420" i="1"/>
  <c r="V3421" i="1"/>
  <c r="V3422" i="1"/>
  <c r="V3423" i="1"/>
  <c r="V3424" i="1"/>
  <c r="V3425" i="1"/>
  <c r="V3426" i="1"/>
  <c r="V3427" i="1"/>
  <c r="V3428" i="1"/>
  <c r="V3429" i="1"/>
  <c r="V3430" i="1"/>
  <c r="V3431" i="1"/>
  <c r="V3432" i="1"/>
  <c r="V3433" i="1"/>
  <c r="V3434" i="1"/>
  <c r="V3435" i="1"/>
  <c r="V3436" i="1"/>
  <c r="V3437" i="1"/>
  <c r="V3438" i="1"/>
  <c r="V3439" i="1"/>
  <c r="V3440" i="1"/>
  <c r="V3441" i="1"/>
  <c r="V3442" i="1"/>
  <c r="V3443" i="1"/>
  <c r="V3444" i="1"/>
  <c r="V3445" i="1"/>
  <c r="V3446" i="1"/>
  <c r="V3447" i="1"/>
  <c r="V3448" i="1"/>
  <c r="V3449" i="1"/>
  <c r="V3450" i="1"/>
  <c r="V3451" i="1"/>
  <c r="V3452" i="1"/>
  <c r="V3453" i="1"/>
  <c r="V3454" i="1"/>
  <c r="V3455" i="1"/>
  <c r="V3456" i="1"/>
  <c r="V3457" i="1"/>
  <c r="V3458" i="1"/>
  <c r="V3459" i="1"/>
  <c r="V3460" i="1"/>
  <c r="V3461" i="1"/>
  <c r="V3462" i="1"/>
  <c r="V3463" i="1"/>
  <c r="V3464" i="1"/>
  <c r="V3465" i="1"/>
  <c r="V3466" i="1"/>
  <c r="V3467" i="1"/>
  <c r="V3468" i="1"/>
  <c r="V3469" i="1"/>
  <c r="V3470" i="1"/>
  <c r="V3471" i="1"/>
  <c r="V3472" i="1"/>
  <c r="V3473" i="1"/>
  <c r="V3474" i="1"/>
  <c r="V3475" i="1"/>
  <c r="V3476" i="1"/>
  <c r="V3477" i="1"/>
  <c r="V3478" i="1"/>
  <c r="V3479" i="1"/>
  <c r="V3480" i="1"/>
  <c r="V3481" i="1"/>
  <c r="V3482" i="1"/>
  <c r="V3483" i="1"/>
  <c r="V3484" i="1"/>
  <c r="V3485" i="1"/>
  <c r="V3486" i="1"/>
  <c r="V3487" i="1"/>
  <c r="V3488" i="1"/>
  <c r="V3489" i="1"/>
  <c r="V3490" i="1"/>
  <c r="V3491" i="1"/>
  <c r="V3492" i="1"/>
  <c r="V3493" i="1"/>
  <c r="V3494" i="1"/>
  <c r="V3495" i="1"/>
  <c r="V3496" i="1"/>
  <c r="V3497" i="1"/>
  <c r="V3498" i="1"/>
  <c r="V3499" i="1"/>
  <c r="V3500" i="1"/>
  <c r="V3501" i="1"/>
  <c r="V3502" i="1"/>
  <c r="V3503" i="1"/>
  <c r="V3504" i="1"/>
  <c r="V3505" i="1"/>
  <c r="V3506" i="1"/>
  <c r="V3507" i="1"/>
  <c r="V3508" i="1"/>
  <c r="V3509" i="1"/>
  <c r="V3510" i="1"/>
  <c r="V3511" i="1"/>
  <c r="V3512" i="1"/>
  <c r="V3513" i="1"/>
  <c r="V3514" i="1"/>
  <c r="V3515" i="1"/>
  <c r="V3516" i="1"/>
  <c r="V3517" i="1"/>
  <c r="V3518" i="1"/>
  <c r="V3519" i="1"/>
  <c r="V3520" i="1"/>
  <c r="V3521" i="1"/>
  <c r="V3522" i="1"/>
  <c r="V3523" i="1"/>
  <c r="V3524" i="1"/>
  <c r="V3525" i="1"/>
  <c r="V3526" i="1"/>
  <c r="V3527" i="1"/>
  <c r="V3528" i="1"/>
  <c r="V3529" i="1"/>
  <c r="V3530" i="1"/>
  <c r="V3531" i="1"/>
  <c r="V3532" i="1"/>
  <c r="V3533" i="1"/>
  <c r="V3534" i="1"/>
  <c r="V3535" i="1"/>
  <c r="V3536" i="1"/>
  <c r="V3537" i="1"/>
  <c r="V3538" i="1"/>
  <c r="V3539" i="1"/>
  <c r="V3540" i="1"/>
  <c r="V3541" i="1"/>
  <c r="V3542" i="1"/>
  <c r="V3543" i="1"/>
  <c r="V3544" i="1"/>
  <c r="V3545" i="1"/>
  <c r="V3546" i="1"/>
  <c r="V3547" i="1"/>
  <c r="V3548" i="1"/>
  <c r="V3549" i="1"/>
  <c r="V3550" i="1"/>
  <c r="V3551" i="1"/>
  <c r="V3552" i="1"/>
  <c r="V3553" i="1"/>
  <c r="V3554" i="1"/>
  <c r="V3555" i="1"/>
  <c r="V3556" i="1"/>
  <c r="V3557" i="1"/>
  <c r="V3558" i="1"/>
  <c r="V3559" i="1"/>
  <c r="V3560" i="1"/>
  <c r="V3561" i="1"/>
  <c r="V3562" i="1"/>
  <c r="V3563" i="1"/>
  <c r="V3564" i="1"/>
  <c r="V3565" i="1"/>
  <c r="V3566" i="1"/>
  <c r="V3567" i="1"/>
  <c r="V3568" i="1"/>
  <c r="V3569" i="1"/>
  <c r="V3570" i="1"/>
  <c r="V3571" i="1"/>
  <c r="V3572" i="1"/>
  <c r="V3573" i="1"/>
  <c r="V3574" i="1"/>
  <c r="V3575" i="1"/>
  <c r="V3576" i="1"/>
  <c r="V3577" i="1"/>
  <c r="V3578" i="1"/>
  <c r="V3579" i="1"/>
  <c r="V3580" i="1"/>
  <c r="V3581" i="1"/>
  <c r="V3582" i="1"/>
  <c r="V3583" i="1"/>
  <c r="V3584" i="1"/>
  <c r="V3585" i="1"/>
  <c r="V3586" i="1"/>
  <c r="V3587" i="1"/>
  <c r="V3588" i="1"/>
  <c r="V3589" i="1"/>
  <c r="V3590" i="1"/>
  <c r="V3591" i="1"/>
  <c r="V3592" i="1"/>
  <c r="V3593" i="1"/>
  <c r="V3594" i="1"/>
  <c r="V3595" i="1"/>
  <c r="V3596" i="1"/>
  <c r="V3597" i="1"/>
  <c r="V3598" i="1"/>
  <c r="V3599" i="1"/>
  <c r="V3600" i="1"/>
  <c r="V3601" i="1"/>
  <c r="V3602" i="1"/>
  <c r="V3603" i="1"/>
  <c r="V3604" i="1"/>
  <c r="V3605" i="1"/>
  <c r="V3606" i="1"/>
  <c r="V3607" i="1"/>
  <c r="V3608" i="1"/>
  <c r="V3609" i="1"/>
  <c r="V3610" i="1"/>
  <c r="V3611" i="1"/>
  <c r="V3612" i="1"/>
  <c r="V3613" i="1"/>
  <c r="V3614" i="1"/>
  <c r="V3615" i="1"/>
  <c r="V3616" i="1"/>
  <c r="V3617" i="1"/>
  <c r="V3618" i="1"/>
  <c r="V3619" i="1"/>
  <c r="V3620" i="1"/>
  <c r="V3621" i="1"/>
  <c r="V3622" i="1"/>
  <c r="V3623" i="1"/>
  <c r="V3624" i="1"/>
  <c r="V3625" i="1"/>
  <c r="V3626" i="1"/>
  <c r="V3627" i="1"/>
  <c r="V3628" i="1"/>
  <c r="V3629" i="1"/>
  <c r="V3630" i="1"/>
  <c r="V3631" i="1"/>
  <c r="V3632" i="1"/>
  <c r="V3633" i="1"/>
  <c r="V3634" i="1"/>
  <c r="V3635" i="1"/>
  <c r="V3636" i="1"/>
  <c r="V3637" i="1"/>
  <c r="V3638" i="1"/>
  <c r="V3639" i="1"/>
  <c r="V3640" i="1"/>
  <c r="V3641" i="1"/>
  <c r="V3642" i="1"/>
  <c r="V3643" i="1"/>
  <c r="V3644" i="1"/>
  <c r="V3645" i="1"/>
  <c r="V3646" i="1"/>
  <c r="V3647" i="1"/>
  <c r="V3648" i="1"/>
  <c r="V3649" i="1"/>
  <c r="V3650" i="1"/>
  <c r="V3651" i="1"/>
  <c r="V3652" i="1"/>
  <c r="V3653" i="1"/>
  <c r="V3654" i="1"/>
  <c r="V3655" i="1"/>
  <c r="V3656" i="1"/>
  <c r="V3657" i="1"/>
  <c r="V3658" i="1"/>
  <c r="V3659" i="1"/>
  <c r="V3660" i="1"/>
  <c r="V3661" i="1"/>
  <c r="V3662" i="1"/>
  <c r="V3663" i="1"/>
  <c r="V3664" i="1"/>
  <c r="V3665" i="1"/>
  <c r="V3666" i="1"/>
  <c r="V3667" i="1"/>
  <c r="V3668" i="1"/>
  <c r="V3669" i="1"/>
  <c r="V3670" i="1"/>
  <c r="V3671" i="1"/>
  <c r="V3672" i="1"/>
  <c r="V3673" i="1"/>
  <c r="V3674" i="1"/>
  <c r="V3675" i="1"/>
  <c r="V3676" i="1"/>
  <c r="V3677" i="1"/>
  <c r="V3678" i="1"/>
  <c r="V3679" i="1"/>
  <c r="V3680" i="1"/>
  <c r="V3681" i="1"/>
  <c r="V3682" i="1"/>
  <c r="V3683" i="1"/>
  <c r="V3684" i="1"/>
  <c r="V3685" i="1"/>
  <c r="V3686" i="1"/>
  <c r="V3687" i="1"/>
  <c r="V3688" i="1"/>
  <c r="V3689" i="1"/>
  <c r="V3690" i="1"/>
  <c r="V3691" i="1"/>
  <c r="V3692" i="1"/>
  <c r="V3693" i="1"/>
  <c r="V3694" i="1"/>
  <c r="V3695" i="1"/>
  <c r="V3696" i="1"/>
  <c r="V3697" i="1"/>
  <c r="V3698" i="1"/>
  <c r="V3699" i="1"/>
  <c r="V3700" i="1"/>
  <c r="V3701" i="1"/>
  <c r="V3702" i="1"/>
  <c r="V3703" i="1"/>
  <c r="V3704" i="1"/>
  <c r="V3705" i="1"/>
  <c r="V3706" i="1"/>
  <c r="V3707" i="1"/>
  <c r="V3708" i="1"/>
  <c r="V3709" i="1"/>
  <c r="V3710" i="1"/>
  <c r="V3711" i="1"/>
  <c r="V3712" i="1"/>
  <c r="V3713" i="1"/>
  <c r="V3714" i="1"/>
  <c r="V3715" i="1"/>
  <c r="V3716" i="1"/>
  <c r="V3717" i="1"/>
  <c r="V3718" i="1"/>
  <c r="V3719" i="1"/>
  <c r="V3720" i="1"/>
  <c r="V3721" i="1"/>
  <c r="V3722" i="1"/>
  <c r="V3723" i="1"/>
  <c r="V3724" i="1"/>
  <c r="V3725" i="1"/>
  <c r="V3726" i="1"/>
  <c r="V3727" i="1"/>
  <c r="V3728" i="1"/>
  <c r="V3729" i="1"/>
  <c r="V3730" i="1"/>
  <c r="V3731" i="1"/>
  <c r="V3732" i="1"/>
  <c r="V3733" i="1"/>
  <c r="V3734" i="1"/>
  <c r="V3735" i="1"/>
  <c r="V3736" i="1"/>
  <c r="V3737" i="1"/>
  <c r="V3738" i="1"/>
  <c r="V3739" i="1"/>
  <c r="V3740" i="1"/>
  <c r="V3741" i="1"/>
  <c r="V3742" i="1"/>
  <c r="V3743" i="1"/>
  <c r="V3744" i="1"/>
  <c r="V3745" i="1"/>
  <c r="V3746" i="1"/>
  <c r="V3747" i="1"/>
  <c r="V3748" i="1"/>
  <c r="V3749" i="1"/>
  <c r="V3750" i="1"/>
  <c r="V3751" i="1"/>
  <c r="V3752" i="1"/>
  <c r="V3753" i="1"/>
  <c r="V3754" i="1"/>
  <c r="V3755" i="1"/>
  <c r="V3756" i="1"/>
  <c r="V3757" i="1"/>
  <c r="V3758" i="1"/>
  <c r="V3759" i="1"/>
  <c r="V3760" i="1"/>
  <c r="V3761" i="1"/>
  <c r="V3762" i="1"/>
  <c r="V3763" i="1"/>
  <c r="V3764" i="1"/>
  <c r="V3765" i="1"/>
  <c r="V3766" i="1"/>
  <c r="V3767" i="1"/>
  <c r="V3768" i="1"/>
  <c r="V3769" i="1"/>
  <c r="V3770" i="1"/>
  <c r="V3771" i="1"/>
  <c r="V3772" i="1"/>
  <c r="V3773" i="1"/>
  <c r="V3774" i="1"/>
  <c r="V3775" i="1"/>
  <c r="V3776" i="1"/>
  <c r="V3777" i="1"/>
  <c r="V3778" i="1"/>
  <c r="V3779" i="1"/>
  <c r="V3780" i="1"/>
  <c r="V3781" i="1"/>
  <c r="V3782" i="1"/>
  <c r="V3783" i="1"/>
  <c r="V3784" i="1"/>
  <c r="V3785" i="1"/>
  <c r="V3786" i="1"/>
  <c r="V3787" i="1"/>
  <c r="V3788" i="1"/>
  <c r="V3789" i="1"/>
  <c r="V3790" i="1"/>
  <c r="V3791" i="1"/>
  <c r="V3792" i="1"/>
  <c r="V3793" i="1"/>
  <c r="V3794" i="1"/>
  <c r="V3795" i="1"/>
  <c r="V3796" i="1"/>
  <c r="V3797" i="1"/>
  <c r="V3798" i="1"/>
  <c r="V3799" i="1"/>
  <c r="V3800" i="1"/>
  <c r="V3801" i="1"/>
  <c r="V3802" i="1"/>
  <c r="V3803" i="1"/>
  <c r="V3804" i="1"/>
  <c r="V3805" i="1"/>
  <c r="V3806" i="1"/>
  <c r="V3807" i="1"/>
  <c r="V3808" i="1"/>
  <c r="V3809" i="1"/>
  <c r="V3810" i="1"/>
  <c r="V3811" i="1"/>
  <c r="V3812" i="1"/>
  <c r="V3813" i="1"/>
  <c r="V3814" i="1"/>
  <c r="V3815" i="1"/>
  <c r="V3816" i="1"/>
  <c r="V3817" i="1"/>
  <c r="V3818" i="1"/>
  <c r="V3819" i="1"/>
  <c r="V3820" i="1"/>
  <c r="V3821" i="1"/>
  <c r="V3822" i="1"/>
  <c r="V3823" i="1"/>
  <c r="V3824" i="1"/>
  <c r="V3825" i="1"/>
  <c r="V3826" i="1"/>
  <c r="V3827" i="1"/>
  <c r="V3828" i="1"/>
  <c r="V3829" i="1"/>
  <c r="V3830" i="1"/>
  <c r="V3831" i="1"/>
  <c r="V3832" i="1"/>
  <c r="V3833" i="1"/>
  <c r="V3834" i="1"/>
  <c r="V3835" i="1"/>
  <c r="V3836" i="1"/>
  <c r="V3837" i="1"/>
  <c r="V3838" i="1"/>
  <c r="V3839" i="1"/>
  <c r="V3840" i="1"/>
  <c r="V3841" i="1"/>
  <c r="V3842" i="1"/>
  <c r="V3843" i="1"/>
  <c r="V3844" i="1"/>
  <c r="V3845" i="1"/>
  <c r="V3846" i="1"/>
  <c r="V3847" i="1"/>
  <c r="V3848" i="1"/>
  <c r="V3849" i="1"/>
  <c r="V3850" i="1"/>
  <c r="V3851" i="1"/>
  <c r="V3852" i="1"/>
  <c r="V3853" i="1"/>
  <c r="V3854" i="1"/>
  <c r="V3855" i="1"/>
  <c r="V3856" i="1"/>
  <c r="V3857" i="1"/>
  <c r="V3858" i="1"/>
  <c r="V3859" i="1"/>
  <c r="V3860" i="1"/>
  <c r="V3861" i="1"/>
  <c r="V3862" i="1"/>
  <c r="V3863" i="1"/>
  <c r="V3864" i="1"/>
  <c r="V3865" i="1"/>
  <c r="V3866" i="1"/>
  <c r="V3867" i="1"/>
  <c r="V3868" i="1"/>
  <c r="V3869" i="1"/>
  <c r="V3870" i="1"/>
  <c r="V3871" i="1"/>
  <c r="V3872" i="1"/>
  <c r="V3873" i="1"/>
  <c r="V3874" i="1"/>
  <c r="V3875" i="1"/>
  <c r="V3876" i="1"/>
  <c r="V3877" i="1"/>
  <c r="V3878" i="1"/>
  <c r="V3879" i="1"/>
  <c r="V3880" i="1"/>
  <c r="V3881" i="1"/>
  <c r="V3882" i="1"/>
  <c r="V3883" i="1"/>
  <c r="V3884" i="1"/>
  <c r="V3885" i="1"/>
  <c r="V3886" i="1"/>
  <c r="V3887" i="1"/>
  <c r="V3888" i="1"/>
  <c r="V3889" i="1"/>
  <c r="V3890" i="1"/>
  <c r="V3891" i="1"/>
  <c r="V3892" i="1"/>
  <c r="V3893" i="1"/>
  <c r="V3894" i="1"/>
  <c r="V3895" i="1"/>
  <c r="V3896" i="1"/>
  <c r="V3897" i="1"/>
  <c r="V3898" i="1"/>
  <c r="V3899" i="1"/>
  <c r="V3900" i="1"/>
  <c r="V3901" i="1"/>
  <c r="V3902" i="1"/>
  <c r="V3903" i="1"/>
  <c r="V3904" i="1"/>
  <c r="V3905" i="1"/>
  <c r="V3906" i="1"/>
  <c r="V3907" i="1"/>
  <c r="V3908" i="1"/>
  <c r="V3909" i="1"/>
  <c r="V3910" i="1"/>
  <c r="V3911" i="1"/>
  <c r="V3912" i="1"/>
  <c r="V3913" i="1"/>
  <c r="V3914" i="1"/>
  <c r="V3915" i="1"/>
  <c r="V3916" i="1"/>
  <c r="V3917" i="1"/>
  <c r="V3918" i="1"/>
  <c r="V3919" i="1"/>
  <c r="V3920" i="1"/>
  <c r="V3921" i="1"/>
  <c r="V3922" i="1"/>
  <c r="V3923" i="1"/>
  <c r="V3924" i="1"/>
  <c r="V3925" i="1"/>
  <c r="V3926" i="1"/>
  <c r="V3927" i="1"/>
  <c r="V3928" i="1"/>
  <c r="V3929" i="1"/>
  <c r="V3930" i="1"/>
  <c r="V3931" i="1"/>
  <c r="V3932" i="1"/>
  <c r="V3933" i="1"/>
  <c r="V3934" i="1"/>
  <c r="V3935" i="1"/>
  <c r="V3936" i="1"/>
  <c r="V3937" i="1"/>
  <c r="V3938" i="1"/>
  <c r="V3939" i="1"/>
  <c r="V3940" i="1"/>
  <c r="V3941" i="1"/>
  <c r="V3942" i="1"/>
  <c r="V3943" i="1"/>
  <c r="V3944" i="1"/>
  <c r="V3945" i="1"/>
  <c r="V3946" i="1"/>
  <c r="V3947" i="1"/>
  <c r="V3948" i="1"/>
  <c r="V3949" i="1"/>
  <c r="V3950" i="1"/>
  <c r="V3951" i="1"/>
  <c r="V3952" i="1"/>
  <c r="V3953" i="1"/>
  <c r="V3954" i="1"/>
  <c r="V3955" i="1"/>
  <c r="V3956" i="1"/>
  <c r="V3957" i="1"/>
  <c r="V3958" i="1"/>
  <c r="V3959" i="1"/>
  <c r="V3960" i="1"/>
  <c r="V3961" i="1"/>
  <c r="V3962" i="1"/>
  <c r="V3963" i="1"/>
  <c r="V3964" i="1"/>
  <c r="V3965" i="1"/>
  <c r="V3966" i="1"/>
  <c r="V3967" i="1"/>
  <c r="V3968" i="1"/>
  <c r="V3969" i="1"/>
  <c r="V3970" i="1"/>
  <c r="V3971" i="1"/>
  <c r="V3972" i="1"/>
  <c r="V3973" i="1"/>
  <c r="V3974" i="1"/>
  <c r="V3975" i="1"/>
  <c r="V3976" i="1"/>
  <c r="V3977" i="1"/>
  <c r="V3978" i="1"/>
  <c r="V3979" i="1"/>
  <c r="V3980" i="1"/>
  <c r="V3981" i="1"/>
  <c r="V3982" i="1"/>
  <c r="V3983" i="1"/>
  <c r="V3984" i="1"/>
  <c r="V3985" i="1"/>
  <c r="V3986" i="1"/>
  <c r="V3987" i="1"/>
  <c r="V3988" i="1"/>
  <c r="V3989" i="1"/>
  <c r="V3990" i="1"/>
  <c r="V3991" i="1"/>
  <c r="V3992" i="1"/>
  <c r="V3993" i="1"/>
  <c r="V3994" i="1"/>
  <c r="V3995" i="1"/>
  <c r="V3996" i="1"/>
  <c r="V3997" i="1"/>
  <c r="V3998" i="1"/>
  <c r="V3999" i="1"/>
  <c r="V4000" i="1"/>
  <c r="V4001" i="1"/>
  <c r="V4002" i="1"/>
  <c r="V4003" i="1"/>
  <c r="V4004" i="1"/>
  <c r="V4005" i="1"/>
  <c r="V4006" i="1"/>
  <c r="V4007" i="1"/>
  <c r="V4008" i="1"/>
  <c r="V4009" i="1"/>
  <c r="V4010" i="1"/>
  <c r="V4011" i="1"/>
  <c r="V4012" i="1"/>
  <c r="V4013" i="1"/>
  <c r="V4014" i="1"/>
  <c r="V4015" i="1"/>
  <c r="V4016" i="1"/>
  <c r="V4017" i="1"/>
  <c r="V4018" i="1"/>
  <c r="V4019" i="1"/>
  <c r="V4020" i="1"/>
  <c r="V4021" i="1"/>
  <c r="V4022" i="1"/>
  <c r="V4023" i="1"/>
  <c r="V4024" i="1"/>
  <c r="V4025" i="1"/>
  <c r="V4026" i="1"/>
  <c r="V4027" i="1"/>
  <c r="V4028" i="1"/>
  <c r="V4029" i="1"/>
  <c r="V4030" i="1"/>
  <c r="V4031" i="1"/>
  <c r="V4032" i="1"/>
  <c r="V4033" i="1"/>
  <c r="V4034" i="1"/>
  <c r="V4035" i="1"/>
  <c r="V4036" i="1"/>
  <c r="V4037" i="1"/>
  <c r="V4038" i="1"/>
  <c r="V4039" i="1"/>
  <c r="V4040" i="1"/>
  <c r="V4041" i="1"/>
  <c r="V4042" i="1"/>
  <c r="V4043" i="1"/>
  <c r="V4044" i="1"/>
  <c r="V4045" i="1"/>
  <c r="V4046" i="1"/>
  <c r="V4047" i="1"/>
  <c r="V4048" i="1"/>
  <c r="V4049" i="1"/>
  <c r="V4050" i="1"/>
  <c r="V4051" i="1"/>
  <c r="V4052" i="1"/>
  <c r="V4053" i="1"/>
  <c r="V4054" i="1"/>
  <c r="V4055" i="1"/>
  <c r="V4056" i="1"/>
  <c r="V4057" i="1"/>
  <c r="V4058" i="1"/>
  <c r="V4059" i="1"/>
  <c r="V4060" i="1"/>
  <c r="V4061" i="1"/>
  <c r="V4062" i="1"/>
  <c r="V4063" i="1"/>
  <c r="V4064" i="1"/>
  <c r="V4065" i="1"/>
  <c r="V4066" i="1"/>
  <c r="V4067" i="1"/>
  <c r="V4068" i="1"/>
  <c r="V4069" i="1"/>
  <c r="V4070" i="1"/>
  <c r="V4071" i="1"/>
  <c r="V4072" i="1"/>
  <c r="V4073" i="1"/>
  <c r="V4074" i="1"/>
  <c r="V4075" i="1"/>
  <c r="V4076" i="1"/>
  <c r="V4077" i="1"/>
  <c r="V4078" i="1"/>
  <c r="V4079" i="1"/>
  <c r="V4080" i="1"/>
  <c r="V4081" i="1"/>
  <c r="V4082" i="1"/>
  <c r="V4083" i="1"/>
  <c r="V4084" i="1"/>
  <c r="V4085" i="1"/>
  <c r="V4086" i="1"/>
  <c r="V4087" i="1"/>
  <c r="V4088" i="1"/>
  <c r="V4089" i="1"/>
  <c r="V4090" i="1"/>
  <c r="V4091" i="1"/>
  <c r="V4092" i="1"/>
  <c r="V4093" i="1"/>
  <c r="V4094" i="1"/>
  <c r="V4095" i="1"/>
  <c r="V4096" i="1"/>
  <c r="V4097" i="1"/>
  <c r="V4098" i="1"/>
  <c r="V4099" i="1"/>
  <c r="V4100" i="1"/>
  <c r="V4101" i="1"/>
  <c r="V4102" i="1"/>
  <c r="V4103" i="1"/>
  <c r="V4104" i="1"/>
  <c r="V4105" i="1"/>
  <c r="V4106" i="1"/>
  <c r="V4107" i="1"/>
  <c r="V4108" i="1"/>
  <c r="V4109" i="1"/>
  <c r="V4110" i="1"/>
  <c r="V4111" i="1"/>
  <c r="V4112" i="1"/>
  <c r="V4113" i="1"/>
  <c r="V4114" i="1"/>
  <c r="V4115" i="1"/>
  <c r="V4116" i="1"/>
  <c r="V4117" i="1"/>
  <c r="V4118" i="1"/>
  <c r="V4119" i="1"/>
  <c r="V4120" i="1"/>
  <c r="V4121" i="1"/>
  <c r="V4122" i="1"/>
  <c r="V4123" i="1"/>
  <c r="V4124" i="1"/>
  <c r="V4125" i="1"/>
  <c r="V4126" i="1"/>
  <c r="V4127" i="1"/>
  <c r="V4128" i="1"/>
  <c r="V4129" i="1"/>
  <c r="V4130" i="1"/>
  <c r="V4131" i="1"/>
  <c r="V4132" i="1"/>
  <c r="V4133" i="1"/>
  <c r="V4134" i="1"/>
  <c r="V4135" i="1"/>
  <c r="V4136" i="1"/>
  <c r="V4137" i="1"/>
  <c r="V4138" i="1"/>
  <c r="V4139" i="1"/>
  <c r="V4140" i="1"/>
  <c r="V4141" i="1"/>
  <c r="V4142" i="1"/>
  <c r="V4143" i="1"/>
  <c r="V4144" i="1"/>
  <c r="V4145" i="1"/>
  <c r="V4146" i="1"/>
  <c r="V4147" i="1"/>
  <c r="V4148" i="1"/>
  <c r="V4149" i="1"/>
  <c r="V4150" i="1"/>
  <c r="V4151" i="1"/>
  <c r="V4152" i="1"/>
  <c r="V4153" i="1"/>
  <c r="V4154" i="1"/>
  <c r="V4155" i="1"/>
  <c r="V4156" i="1"/>
  <c r="V4157" i="1"/>
  <c r="V4158" i="1"/>
  <c r="V4159" i="1"/>
  <c r="V4160" i="1"/>
  <c r="V4161" i="1"/>
  <c r="V4162" i="1"/>
  <c r="V4163" i="1"/>
  <c r="V4164" i="1"/>
  <c r="V4165" i="1"/>
  <c r="V4166" i="1"/>
  <c r="V4167" i="1"/>
  <c r="V4168" i="1"/>
  <c r="V4169" i="1"/>
  <c r="V4170" i="1"/>
  <c r="V4171" i="1"/>
  <c r="V4172" i="1"/>
  <c r="V4173" i="1"/>
  <c r="V4174" i="1"/>
  <c r="V4175" i="1"/>
  <c r="V4176" i="1"/>
  <c r="V4177" i="1"/>
  <c r="V4178" i="1"/>
  <c r="V4179" i="1"/>
  <c r="V4180" i="1"/>
  <c r="V4181" i="1"/>
  <c r="V4182" i="1"/>
  <c r="V4183" i="1"/>
  <c r="V4184" i="1"/>
  <c r="V4185" i="1"/>
  <c r="V4186" i="1"/>
  <c r="V4187" i="1"/>
  <c r="V4188" i="1"/>
  <c r="V4189" i="1"/>
  <c r="V4190" i="1"/>
  <c r="V4191" i="1"/>
  <c r="V4192" i="1"/>
  <c r="V4193" i="1"/>
  <c r="V4194" i="1"/>
  <c r="V4195" i="1"/>
  <c r="V4196" i="1"/>
  <c r="V4197" i="1"/>
  <c r="V4198" i="1"/>
  <c r="V4199" i="1"/>
  <c r="V4200" i="1"/>
  <c r="V4201" i="1"/>
  <c r="V4202" i="1"/>
  <c r="V4203" i="1"/>
  <c r="V4204" i="1"/>
  <c r="V4205" i="1"/>
  <c r="V4206" i="1"/>
  <c r="V4207" i="1"/>
  <c r="V4208" i="1"/>
  <c r="V4209" i="1"/>
  <c r="V4210" i="1"/>
  <c r="V4211" i="1"/>
  <c r="V4212" i="1"/>
  <c r="V4213" i="1"/>
  <c r="V4214" i="1"/>
  <c r="V4215" i="1"/>
  <c r="V4216" i="1"/>
  <c r="V4217" i="1"/>
  <c r="V4218" i="1"/>
  <c r="V4219" i="1"/>
  <c r="V4220" i="1"/>
  <c r="V4221" i="1"/>
  <c r="V4222" i="1"/>
  <c r="V4223" i="1"/>
  <c r="V4224" i="1"/>
  <c r="V4225" i="1"/>
  <c r="V4226" i="1"/>
  <c r="V4227" i="1"/>
  <c r="V4228" i="1"/>
  <c r="V4229" i="1"/>
  <c r="V4230" i="1"/>
  <c r="V4231" i="1"/>
  <c r="V4232" i="1"/>
  <c r="V4233" i="1"/>
  <c r="V4234" i="1"/>
  <c r="V4235" i="1"/>
  <c r="V4236" i="1"/>
  <c r="V4237" i="1"/>
  <c r="V4238" i="1"/>
  <c r="V4239" i="1"/>
  <c r="V4240" i="1"/>
  <c r="V4241" i="1"/>
  <c r="V4242" i="1"/>
  <c r="V4243" i="1"/>
  <c r="V4244" i="1"/>
  <c r="V4245" i="1"/>
  <c r="V4246" i="1"/>
  <c r="V4247" i="1"/>
  <c r="V4248" i="1"/>
  <c r="V4249" i="1"/>
  <c r="V4250" i="1"/>
  <c r="V4251" i="1"/>
  <c r="V4252" i="1"/>
  <c r="V4253" i="1"/>
  <c r="V4254" i="1"/>
  <c r="V4255" i="1"/>
  <c r="V4256" i="1"/>
  <c r="V4257" i="1"/>
  <c r="V4258" i="1"/>
  <c r="V4259" i="1"/>
  <c r="V4260" i="1"/>
  <c r="V4261" i="1"/>
  <c r="V4262" i="1"/>
  <c r="V4263" i="1"/>
  <c r="V4264" i="1"/>
  <c r="V4265" i="1"/>
  <c r="V4266" i="1"/>
  <c r="V4267" i="1"/>
  <c r="V4268" i="1"/>
  <c r="V4269" i="1"/>
  <c r="V4270" i="1"/>
  <c r="V4271" i="1"/>
  <c r="V4272" i="1"/>
  <c r="V4273" i="1"/>
  <c r="V4274" i="1"/>
  <c r="V4275" i="1"/>
  <c r="V4276" i="1"/>
  <c r="V4277" i="1"/>
  <c r="V4278" i="1"/>
  <c r="V4279" i="1"/>
  <c r="V4280" i="1"/>
  <c r="V4281" i="1"/>
  <c r="V4282" i="1"/>
  <c r="V4283" i="1"/>
  <c r="V4284" i="1"/>
  <c r="V4285" i="1"/>
  <c r="V4286" i="1"/>
  <c r="V4287" i="1"/>
  <c r="V4288" i="1"/>
  <c r="V4289" i="1"/>
  <c r="V4290" i="1"/>
  <c r="V4291" i="1"/>
  <c r="V4292" i="1"/>
  <c r="V4293" i="1"/>
  <c r="V4294" i="1"/>
  <c r="V4295" i="1"/>
  <c r="V4296" i="1"/>
  <c r="V4297" i="1"/>
  <c r="V4298" i="1"/>
  <c r="V4299" i="1"/>
  <c r="V4300" i="1"/>
  <c r="V4301" i="1"/>
  <c r="V4302" i="1"/>
  <c r="V4303" i="1"/>
  <c r="V4304" i="1"/>
  <c r="V4305" i="1"/>
  <c r="V4306" i="1"/>
  <c r="V4307" i="1"/>
  <c r="V4308" i="1"/>
  <c r="V4309" i="1"/>
  <c r="V4310" i="1"/>
  <c r="V4311" i="1"/>
  <c r="V4312" i="1"/>
  <c r="V4313" i="1"/>
  <c r="V4314" i="1"/>
  <c r="V4315" i="1"/>
  <c r="V4316" i="1"/>
  <c r="V4317" i="1"/>
  <c r="V4318" i="1"/>
  <c r="V4319" i="1"/>
  <c r="V4320" i="1"/>
  <c r="V4321" i="1"/>
  <c r="V4322" i="1"/>
  <c r="V4323" i="1"/>
  <c r="V4324" i="1"/>
  <c r="V4325" i="1"/>
  <c r="V4326" i="1"/>
  <c r="V4327" i="1"/>
  <c r="V4328" i="1"/>
  <c r="V4329" i="1"/>
  <c r="V4330" i="1"/>
  <c r="V4331" i="1"/>
  <c r="V4332" i="1"/>
  <c r="V4333" i="1"/>
  <c r="V4334" i="1"/>
  <c r="V4335" i="1"/>
  <c r="V4336" i="1"/>
  <c r="V4337" i="1"/>
  <c r="V4338" i="1"/>
  <c r="V4339" i="1"/>
  <c r="V4340" i="1"/>
  <c r="V4341" i="1"/>
  <c r="V4342" i="1"/>
  <c r="V4343" i="1"/>
  <c r="V4344" i="1"/>
  <c r="V4345" i="1"/>
  <c r="V4346" i="1"/>
  <c r="V4347" i="1"/>
  <c r="V4348" i="1"/>
  <c r="V4349" i="1"/>
  <c r="V4350" i="1"/>
  <c r="V4351" i="1"/>
  <c r="V4352" i="1"/>
  <c r="V4353" i="1"/>
  <c r="V4354" i="1"/>
  <c r="V4355" i="1"/>
  <c r="V4356" i="1"/>
  <c r="V4357" i="1"/>
  <c r="V4358" i="1"/>
  <c r="V4359" i="1"/>
  <c r="V4360" i="1"/>
  <c r="V4361" i="1"/>
  <c r="V4362" i="1"/>
  <c r="V4363" i="1"/>
  <c r="V4364" i="1"/>
  <c r="V4365" i="1"/>
  <c r="V4366" i="1"/>
  <c r="V4367" i="1"/>
  <c r="V4368" i="1"/>
  <c r="V4369" i="1"/>
  <c r="V4370" i="1"/>
  <c r="V4371" i="1"/>
  <c r="V4372" i="1"/>
  <c r="V4373" i="1"/>
  <c r="V4374" i="1"/>
  <c r="V4375" i="1"/>
  <c r="V4376" i="1"/>
  <c r="V4377" i="1"/>
  <c r="V4378" i="1"/>
  <c r="V4379" i="1"/>
  <c r="V4380" i="1"/>
  <c r="V4381" i="1"/>
  <c r="V4382" i="1"/>
  <c r="V4383" i="1"/>
  <c r="V4384" i="1"/>
  <c r="V4385" i="1"/>
  <c r="V4386" i="1"/>
  <c r="V4387" i="1"/>
  <c r="V4388" i="1"/>
  <c r="V4389" i="1"/>
  <c r="V4390" i="1"/>
  <c r="V4391" i="1"/>
  <c r="V4392" i="1"/>
  <c r="V4393" i="1"/>
  <c r="V4394" i="1"/>
  <c r="V4395" i="1"/>
  <c r="V4396" i="1"/>
  <c r="V4397" i="1"/>
  <c r="V4398" i="1"/>
  <c r="V4399" i="1"/>
  <c r="V4400" i="1"/>
  <c r="V4401" i="1"/>
  <c r="V4402" i="1"/>
  <c r="V4403" i="1"/>
  <c r="V4404" i="1"/>
  <c r="V4405" i="1"/>
  <c r="V4406" i="1"/>
  <c r="V4407" i="1"/>
  <c r="V4408" i="1"/>
  <c r="V4409" i="1"/>
  <c r="V4410" i="1"/>
  <c r="V4411" i="1"/>
  <c r="V4412" i="1"/>
  <c r="V4413" i="1"/>
  <c r="V4414" i="1"/>
  <c r="V4415" i="1"/>
  <c r="V4416" i="1"/>
  <c r="V4417" i="1"/>
  <c r="V4418" i="1"/>
  <c r="V4419" i="1"/>
  <c r="V4420" i="1"/>
  <c r="V4421" i="1"/>
  <c r="V4422" i="1"/>
  <c r="V4423" i="1"/>
  <c r="V4424" i="1"/>
  <c r="V4425" i="1"/>
  <c r="V4426" i="1"/>
  <c r="V4427" i="1"/>
  <c r="V4428" i="1"/>
  <c r="V4429" i="1"/>
  <c r="V4430" i="1"/>
  <c r="V4431" i="1"/>
  <c r="V4432" i="1"/>
  <c r="V4433" i="1"/>
  <c r="V4434" i="1"/>
  <c r="V4435" i="1"/>
  <c r="V4436" i="1"/>
  <c r="V4437" i="1"/>
  <c r="V4438" i="1"/>
  <c r="V4439" i="1"/>
  <c r="V4440" i="1"/>
  <c r="V4441" i="1"/>
  <c r="V4442" i="1"/>
  <c r="V4443" i="1"/>
  <c r="V4444" i="1"/>
  <c r="V4445" i="1"/>
  <c r="V4446" i="1"/>
  <c r="V4447" i="1"/>
  <c r="V4448" i="1"/>
  <c r="V4449" i="1"/>
  <c r="V4450" i="1"/>
  <c r="V4451" i="1"/>
  <c r="V4452" i="1"/>
  <c r="V4453" i="1"/>
  <c r="V4454" i="1"/>
  <c r="V4455" i="1"/>
  <c r="V4456" i="1"/>
  <c r="V4457" i="1"/>
  <c r="V4458" i="1"/>
  <c r="V4459" i="1"/>
  <c r="V4460" i="1"/>
  <c r="V4461" i="1"/>
  <c r="V4462" i="1"/>
  <c r="V4463" i="1"/>
  <c r="V4464" i="1"/>
  <c r="V4465" i="1"/>
  <c r="V4466" i="1"/>
  <c r="V4467" i="1"/>
  <c r="V4468" i="1"/>
  <c r="V4469" i="1"/>
  <c r="V4470" i="1"/>
  <c r="V4471" i="1"/>
  <c r="V4472" i="1"/>
  <c r="V4473" i="1"/>
  <c r="V4474" i="1"/>
  <c r="V4475" i="1"/>
  <c r="V4476" i="1"/>
  <c r="V4477" i="1"/>
  <c r="V4478" i="1"/>
  <c r="V4479" i="1"/>
  <c r="V4480" i="1"/>
  <c r="V4481" i="1"/>
  <c r="V4482" i="1"/>
  <c r="V4483" i="1"/>
  <c r="V4484" i="1"/>
  <c r="V4485" i="1"/>
  <c r="V4486" i="1"/>
  <c r="V4487" i="1"/>
  <c r="V4488" i="1"/>
  <c r="V4489" i="1"/>
  <c r="V4490" i="1"/>
  <c r="V4491" i="1"/>
  <c r="V4492" i="1"/>
  <c r="V4493" i="1"/>
  <c r="V4494" i="1"/>
  <c r="V4495" i="1"/>
  <c r="V4496" i="1"/>
  <c r="V4497" i="1"/>
  <c r="V4498" i="1"/>
  <c r="V4499" i="1"/>
  <c r="V4500" i="1"/>
  <c r="V4501" i="1"/>
  <c r="V4502" i="1"/>
  <c r="V4503" i="1"/>
  <c r="V4504" i="1"/>
  <c r="V4505" i="1"/>
  <c r="V4506" i="1"/>
  <c r="V4507" i="1"/>
  <c r="V4508" i="1"/>
  <c r="V4509" i="1"/>
  <c r="V4510" i="1"/>
  <c r="V4511" i="1"/>
  <c r="V4512" i="1"/>
  <c r="V4513" i="1"/>
  <c r="V4514" i="1"/>
  <c r="V4515" i="1"/>
  <c r="V4516" i="1"/>
  <c r="V4517" i="1"/>
  <c r="V4518" i="1"/>
  <c r="V4519" i="1"/>
  <c r="V4520" i="1"/>
  <c r="V4521" i="1"/>
  <c r="V4522" i="1"/>
  <c r="V4523" i="1"/>
  <c r="V4524" i="1"/>
  <c r="V4525" i="1"/>
  <c r="V4526" i="1"/>
  <c r="V4527" i="1"/>
  <c r="V4528" i="1"/>
  <c r="V4529" i="1"/>
  <c r="V4530" i="1"/>
  <c r="V4531" i="1"/>
  <c r="V4532" i="1"/>
  <c r="V4533" i="1"/>
  <c r="V4534" i="1"/>
  <c r="V4535" i="1"/>
  <c r="V4536" i="1"/>
  <c r="V4537" i="1"/>
  <c r="V4538" i="1"/>
  <c r="V4539" i="1"/>
  <c r="V4540" i="1"/>
  <c r="V4541" i="1"/>
  <c r="V4542" i="1"/>
  <c r="V4543" i="1"/>
  <c r="V4544" i="1"/>
  <c r="V4545" i="1"/>
  <c r="V4546" i="1"/>
  <c r="V4547" i="1"/>
  <c r="V4548" i="1"/>
  <c r="V4549" i="1"/>
  <c r="V4550" i="1"/>
  <c r="V4551" i="1"/>
  <c r="V4552" i="1"/>
  <c r="V4553" i="1"/>
  <c r="V4554" i="1"/>
  <c r="V4555" i="1"/>
  <c r="V4556" i="1"/>
  <c r="V4557" i="1"/>
  <c r="V4558" i="1"/>
  <c r="V4559" i="1"/>
  <c r="V4560" i="1"/>
  <c r="V4561" i="1"/>
  <c r="V4562" i="1"/>
  <c r="V4563" i="1"/>
  <c r="V4564" i="1"/>
  <c r="V4565" i="1"/>
  <c r="V4566" i="1"/>
  <c r="V4567" i="1"/>
  <c r="V4568" i="1"/>
  <c r="V4569" i="1"/>
  <c r="V4570" i="1"/>
  <c r="V4571" i="1"/>
  <c r="V4572" i="1"/>
  <c r="V4573" i="1"/>
  <c r="V4574" i="1"/>
  <c r="V4575" i="1"/>
  <c r="V4576" i="1"/>
  <c r="V4577" i="1"/>
  <c r="V4578" i="1"/>
  <c r="V4579" i="1"/>
  <c r="V4580" i="1"/>
  <c r="V4581" i="1"/>
  <c r="V4582" i="1"/>
  <c r="V4583" i="1"/>
  <c r="V4584" i="1"/>
  <c r="V4585" i="1"/>
  <c r="V4586" i="1"/>
  <c r="V4587" i="1"/>
  <c r="V4588" i="1"/>
  <c r="V4589" i="1"/>
  <c r="V4590" i="1"/>
  <c r="V4591" i="1"/>
  <c r="V4592" i="1"/>
  <c r="V4593" i="1"/>
  <c r="V4594" i="1"/>
  <c r="V4595" i="1"/>
  <c r="V4596" i="1"/>
  <c r="V4597" i="1"/>
  <c r="V4598" i="1"/>
  <c r="V4599" i="1"/>
  <c r="V4600" i="1"/>
  <c r="V4601" i="1"/>
  <c r="V4602" i="1"/>
  <c r="V4603" i="1"/>
  <c r="V4604" i="1"/>
  <c r="V4605" i="1"/>
  <c r="V4606" i="1"/>
  <c r="V4607" i="1"/>
  <c r="V4608" i="1"/>
  <c r="V4609" i="1"/>
  <c r="V4610" i="1"/>
  <c r="V4611" i="1"/>
  <c r="V4612" i="1"/>
  <c r="V4613" i="1"/>
  <c r="V4614" i="1"/>
  <c r="V4615" i="1"/>
  <c r="V4616" i="1"/>
  <c r="V4617" i="1"/>
  <c r="V4618" i="1"/>
  <c r="V4619" i="1"/>
  <c r="V4620" i="1"/>
  <c r="V4621" i="1"/>
  <c r="V4622" i="1"/>
  <c r="V4623" i="1"/>
  <c r="V4624" i="1"/>
  <c r="V4625" i="1"/>
  <c r="V4626" i="1"/>
  <c r="V4627" i="1"/>
  <c r="V4628" i="1"/>
  <c r="V4629" i="1"/>
  <c r="V4630" i="1"/>
  <c r="V4631" i="1"/>
  <c r="V4632" i="1"/>
  <c r="V4633" i="1"/>
  <c r="V4634" i="1"/>
  <c r="V4635" i="1"/>
  <c r="V4636" i="1"/>
  <c r="V4637" i="1"/>
  <c r="V4638" i="1"/>
  <c r="V4639" i="1"/>
  <c r="V4640" i="1"/>
  <c r="V4641" i="1"/>
  <c r="V4642" i="1"/>
  <c r="V4643" i="1"/>
  <c r="V4644" i="1"/>
  <c r="V4645" i="1"/>
  <c r="V4646" i="1"/>
  <c r="V4647" i="1"/>
  <c r="V4648" i="1"/>
  <c r="V4649" i="1"/>
  <c r="V4650" i="1"/>
  <c r="V4651" i="1"/>
  <c r="V4652" i="1"/>
  <c r="V4653" i="1"/>
  <c r="V4654" i="1"/>
  <c r="V4655" i="1"/>
  <c r="V4656" i="1"/>
  <c r="V4657" i="1"/>
  <c r="V4658" i="1"/>
  <c r="V4659" i="1"/>
  <c r="V4660" i="1"/>
  <c r="V4661" i="1"/>
  <c r="V4662" i="1"/>
  <c r="V4663" i="1"/>
  <c r="V4664" i="1"/>
  <c r="V4665" i="1"/>
  <c r="V4666" i="1"/>
  <c r="V4667" i="1"/>
  <c r="V4668" i="1"/>
  <c r="V4669" i="1"/>
  <c r="V4670" i="1"/>
  <c r="V4671" i="1"/>
  <c r="V4672" i="1"/>
  <c r="V4673" i="1"/>
  <c r="V4674" i="1"/>
  <c r="V4675" i="1"/>
  <c r="V4676" i="1"/>
  <c r="V4677" i="1"/>
  <c r="V4678" i="1"/>
  <c r="V4679" i="1"/>
  <c r="V4680" i="1"/>
  <c r="V4681" i="1"/>
  <c r="V4682" i="1"/>
  <c r="V4683" i="1"/>
  <c r="V4684" i="1"/>
  <c r="V4685" i="1"/>
  <c r="V4686" i="1"/>
  <c r="V4687" i="1"/>
  <c r="V4688" i="1"/>
  <c r="V4689" i="1"/>
  <c r="V4690" i="1"/>
  <c r="V4691" i="1"/>
  <c r="V4692" i="1"/>
  <c r="V4693" i="1"/>
  <c r="V4694" i="1"/>
  <c r="V4695" i="1"/>
  <c r="V4696" i="1"/>
  <c r="V4697" i="1"/>
  <c r="V4698" i="1"/>
  <c r="V4699" i="1"/>
  <c r="V4700" i="1"/>
  <c r="V4701" i="1"/>
  <c r="V4702" i="1"/>
  <c r="V4703" i="1"/>
  <c r="V4704" i="1"/>
  <c r="V4705" i="1"/>
  <c r="V4706" i="1"/>
  <c r="V4707" i="1"/>
  <c r="V4708" i="1"/>
  <c r="V4709" i="1"/>
  <c r="V4710" i="1"/>
  <c r="V4711" i="1"/>
  <c r="V4712" i="1"/>
  <c r="V4713" i="1"/>
  <c r="V4714" i="1"/>
  <c r="V4715" i="1"/>
  <c r="V4716" i="1"/>
  <c r="V4717" i="1"/>
  <c r="V4718" i="1"/>
  <c r="V4719" i="1"/>
  <c r="V4720" i="1"/>
  <c r="V4721" i="1"/>
  <c r="V4722" i="1"/>
  <c r="V4723" i="1"/>
  <c r="V4724" i="1"/>
  <c r="V4725" i="1"/>
  <c r="V4726" i="1"/>
  <c r="V4727" i="1"/>
  <c r="V4728" i="1"/>
  <c r="V4729" i="1"/>
  <c r="V4730" i="1"/>
  <c r="V4731" i="1"/>
  <c r="V4732" i="1"/>
  <c r="V4733" i="1"/>
  <c r="V4734" i="1"/>
  <c r="V4735" i="1"/>
  <c r="V4736" i="1"/>
  <c r="V4737" i="1"/>
  <c r="V4738" i="1"/>
  <c r="V4739" i="1"/>
  <c r="V4740" i="1"/>
  <c r="V4741" i="1"/>
  <c r="V4742" i="1"/>
  <c r="V4743" i="1"/>
  <c r="V4744" i="1"/>
  <c r="V4745" i="1"/>
  <c r="V4746" i="1"/>
  <c r="V4747" i="1"/>
  <c r="V4748" i="1"/>
  <c r="V4749" i="1"/>
  <c r="V4750" i="1"/>
  <c r="V4751" i="1"/>
  <c r="V4752" i="1"/>
  <c r="V4753" i="1"/>
  <c r="V4754" i="1"/>
  <c r="V4755" i="1"/>
  <c r="V4756" i="1"/>
  <c r="V4757" i="1"/>
  <c r="V4758" i="1"/>
  <c r="V4759" i="1"/>
  <c r="V4760" i="1"/>
  <c r="V4761" i="1"/>
  <c r="V4762" i="1"/>
  <c r="V4763" i="1"/>
  <c r="V4764" i="1"/>
  <c r="V4765" i="1"/>
  <c r="V4766" i="1"/>
  <c r="V4767" i="1"/>
  <c r="V4768" i="1"/>
  <c r="V4769" i="1"/>
  <c r="V4770" i="1"/>
  <c r="V4771" i="1"/>
  <c r="V4772" i="1"/>
  <c r="V4773" i="1"/>
  <c r="V4774" i="1"/>
  <c r="V4775" i="1"/>
  <c r="V4776" i="1"/>
  <c r="V4777" i="1"/>
  <c r="V4778" i="1"/>
  <c r="V4779" i="1"/>
  <c r="V4780" i="1"/>
  <c r="V4781" i="1"/>
  <c r="V4782" i="1"/>
  <c r="V4783" i="1"/>
  <c r="V4784" i="1"/>
  <c r="V4785" i="1"/>
  <c r="V4786" i="1"/>
  <c r="V4787" i="1"/>
  <c r="V4788" i="1"/>
  <c r="V4789" i="1"/>
  <c r="V4790" i="1"/>
  <c r="V4791" i="1"/>
  <c r="V4792" i="1"/>
  <c r="V4793" i="1"/>
  <c r="V4794" i="1"/>
  <c r="V4795" i="1"/>
  <c r="V4796" i="1"/>
  <c r="V4797" i="1"/>
  <c r="V4798" i="1"/>
  <c r="V4799" i="1"/>
  <c r="V4800" i="1"/>
  <c r="V4801" i="1"/>
  <c r="V4802" i="1"/>
  <c r="V4803" i="1"/>
  <c r="V4804" i="1"/>
  <c r="V4805" i="1"/>
  <c r="V4806" i="1"/>
  <c r="V4807" i="1"/>
  <c r="V4808" i="1"/>
  <c r="V4809" i="1"/>
  <c r="V4810" i="1"/>
  <c r="V4811" i="1"/>
  <c r="V4812" i="1"/>
  <c r="V4813" i="1"/>
  <c r="V4814" i="1"/>
  <c r="V4815" i="1"/>
  <c r="V4816" i="1"/>
  <c r="V4817" i="1"/>
  <c r="V4818" i="1"/>
  <c r="V4819" i="1"/>
  <c r="V4820" i="1"/>
  <c r="V4821" i="1"/>
  <c r="V4822" i="1"/>
  <c r="V4823" i="1"/>
  <c r="V4824" i="1"/>
  <c r="V4825" i="1"/>
  <c r="V4826" i="1"/>
  <c r="V4827" i="1"/>
  <c r="V4828" i="1"/>
  <c r="V4829" i="1"/>
  <c r="V4830" i="1"/>
  <c r="V4831" i="1"/>
  <c r="V4832" i="1"/>
  <c r="V4833" i="1"/>
  <c r="V4834" i="1"/>
  <c r="V4835" i="1"/>
  <c r="V4836" i="1"/>
  <c r="V4837" i="1"/>
  <c r="V4838" i="1"/>
  <c r="V4839" i="1"/>
  <c r="V4840" i="1"/>
  <c r="V4841" i="1"/>
  <c r="V4842" i="1"/>
  <c r="V4843" i="1"/>
  <c r="V4844" i="1"/>
  <c r="V4845" i="1"/>
  <c r="V4846" i="1"/>
  <c r="V4847" i="1"/>
  <c r="V4848" i="1"/>
  <c r="V4849" i="1"/>
  <c r="V4850" i="1"/>
  <c r="V4851" i="1"/>
  <c r="V4852" i="1"/>
  <c r="V4853" i="1"/>
  <c r="V4854" i="1"/>
  <c r="V4855" i="1"/>
  <c r="V4856" i="1"/>
  <c r="V4857" i="1"/>
  <c r="V4858" i="1"/>
  <c r="V4859" i="1"/>
  <c r="V4860" i="1"/>
  <c r="V4861" i="1"/>
  <c r="V4862" i="1"/>
  <c r="V4863" i="1"/>
  <c r="V4864" i="1"/>
  <c r="V4865" i="1"/>
  <c r="V4866" i="1"/>
  <c r="V4867" i="1"/>
  <c r="V4868" i="1"/>
  <c r="V4869" i="1"/>
  <c r="V4870" i="1"/>
  <c r="V4871" i="1"/>
  <c r="V4872" i="1"/>
  <c r="V4873" i="1"/>
  <c r="V4874" i="1"/>
  <c r="V4875" i="1"/>
  <c r="V4876" i="1"/>
  <c r="V4877" i="1"/>
  <c r="V4878" i="1"/>
  <c r="V4879" i="1"/>
  <c r="V4880" i="1"/>
  <c r="V4881" i="1"/>
  <c r="V4882" i="1"/>
  <c r="V4883" i="1"/>
  <c r="V4884" i="1"/>
  <c r="V4885" i="1"/>
  <c r="V4886" i="1"/>
  <c r="V4887" i="1"/>
  <c r="V4888" i="1"/>
  <c r="V4889" i="1"/>
  <c r="V4890" i="1"/>
  <c r="V4891" i="1"/>
  <c r="V4892" i="1"/>
  <c r="V4893" i="1"/>
  <c r="V4894" i="1"/>
  <c r="V4895" i="1"/>
  <c r="V4896" i="1"/>
  <c r="V4897" i="1"/>
  <c r="V4898" i="1"/>
  <c r="V4899" i="1"/>
  <c r="V4900" i="1"/>
  <c r="V4901" i="1"/>
  <c r="V4902" i="1"/>
  <c r="V4903" i="1"/>
  <c r="V4904" i="1"/>
  <c r="V4905" i="1"/>
  <c r="V4906" i="1"/>
  <c r="V4907" i="1"/>
  <c r="V4908" i="1"/>
  <c r="V4909" i="1"/>
  <c r="V4910" i="1"/>
  <c r="V4911" i="1"/>
  <c r="V4912" i="1"/>
  <c r="V4913" i="1"/>
  <c r="V4914" i="1"/>
  <c r="V4915" i="1"/>
  <c r="V4916" i="1"/>
  <c r="V4917" i="1"/>
  <c r="V4918" i="1"/>
  <c r="V4919" i="1"/>
  <c r="V4920" i="1"/>
  <c r="V4921" i="1"/>
  <c r="V4922" i="1"/>
  <c r="V4923" i="1"/>
  <c r="V4924" i="1"/>
  <c r="V4925" i="1"/>
  <c r="V4926" i="1"/>
  <c r="V4927" i="1"/>
  <c r="V4928" i="1"/>
  <c r="V4929" i="1"/>
  <c r="V4930" i="1"/>
  <c r="V4931" i="1"/>
  <c r="V4932" i="1"/>
  <c r="V4933" i="1"/>
  <c r="V4934" i="1"/>
  <c r="V4935" i="1"/>
  <c r="V4936" i="1"/>
  <c r="V4937" i="1"/>
  <c r="V4938" i="1"/>
  <c r="V4939" i="1"/>
  <c r="V4940" i="1"/>
  <c r="V4941" i="1"/>
  <c r="V4942" i="1"/>
  <c r="V4943" i="1"/>
  <c r="V4944" i="1"/>
  <c r="V4945" i="1"/>
  <c r="V4946" i="1"/>
  <c r="V4947" i="1"/>
  <c r="V4948" i="1"/>
  <c r="V4949" i="1"/>
  <c r="V4950" i="1"/>
  <c r="V4951" i="1"/>
  <c r="V4952" i="1"/>
  <c r="V4953" i="1"/>
  <c r="V4954" i="1"/>
  <c r="V4955" i="1"/>
  <c r="V4956" i="1"/>
  <c r="V4957" i="1"/>
  <c r="V4958" i="1"/>
  <c r="V4959" i="1"/>
  <c r="E7" i="2" l="1"/>
  <c r="E4" i="2" l="1"/>
</calcChain>
</file>

<file path=xl/sharedStrings.xml><?xml version="1.0" encoding="utf-8"?>
<sst xmlns="http://schemas.openxmlformats.org/spreadsheetml/2006/main" count="35009" uniqueCount="6734">
  <si>
    <t>Deltacoronavirus</t>
  </si>
  <si>
    <t>Bulbul coronavirus HKU11</t>
  </si>
  <si>
    <t>Mud crab virus</t>
  </si>
  <si>
    <t>Slow bee paralysis virus</t>
  </si>
  <si>
    <t>Bovine rhinitis A virus</t>
  </si>
  <si>
    <t>Melon mild mottle virus</t>
  </si>
  <si>
    <t>Bacillarnavirus</t>
  </si>
  <si>
    <t>Chaetoceros tenuissimus RNA virus 01</t>
  </si>
  <si>
    <t>Rhizosolenia setigera RNA virus 01</t>
  </si>
  <si>
    <t>Labyrnavirus</t>
  </si>
  <si>
    <t>Aurantiochytrium single-stranded RNA virus 01</t>
  </si>
  <si>
    <t>Tepovirus</t>
  </si>
  <si>
    <t>Bombyx mori latent virus</t>
  </si>
  <si>
    <t>Poinsettia mosaic virus</t>
  </si>
  <si>
    <t>Blackberry virus S</t>
  </si>
  <si>
    <t>Grapevine Syrah virus 1</t>
  </si>
  <si>
    <t>Olive latent virus 3</t>
  </si>
  <si>
    <t>Chiltepin yellow mosaic virus</t>
  </si>
  <si>
    <t>Alphatetraviridae</t>
  </si>
  <si>
    <t>Alvernaviridae</t>
  </si>
  <si>
    <t>Dinornavirus</t>
  </si>
  <si>
    <t>Heterocapsa circularisquama RNA virus 01</t>
  </si>
  <si>
    <t>Torque teno mini virus 10</t>
  </si>
  <si>
    <t>Torque teno mini virus 11</t>
  </si>
  <si>
    <t>Torque teno mini virus 12</t>
  </si>
  <si>
    <t>Torque teno felis virus 2</t>
  </si>
  <si>
    <t>Torque teno midi virus 10</t>
  </si>
  <si>
    <t>Torque teno midi virus 11</t>
  </si>
  <si>
    <t>Torque teno midi virus 12</t>
  </si>
  <si>
    <t>Torque teno midi virus 13</t>
  </si>
  <si>
    <t>Torque teno midi virus 14</t>
  </si>
  <si>
    <t>Torque teno midi virus 15</t>
  </si>
  <si>
    <t>Torque teno midi virus 3</t>
  </si>
  <si>
    <t>Torque teno midi virus 4</t>
  </si>
  <si>
    <t>Torque teno midi virus 5</t>
  </si>
  <si>
    <t>Torque teno midi virus 6</t>
  </si>
  <si>
    <t>Torque teno midi virus 7</t>
  </si>
  <si>
    <t>Torque teno midi virus 8</t>
  </si>
  <si>
    <t>Torque teno midi virus 9</t>
  </si>
  <si>
    <t>Torque teno sus virus 1a</t>
  </si>
  <si>
    <t>Torque teno sus virus 1b</t>
  </si>
  <si>
    <t>Kappatorquevirus</t>
  </si>
  <si>
    <t>Lambdatorquevirus</t>
  </si>
  <si>
    <t>Torque teno zalophus virus 1</t>
  </si>
  <si>
    <t>Avastrovirus 1</t>
  </si>
  <si>
    <t>Avastrovirus 2</t>
  </si>
  <si>
    <t>Avastrovirus 3</t>
  </si>
  <si>
    <t>Mamastrovirus 1</t>
  </si>
  <si>
    <t>Mamastrovirus 10</t>
  </si>
  <si>
    <t>Mamastrovirus 11</t>
  </si>
  <si>
    <t>Mamastrovirus 12</t>
  </si>
  <si>
    <t>Mamastrovirus 13</t>
  </si>
  <si>
    <t>Mamastrovirus 14</t>
  </si>
  <si>
    <t>Mamastrovirus 15</t>
  </si>
  <si>
    <t>Mamastrovirus 16</t>
  </si>
  <si>
    <t>Mamastrovirus 17</t>
  </si>
  <si>
    <t>Mamastrovirus 18</t>
  </si>
  <si>
    <t>Mamastrovirus 19</t>
  </si>
  <si>
    <t>Mamastrovirus 2</t>
  </si>
  <si>
    <t>Mamastrovirus 3</t>
  </si>
  <si>
    <t>Mamastrovirus 4</t>
  </si>
  <si>
    <t>Mamastrovirus 5</t>
  </si>
  <si>
    <t>Mamastrovirus 6</t>
  </si>
  <si>
    <t>Mamastrovirus 7</t>
  </si>
  <si>
    <t>Mamastrovirus 8</t>
  </si>
  <si>
    <t>Mamastrovirus 9</t>
  </si>
  <si>
    <t>Bidnaviridae</t>
  </si>
  <si>
    <t>Bidensovirus</t>
  </si>
  <si>
    <t>Bombyx mori bidensovirus</t>
  </si>
  <si>
    <t>Gayfeather mild mottle virus</t>
  </si>
  <si>
    <t>Blackberry chlorotic ringspot virus</t>
  </si>
  <si>
    <t>Lilac leaf chlorosis virus</t>
  </si>
  <si>
    <t>Strawberry necrotic shock virus</t>
  </si>
  <si>
    <t>Carmotetraviridae</t>
  </si>
  <si>
    <t>Alphacarmotetravirus</t>
  </si>
  <si>
    <t>Banana streak VN virus</t>
  </si>
  <si>
    <t>Bougainvillea chlorotic vein banding virus</t>
  </si>
  <si>
    <t>Citrus yellow mosaic virus</t>
  </si>
  <si>
    <t>Dioscorea bacilliform AL virus</t>
  </si>
  <si>
    <t>Dioscorea bacilliform SN virus</t>
  </si>
  <si>
    <t>Grapevine vein clearing virus</t>
  </si>
  <si>
    <t>Pineapple bacilliform CO virus</t>
  </si>
  <si>
    <t>Pineapple bacilliform ER virus</t>
  </si>
  <si>
    <t>Sugarcane bacilliform MO virus</t>
  </si>
  <si>
    <t>Sweet potato pakakuy virus</t>
  </si>
  <si>
    <t>Lamium leaf distortion virus</t>
  </si>
  <si>
    <t>Solendovirus</t>
  </si>
  <si>
    <t>Sweet potato vein clearing virus</t>
  </si>
  <si>
    <t>Cestrum yellow leaf curling virus</t>
  </si>
  <si>
    <t>Clavaviridae</t>
  </si>
  <si>
    <t>Clavavirus</t>
  </si>
  <si>
    <t>Aeropyrum pernix bacilliform virus 1</t>
  </si>
  <si>
    <t>Raspberry leaf mottle virus</t>
  </si>
  <si>
    <t>Strawberry chlorotic fleck-associated virus</t>
  </si>
  <si>
    <t>Corchorus yellow vein virus</t>
  </si>
  <si>
    <t>Merremia mosaic virus</t>
  </si>
  <si>
    <t>Hytrosaviridae</t>
  </si>
  <si>
    <t>Glossinavirus</t>
  </si>
  <si>
    <t>Glossina hytrovirus</t>
  </si>
  <si>
    <t>Muscavirus</t>
  </si>
  <si>
    <t>Musca hytrovirus</t>
  </si>
  <si>
    <t>Megabirnaviridae</t>
  </si>
  <si>
    <t>Megabirnavirus</t>
  </si>
  <si>
    <t>Rosellinia necatrix megabirnavirus 1</t>
  </si>
  <si>
    <t>Faba bean necrotic stunt virus</t>
  </si>
  <si>
    <t>Pea necrotic yellow dwarf virus</t>
  </si>
  <si>
    <t>Alphapapillomavirus 1</t>
  </si>
  <si>
    <t>Alphapapillomavirus 10</t>
  </si>
  <si>
    <t>Alphapapillomavirus 11</t>
  </si>
  <si>
    <t>Alphapapillomavirus 12</t>
  </si>
  <si>
    <t>Alphapapillomavirus 13</t>
  </si>
  <si>
    <t>Alphapapillomavirus 14</t>
  </si>
  <si>
    <t>Alphapapillomavirus 2</t>
  </si>
  <si>
    <t>Alphapapillomavirus 3</t>
  </si>
  <si>
    <t>Alphapapillomavirus 4</t>
  </si>
  <si>
    <t>Alphapapillomavirus 5</t>
  </si>
  <si>
    <t>Alphapapillomavirus 6</t>
  </si>
  <si>
    <t>Alphapapillomavirus 7</t>
  </si>
  <si>
    <t>Alphapapillomavirus 8</t>
  </si>
  <si>
    <t>Alphapapillomavirus 9</t>
  </si>
  <si>
    <t>Betapapillomavirus 1</t>
  </si>
  <si>
    <t>Betapapillomavirus 2</t>
  </si>
  <si>
    <t>Betapapillomavirus 3</t>
  </si>
  <si>
    <t>Betapapillomavirus 4</t>
  </si>
  <si>
    <t>Betapapillomavirus 5</t>
  </si>
  <si>
    <t>Betapapillomavirus 6</t>
  </si>
  <si>
    <t>Chipapillomavirus</t>
  </si>
  <si>
    <t>Chipapillomavirus 1</t>
  </si>
  <si>
    <t>Chipapillomavirus 2</t>
  </si>
  <si>
    <t>Deltapapillomavirus 1</t>
  </si>
  <si>
    <t>Deltapapillomavirus 2</t>
  </si>
  <si>
    <t>Deltapapillomavirus 3</t>
  </si>
  <si>
    <t>Deltapapillomavirus 4</t>
  </si>
  <si>
    <t>Deltapapillomavirus 5</t>
  </si>
  <si>
    <t>Dyodeltapapillomavirus</t>
  </si>
  <si>
    <t>Dyodeltapapillomavirus 1</t>
  </si>
  <si>
    <t>Dyoepsilonpapillomavirus</t>
  </si>
  <si>
    <t>Dyoepsilonpapillomavirus 1</t>
  </si>
  <si>
    <t>Dyoetapapillomavirus</t>
  </si>
  <si>
    <t>Dyoetapapillomavirus 1</t>
  </si>
  <si>
    <t>Dyoiotapapillomavirus</t>
  </si>
  <si>
    <t>Dyoiotapapillomavirus 1</t>
  </si>
  <si>
    <t>Dyothetapapillomavirus</t>
  </si>
  <si>
    <t>Dyothetapapillomavirus 1</t>
  </si>
  <si>
    <t>Dyozetapapillomavirus</t>
  </si>
  <si>
    <t>Dyozetapapillomavirus 1</t>
  </si>
  <si>
    <t>Epsilonpapillomavirus 1</t>
  </si>
  <si>
    <t>Etapapillomavirus 1</t>
  </si>
  <si>
    <t>Gammapapillomavirus 1</t>
  </si>
  <si>
    <t>Gammapapillomavirus 10</t>
  </si>
  <si>
    <t>Gammapapillomavirus 2</t>
  </si>
  <si>
    <t>Gammapapillomavirus 3</t>
  </si>
  <si>
    <t>Gammapapillomavirus 4</t>
  </si>
  <si>
    <t>Gammapapillomavirus 5</t>
  </si>
  <si>
    <t>Gammapapillomavirus 6</t>
  </si>
  <si>
    <t>Gammapapillomavirus 7</t>
  </si>
  <si>
    <t>Gammapapillomavirus 8</t>
  </si>
  <si>
    <t>Gammapapillomavirus 9</t>
  </si>
  <si>
    <t>Iotapapillomavirus 1</t>
  </si>
  <si>
    <t>Kappapapillomavirus 1</t>
  </si>
  <si>
    <t>Kappapapillomavirus 2</t>
  </si>
  <si>
    <t>Lambdapapillomavirus 1</t>
  </si>
  <si>
    <t>Lambdapapillomavirus 2</t>
  </si>
  <si>
    <t>Lambdapapillomavirus 3</t>
  </si>
  <si>
    <t>Lambdapapillomavirus 4</t>
  </si>
  <si>
    <t>Mupapillomavirus 1</t>
  </si>
  <si>
    <t>Mupapillomavirus 2</t>
  </si>
  <si>
    <t>Nupapillomavirus 1</t>
  </si>
  <si>
    <t>Omegapapillomavirus</t>
  </si>
  <si>
    <t>Omegapapillomavirus 1</t>
  </si>
  <si>
    <t>Omikronpapillomavirus 1</t>
  </si>
  <si>
    <t>Phipapillomavirus</t>
  </si>
  <si>
    <t>Phipapillomavirus 1</t>
  </si>
  <si>
    <t>Pipapillomavirus 1</t>
  </si>
  <si>
    <t>Pipapillomavirus 2</t>
  </si>
  <si>
    <t>Psipapillomavirus</t>
  </si>
  <si>
    <t>Psipapillomavirus 1</t>
  </si>
  <si>
    <t>Rhopapillomavirus</t>
  </si>
  <si>
    <t>Rhopapillomavirus 1</t>
  </si>
  <si>
    <t>Sigmapapillomavirus</t>
  </si>
  <si>
    <t>Sigmapapillomavirus 1</t>
  </si>
  <si>
    <t>Taupapillomavirus</t>
  </si>
  <si>
    <t>Taupapillomavirus 1</t>
  </si>
  <si>
    <t>Thetapapillomavirus 1</t>
  </si>
  <si>
    <t>Upsilonpapillomavirus</t>
  </si>
  <si>
    <t>Upsilonpapillomavirus 1</t>
  </si>
  <si>
    <t>Upsilonpapillomavirus 2</t>
  </si>
  <si>
    <t>Xipapillomavirus 1</t>
  </si>
  <si>
    <t>Zetapapillomavirus 1</t>
  </si>
  <si>
    <t>Permutotetraviridae</t>
  </si>
  <si>
    <t>Alphapermutotetravirus</t>
  </si>
  <si>
    <t>Acanthocystis turfacea chlorella virus 1</t>
  </si>
  <si>
    <t>Ostreococcus tauri virus OtV5</t>
  </si>
  <si>
    <t>Pepper chat fruit viroid</t>
  </si>
  <si>
    <t>Ugandan cassava brown streak virus</t>
  </si>
  <si>
    <t>Poacevirus</t>
  </si>
  <si>
    <t>Triticum mosaic virus</t>
  </si>
  <si>
    <t>Sunflower chlorotic mottle virus</t>
  </si>
  <si>
    <t>Sweet potato virus C</t>
  </si>
  <si>
    <t>Yambean mosaic virus</t>
  </si>
  <si>
    <t>Mule deerpox virus</t>
  </si>
  <si>
    <t>Crocodylidpoxvirus</t>
  </si>
  <si>
    <t>Nile crocodilepox virus</t>
  </si>
  <si>
    <t>Skunkpox virus</t>
  </si>
  <si>
    <t>Squirrelpox virus</t>
  </si>
  <si>
    <t>Calibrachoa mottle virus</t>
  </si>
  <si>
    <t>Honeysuckle ringspot virus</t>
  </si>
  <si>
    <t>Soybean yellow mottle mosaic virus</t>
  </si>
  <si>
    <t>Cocksfoot mild mosaic virus</t>
  </si>
  <si>
    <t>Trichomonasvirus</t>
  </si>
  <si>
    <t>Trichomonas vaginalis virus 1</t>
  </si>
  <si>
    <t>Trichomonas vaginalis virus 2</t>
  </si>
  <si>
    <t>Trichomonas vaginalis virus 3</t>
  </si>
  <si>
    <t>Dinodnavirus</t>
  </si>
  <si>
    <t>Heterocapsa circularisquama DNA virus 01</t>
  </si>
  <si>
    <t>Imperata yellow mottle virus</t>
  </si>
  <si>
    <t>Japanese soil-borne wheat mosaic virus</t>
  </si>
  <si>
    <t>Strawberry pseudo mild yellow edge virus</t>
  </si>
  <si>
    <t>Sweet potato chlorotic fleck virus</t>
  </si>
  <si>
    <t>Verbena latent virus</t>
  </si>
  <si>
    <t>Citrivirus</t>
  </si>
  <si>
    <t>Citrus leaf blotch virus</t>
  </si>
  <si>
    <t>Foveavirus</t>
  </si>
  <si>
    <t>Apple stem pitting virus</t>
  </si>
  <si>
    <t>Apricot latent virus</t>
  </si>
  <si>
    <t>Parietaria mottle virus</t>
  </si>
  <si>
    <t>Prune dwarf virus</t>
  </si>
  <si>
    <t>Prunus necrotic ringspot virus</t>
  </si>
  <si>
    <t>Rotavirus</t>
  </si>
  <si>
    <t>Alstroemeria virus X</t>
  </si>
  <si>
    <t>Alternanthera mosaic virus</t>
  </si>
  <si>
    <t>Asparagus virus 3</t>
  </si>
  <si>
    <t>Bamboo mosaic virus</t>
  </si>
  <si>
    <t>Cactus virus X</t>
  </si>
  <si>
    <t>Cassava common mosaic virus</t>
  </si>
  <si>
    <t>Cassava virus X</t>
  </si>
  <si>
    <t>Clover yellow mosaic virus</t>
  </si>
  <si>
    <t>Cymbidium mosaic virus</t>
  </si>
  <si>
    <t>Foxtail mosaic virus</t>
  </si>
  <si>
    <t>Rice ragged stunt virus</t>
  </si>
  <si>
    <t>Phytoreovirus</t>
  </si>
  <si>
    <t>Avian carcinoma Mill Hill virus 2</t>
  </si>
  <si>
    <t>Avian myeloblastosis virus</t>
  </si>
  <si>
    <t>Avian myelocytomatosis virus 29</t>
  </si>
  <si>
    <t>Avian sarcoma virus CT10</t>
  </si>
  <si>
    <t>Scrophularia mottle virus</t>
  </si>
  <si>
    <t>Sulfolobus newzealandicus droplet-shaped virus</t>
  </si>
  <si>
    <t>Hepadnaviridae</t>
  </si>
  <si>
    <t>Sweet potato mild speckling virus</t>
  </si>
  <si>
    <t>Sweet potato virus 2</t>
  </si>
  <si>
    <t>Sweet potato virus G</t>
  </si>
  <si>
    <t>Telfairia mosaic virus</t>
  </si>
  <si>
    <t>Thunberg fritillary mosaic virus</t>
  </si>
  <si>
    <t>Tobacco etch virus</t>
  </si>
  <si>
    <t>Woolly monkey hepatitis B virus</t>
  </si>
  <si>
    <t>Hypoviridae</t>
  </si>
  <si>
    <t>Hypovirus</t>
  </si>
  <si>
    <t>Cryphonectria hypovirus 1</t>
  </si>
  <si>
    <t>Cryphonectria hypovirus 2</t>
  </si>
  <si>
    <t>Cryphonectria hypovirus 3</t>
  </si>
  <si>
    <t>Hordeivirus</t>
  </si>
  <si>
    <t>Anthoxanthum latent blanching virus</t>
  </si>
  <si>
    <t>Barley stripe mosaic virus</t>
  </si>
  <si>
    <t>Lychnis ringspot virus</t>
  </si>
  <si>
    <t>Poa semilatent virus</t>
  </si>
  <si>
    <t>Idaeovirus</t>
  </si>
  <si>
    <t>Raspberry bushy dwarf virus</t>
  </si>
  <si>
    <t>Ourmiavirus</t>
  </si>
  <si>
    <t>Cassava virus C</t>
  </si>
  <si>
    <t>Epirus cherry virus</t>
  </si>
  <si>
    <t>Ourmia melon virus</t>
  </si>
  <si>
    <t>Pecluvirus</t>
  </si>
  <si>
    <t>Indian peanut clump virus</t>
  </si>
  <si>
    <t>Peanut clump virus</t>
  </si>
  <si>
    <t>Sorghum chlorotic spot virus</t>
  </si>
  <si>
    <t>Bean golden mosaic virus</t>
  </si>
  <si>
    <t>Bean golden yellow mosaic virus</t>
  </si>
  <si>
    <t>Bhendi yellow vein mosaic virus</t>
  </si>
  <si>
    <t>Boerhavia yellow spot virus</t>
  </si>
  <si>
    <t>Cabbage leaf curl Jamaica virus</t>
  </si>
  <si>
    <t>Cabbage leaf curl virus</t>
  </si>
  <si>
    <t>Chayote yellow mosaic virus</t>
  </si>
  <si>
    <t>Chilli leaf curl virus</t>
  </si>
  <si>
    <t>Chino del tomate virus</t>
  </si>
  <si>
    <t>Clerodendron golden mosaic virus</t>
  </si>
  <si>
    <t>Corchorus golden mosaic virus</t>
  </si>
  <si>
    <t>Corchorus yellow spot virus</t>
  </si>
  <si>
    <t>Arabidopsis thaliana Art1 virus</t>
  </si>
  <si>
    <t>Arabidopsis thaliana AtRE1 virus</t>
  </si>
  <si>
    <t>Cotton leaf curl Alabad virus</t>
  </si>
  <si>
    <t>Capillovirus</t>
  </si>
  <si>
    <t>Cotton leaf curl Gezira virus</t>
  </si>
  <si>
    <t>Cotton leaf curl Kokhran virus</t>
  </si>
  <si>
    <t>Cryptosporidium parvum virus 1</t>
  </si>
  <si>
    <t>Botrytis virus F</t>
  </si>
  <si>
    <t>Carnation latent virus</t>
  </si>
  <si>
    <t>Eupatorium yellow vein mosaic virus</t>
  </si>
  <si>
    <t>Mycoflexivirus</t>
  </si>
  <si>
    <t>Alphaflexiviridae</t>
  </si>
  <si>
    <t>Euphorbia leaf curl Guangxi virus</t>
  </si>
  <si>
    <t>Euphorbia leaf curl virus</t>
  </si>
  <si>
    <t>Euphorbia mosaic virus</t>
  </si>
  <si>
    <t>Tomato leaf curl Java virus</t>
  </si>
  <si>
    <t>Pepper mild mottle virus</t>
  </si>
  <si>
    <t>Ribgrass mosaic virus</t>
  </si>
  <si>
    <t>Sunn-hemp mosaic virus</t>
  </si>
  <si>
    <t>Tomato leaf curl Joydebpur virus</t>
  </si>
  <si>
    <t>Bafinivirus</t>
  </si>
  <si>
    <t>White bream virus</t>
  </si>
  <si>
    <t>Anelloviridae</t>
  </si>
  <si>
    <t>Alphatorquevirus</t>
  </si>
  <si>
    <t>Betatorquevirus</t>
  </si>
  <si>
    <t>Gammatorquevirus</t>
  </si>
  <si>
    <t>Deltatorquevirus</t>
  </si>
  <si>
    <t>Torque teno virus 4</t>
  </si>
  <si>
    <t>Torque teno virus 5</t>
  </si>
  <si>
    <t>Torque teno virus 6</t>
  </si>
  <si>
    <t>Torque teno virus 7</t>
  </si>
  <si>
    <t>Torque teno virus 8</t>
  </si>
  <si>
    <t>Torque teno virus 9</t>
  </si>
  <si>
    <t>Torque teno virus 10</t>
  </si>
  <si>
    <t>Torque teno virus 11</t>
  </si>
  <si>
    <t>Torque teno virus 12</t>
  </si>
  <si>
    <t>Torque teno virus 13</t>
  </si>
  <si>
    <t>Torque teno virus 14</t>
  </si>
  <si>
    <t>Torque teno virus 15</t>
  </si>
  <si>
    <t>Torque teno virus 16</t>
  </si>
  <si>
    <t>Torque teno virus 17</t>
  </si>
  <si>
    <t>Torque teno virus 18</t>
  </si>
  <si>
    <t>Torque teno virus 19</t>
  </si>
  <si>
    <t>Torque teno virus 20</t>
  </si>
  <si>
    <t>Torque teno virus 21</t>
  </si>
  <si>
    <t>Torque teno virus 22</t>
  </si>
  <si>
    <t>Torque teno virus 23</t>
  </si>
  <si>
    <t>Torque teno virus 24</t>
  </si>
  <si>
    <t>Mimosa yellow leaf curl virus</t>
  </si>
  <si>
    <t>Mungbean yellow mosaic India virus</t>
  </si>
  <si>
    <t>Mungbean yellow mosaic virus</t>
  </si>
  <si>
    <t>Okra yellow crinkle virus</t>
  </si>
  <si>
    <t>Okra yellow mosaic Mexico virus</t>
  </si>
  <si>
    <t>Papaya leaf curl China virus</t>
  </si>
  <si>
    <t>Papaya leaf curl Guandong virus</t>
  </si>
  <si>
    <t>Papaya leaf curl virus</t>
  </si>
  <si>
    <t>Pepper golden mosaic virus</t>
  </si>
  <si>
    <t>Pepper huasteco yellow vein virus</t>
  </si>
  <si>
    <t>Grapevine rupestris stem pitting-associated virus</t>
  </si>
  <si>
    <t>Mandarivirus</t>
  </si>
  <si>
    <t>Rice dwarf virus</t>
  </si>
  <si>
    <t>Rice gall dwarf virus</t>
  </si>
  <si>
    <t>Wound tumor virus</t>
  </si>
  <si>
    <t>Trichovirus</t>
  </si>
  <si>
    <t>Rotavirus A</t>
  </si>
  <si>
    <t>Rotavirus B</t>
  </si>
  <si>
    <t>Rotavirus C</t>
  </si>
  <si>
    <t>Rotavirus D</t>
  </si>
  <si>
    <t>Rotavirus E</t>
  </si>
  <si>
    <t>Seadornavirus</t>
  </si>
  <si>
    <t>Banna virus</t>
  </si>
  <si>
    <t>Kadipiro virus</t>
  </si>
  <si>
    <t>Liao ning virus</t>
  </si>
  <si>
    <t>Retroviridae</t>
  </si>
  <si>
    <t>Orthoretrovirinae</t>
  </si>
  <si>
    <t>Alpharetrovirus</t>
  </si>
  <si>
    <t>Kennedya yellow mosaic virus</t>
  </si>
  <si>
    <t>Melon rugose mosaic virus</t>
  </si>
  <si>
    <t>Nemesia ring necrosis virus</t>
  </si>
  <si>
    <t>Avian leukosis virus</t>
  </si>
  <si>
    <t>Passion fruit yellow mosaic virus</t>
  </si>
  <si>
    <t>Peanut yellow mosaic virus</t>
  </si>
  <si>
    <t>Petunia vein banding virus</t>
  </si>
  <si>
    <t>Physalis mottle virus</t>
  </si>
  <si>
    <t>Plantago mottle virus</t>
  </si>
  <si>
    <t>Miscanthus streak virus</t>
  </si>
  <si>
    <t>Panicum streak virus</t>
  </si>
  <si>
    <t>Sugarcane streak Egypt virus</t>
  </si>
  <si>
    <t>Sugarcane streak Reunion virus</t>
  </si>
  <si>
    <t>Sugarcane streak virus</t>
  </si>
  <si>
    <t>Tobacco yellow dwarf virus</t>
  </si>
  <si>
    <t>Wheat dwarf virus</t>
  </si>
  <si>
    <t>Topocuvirus</t>
  </si>
  <si>
    <t>Tomato pseudo-curly top virus</t>
  </si>
  <si>
    <t>Globuloviridae</t>
  </si>
  <si>
    <t>Globulovirus</t>
  </si>
  <si>
    <t>Pyrobaculum spherical virus</t>
  </si>
  <si>
    <t>Rhopalanthe virus Y</t>
  </si>
  <si>
    <t>Sarcochilus virus Y</t>
  </si>
  <si>
    <t>Scallion mosaic virus</t>
  </si>
  <si>
    <t>Shallot yellow stripe virus</t>
  </si>
  <si>
    <t>Tobacco vein banding mosaic virus</t>
  </si>
  <si>
    <t>Tobacco vein mottling virus</t>
  </si>
  <si>
    <t>Tradescantia mild mosaic virus</t>
  </si>
  <si>
    <t>Tuberose mild mosaic virus</t>
  </si>
  <si>
    <t>Tuberose mild mottle virus</t>
  </si>
  <si>
    <t>Tulip breaking virus</t>
  </si>
  <si>
    <t>Tulip mosaic virus</t>
  </si>
  <si>
    <t>Turnip mosaic virus</t>
  </si>
  <si>
    <t>Watermelon leaf mottle virus</t>
  </si>
  <si>
    <t>Watermelon mosaic virus</t>
  </si>
  <si>
    <t>Polemovirus</t>
  </si>
  <si>
    <t>Poinsettia latent virus</t>
  </si>
  <si>
    <t>Pomovirus</t>
  </si>
  <si>
    <t>Beet soil-borne virus</t>
  </si>
  <si>
    <t>Beet virus Q</t>
  </si>
  <si>
    <t>Broad bean necrosis virus</t>
  </si>
  <si>
    <t>Potato mop-top virus</t>
  </si>
  <si>
    <t>Rhizidiovirus</t>
  </si>
  <si>
    <t>Rhizidiomyces virus</t>
  </si>
  <si>
    <t>Batrachovirus</t>
  </si>
  <si>
    <t>Ranid herpesvirus 1</t>
  </si>
  <si>
    <t>Cotton leaf curl Multan virus</t>
  </si>
  <si>
    <t>Cowpea golden mosaic virus</t>
  </si>
  <si>
    <t>Allexivirus</t>
  </si>
  <si>
    <t>Garlic mite-borne filamentous virus</t>
  </si>
  <si>
    <t>Cotton leaf crumple virus</t>
  </si>
  <si>
    <t>Garlic virus D</t>
  </si>
  <si>
    <t>Garlic virus E</t>
  </si>
  <si>
    <t>Garlic virus X</t>
  </si>
  <si>
    <t>Shallot virus X</t>
  </si>
  <si>
    <t>Version:</t>
    <phoneticPr fontId="3" type="noConversion"/>
  </si>
  <si>
    <t>Apple stem grooving virus</t>
  </si>
  <si>
    <t>Cherry virus A</t>
  </si>
  <si>
    <t>Carlavirus</t>
  </si>
  <si>
    <t>Aconitum latent virus</t>
  </si>
  <si>
    <t>American hop latent virus</t>
  </si>
  <si>
    <t>Blueberry scorch virus</t>
  </si>
  <si>
    <t>Cactus virus 2</t>
  </si>
  <si>
    <t>Caper latent virus</t>
  </si>
  <si>
    <t>Obuda pepper virus</t>
  </si>
  <si>
    <t>Odontoglossum ringspot virus</t>
  </si>
  <si>
    <t>Paprika mild mottle virus</t>
  </si>
  <si>
    <t>Eupatorium yellow vein virus</t>
  </si>
  <si>
    <t>Gammacoronavirus</t>
  </si>
  <si>
    <t>Avian coronavirus</t>
  </si>
  <si>
    <t>Beluga whale coronavirus SW1</t>
  </si>
  <si>
    <t>Torovirinae</t>
  </si>
  <si>
    <t>East African cassava mosaic Cameroon virus</t>
  </si>
  <si>
    <t>East African cassava mosaic Kenya virus</t>
  </si>
  <si>
    <t>East African cassava mosaic Malawi virus</t>
  </si>
  <si>
    <t>East African cassava mosaic virus</t>
  </si>
  <si>
    <t>East African cassava mosaic Zanzibar virus</t>
  </si>
  <si>
    <t>Erectites yellow mosaic virus</t>
  </si>
  <si>
    <t>Tobamovirus</t>
  </si>
  <si>
    <t>Cucumber fruit mottle mosaic virus</t>
  </si>
  <si>
    <t>Cucumber green mottle mosaic virus</t>
  </si>
  <si>
    <t>Frangipani mosaic virus</t>
  </si>
  <si>
    <t>Hibiscus latent Fort Pierce virus</t>
  </si>
  <si>
    <t>Hibiscus latent Singapore virus</t>
  </si>
  <si>
    <t>Kyuri green mottle mosaic virus</t>
  </si>
  <si>
    <t>Tomato leaf curl Hsinchu virus</t>
  </si>
  <si>
    <t>Torque teno virus 25</t>
  </si>
  <si>
    <t>Torque teno virus 26</t>
  </si>
  <si>
    <t>Torque teno virus 27</t>
  </si>
  <si>
    <t>Torque teno virus 28</t>
  </si>
  <si>
    <t>Pepper leaf curl Lahore virus</t>
  </si>
  <si>
    <t>Pepper leaf curl virus</t>
  </si>
  <si>
    <t>Lily virus X</t>
  </si>
  <si>
    <t>Mint virus X</t>
  </si>
  <si>
    <t>Narcissus mosaic virus</t>
  </si>
  <si>
    <t>Nerine virus X</t>
  </si>
  <si>
    <t>Opuntia virus X</t>
  </si>
  <si>
    <t>Papaya mosaic virus</t>
  </si>
  <si>
    <t>Plum pox virus</t>
  </si>
  <si>
    <t>Betacoronavirus</t>
  </si>
  <si>
    <t>Murine coronavirus</t>
  </si>
  <si>
    <t>Betacoronavirus 1</t>
  </si>
  <si>
    <t>Tomato leaf curl Guangxi virus</t>
  </si>
  <si>
    <t>Tomato leaf curl Gujarat virus</t>
  </si>
  <si>
    <t>Coleviroid</t>
  </si>
  <si>
    <t>Coleus blumei viroid 1</t>
  </si>
  <si>
    <t>Coleus blumei viroid 2</t>
  </si>
  <si>
    <t>Coleus blumei viroid 3</t>
  </si>
  <si>
    <t>Hostuviroid</t>
  </si>
  <si>
    <t>Hop stunt viroid</t>
  </si>
  <si>
    <t>Pospiviroid</t>
  </si>
  <si>
    <t>Chrysanthemum stunt viroid</t>
  </si>
  <si>
    <t>Citrus exocortis viroid</t>
  </si>
  <si>
    <t>Columnea latent viroid</t>
  </si>
  <si>
    <t>Iresine viroid 1</t>
  </si>
  <si>
    <t>Potato spindle tuber viroid</t>
  </si>
  <si>
    <t>Tomato apical stunt viroid</t>
  </si>
  <si>
    <t>Tomato chlorotic dwarf viroid</t>
  </si>
  <si>
    <t>Tomato planta macho viroid</t>
  </si>
  <si>
    <t>Potyviridae</t>
  </si>
  <si>
    <t>Bymovirus</t>
  </si>
  <si>
    <t>Barley mild mosaic virus</t>
  </si>
  <si>
    <t>Barley yellow mosaic virus</t>
  </si>
  <si>
    <t>Sweet potato chlorotic stunt virus</t>
  </si>
  <si>
    <t>Tomato chlorosis virus</t>
  </si>
  <si>
    <t>Beet pseudoyellows virus</t>
  </si>
  <si>
    <t>Blackberry yellow vein-associated virus</t>
  </si>
  <si>
    <t>Torque teno tamarin virus</t>
  </si>
  <si>
    <t>Torque teno douroucouli virus</t>
  </si>
  <si>
    <t>Rabbit fibroma virus</t>
  </si>
  <si>
    <t>Squirrel fibroma virus</t>
  </si>
  <si>
    <t>Molluscipoxvirus</t>
  </si>
  <si>
    <t>Spartina mottle virus</t>
  </si>
  <si>
    <t>Sugarcane streak mosaic virus</t>
  </si>
  <si>
    <t>Leporipoxvirus</t>
  </si>
  <si>
    <t>Hare fibroma virus</t>
  </si>
  <si>
    <t>Myxoma virus</t>
  </si>
  <si>
    <t>Canarypox virus</t>
  </si>
  <si>
    <t>Fowlpox virus</t>
  </si>
  <si>
    <t>Juncopox virus</t>
  </si>
  <si>
    <t>Mynahpox virus</t>
  </si>
  <si>
    <t>Pigeonpox virus</t>
  </si>
  <si>
    <t>Psittacinepox virus</t>
  </si>
  <si>
    <t>Quailpox virus</t>
  </si>
  <si>
    <t>Sparrowpox virus</t>
  </si>
  <si>
    <t>Starlingpox virus</t>
  </si>
  <si>
    <t>Turkeypox virus</t>
  </si>
  <si>
    <t>Capripoxvirus</t>
  </si>
  <si>
    <t>Grapevine virus B</t>
  </si>
  <si>
    <t>Grapevine virus D</t>
  </si>
  <si>
    <t>Potato virus V</t>
  </si>
  <si>
    <t>Potato virus Y</t>
  </si>
  <si>
    <t>Ranunculus leaf distortion virus</t>
  </si>
  <si>
    <t>South African cassava mosaic virus</t>
  </si>
  <si>
    <t>Soybean blistering mosaic virus</t>
  </si>
  <si>
    <t>Spilanthes yellow vein virus</t>
  </si>
  <si>
    <t>Squash leaf curl China virus</t>
  </si>
  <si>
    <t>Squash leaf curl Philippines virus</t>
  </si>
  <si>
    <t>Squash leaf curl virus</t>
  </si>
  <si>
    <t>Squash leaf curl Yunnan virus</t>
  </si>
  <si>
    <t>Squash mild leaf curl virus</t>
  </si>
  <si>
    <t>Sri Lankan cassava mosaic virus</t>
  </si>
  <si>
    <t>Stachytarpheta leaf curl virus</t>
  </si>
  <si>
    <t>Sweet potato leaf curl Canary virus</t>
  </si>
  <si>
    <t>Sweet potato leaf curl China virus</t>
  </si>
  <si>
    <t>Sweet potato leaf curl Georgia virus</t>
  </si>
  <si>
    <t>Sweet potato leaf curl virus</t>
  </si>
  <si>
    <t>Tobacco curly shoot virus</t>
  </si>
  <si>
    <t>Henbane mosaic virus</t>
  </si>
  <si>
    <t>Hibbertia virus Y</t>
  </si>
  <si>
    <t>Hippeastrum mosaic virus</t>
  </si>
  <si>
    <t>Hyacinth mosaic virus</t>
  </si>
  <si>
    <t>Iris fulva mosaic virus</t>
  </si>
  <si>
    <t>Iris mild mosaic virus</t>
  </si>
  <si>
    <t>Iris severe mosaic virus</t>
  </si>
  <si>
    <t>Japanese yam mosaic virus</t>
  </si>
  <si>
    <t>Johnsongrass mosaic virus</t>
  </si>
  <si>
    <t>Konjac mosaic virus</t>
  </si>
  <si>
    <t>Leek yellow stripe virus</t>
  </si>
  <si>
    <t>Lettuce mosaic virus</t>
  </si>
  <si>
    <t>Lily mottle virus</t>
  </si>
  <si>
    <t>Lycoris mild mottle virus</t>
  </si>
  <si>
    <t>Abaca bunchy top virus</t>
  </si>
  <si>
    <t>Cardamom bushy dwarf virus</t>
  </si>
  <si>
    <t>Rose spring dwarf-associated virus</t>
  </si>
  <si>
    <t>Chickpea chlorotic stunt virus</t>
  </si>
  <si>
    <t>Melon aphid-borne yellows virus</t>
  </si>
  <si>
    <t>Brambyvirus</t>
  </si>
  <si>
    <t>Blackberry virus Y</t>
  </si>
  <si>
    <t>Emaravirus</t>
  </si>
  <si>
    <t>Omikronpapillomavirus</t>
  </si>
  <si>
    <t>Avsunviroidae</t>
  </si>
  <si>
    <t>Avsunviroid</t>
  </si>
  <si>
    <t>Avocado sunblotch viroid</t>
  </si>
  <si>
    <t>Elaviroid</t>
  </si>
  <si>
    <t>Eggplant latent viroid</t>
  </si>
  <si>
    <t>Pelamoviroid</t>
  </si>
  <si>
    <t>Chrysanthemum chlorotic mottle viroid</t>
  </si>
  <si>
    <t>Anguillid herpesvirus 1</t>
  </si>
  <si>
    <t>Munia coronavirus HKU13</t>
  </si>
  <si>
    <t>Banana streak MY virus</t>
  </si>
  <si>
    <t>Nootka lupine vein clearing virus</t>
  </si>
  <si>
    <t>Eragrostis streak virus</t>
  </si>
  <si>
    <t>Urochloa streak virus</t>
  </si>
  <si>
    <t>Miniopterus bat coronavirus 1</t>
  </si>
  <si>
    <t>Miniopterus bat coronavirus HKU8</t>
  </si>
  <si>
    <t>Rhinolophus bat coronavirus HKU2</t>
  </si>
  <si>
    <t>Scotophilus bat coronavirus 512</t>
  </si>
  <si>
    <t>Pipistrellus bat coronavirus HKU5</t>
  </si>
  <si>
    <t>Rousettus bat coronavirus HKU9</t>
  </si>
  <si>
    <t>Tylonycteris bat coronavirus HKU4</t>
  </si>
  <si>
    <t>Squash mosaic virus</t>
  </si>
  <si>
    <t>Ullucus virus C</t>
  </si>
  <si>
    <t>Broad bean wilt virus 1</t>
  </si>
  <si>
    <t>Broad bean wilt virus 2</t>
  </si>
  <si>
    <t>Gentian mosaic virus</t>
  </si>
  <si>
    <t>Mamastrovirus</t>
  </si>
  <si>
    <t>Artichoke Aegean ringspot virus</t>
  </si>
  <si>
    <t>Artichoke Italian latent virus</t>
  </si>
  <si>
    <t>Artichoke yellow ringspot virus</t>
  </si>
  <si>
    <t>Beet ringspot virus</t>
  </si>
  <si>
    <t>Blackcurrant reversion virus</t>
  </si>
  <si>
    <t>Blueberry leaf mottle virus</t>
  </si>
  <si>
    <t>Cassava American latent virus</t>
  </si>
  <si>
    <t>Cassava green mottle virus</t>
  </si>
  <si>
    <t>Maclura mosaic virus</t>
  </si>
  <si>
    <t>Narcissus latent virus</t>
  </si>
  <si>
    <t>Potyvirus</t>
  </si>
  <si>
    <t>Alstroemeria mosaic virus</t>
  </si>
  <si>
    <t>Amaranthus leaf mottle virus</t>
  </si>
  <si>
    <t>Amazon lily mosaic virus</t>
  </si>
  <si>
    <t>Apium virus Y</t>
  </si>
  <si>
    <t>Araujia mosaic virus</t>
  </si>
  <si>
    <t>Artichoke latent virus</t>
  </si>
  <si>
    <t>Asparagus virus 1</t>
  </si>
  <si>
    <t>Banana bract mosaic virus</t>
  </si>
  <si>
    <t>Basella rugose mosaic virus</t>
  </si>
  <si>
    <t>Bean common mosaic necrosis virus</t>
  </si>
  <si>
    <t>Bean common mosaic virus</t>
  </si>
  <si>
    <t>Bean yellow mosaic virus</t>
  </si>
  <si>
    <t>Beet mosaic virus</t>
  </si>
  <si>
    <t>Bidens mottle virus</t>
  </si>
  <si>
    <t>Apanteles fumiferanae bracovirus</t>
  </si>
  <si>
    <t>Ascogaster argentifrons bracovirus</t>
  </si>
  <si>
    <t>Ascogaster quadridentata bracovirus</t>
  </si>
  <si>
    <t>Cardiochiles nigriceps bracovirus</t>
  </si>
  <si>
    <t>Cotesia marginiventris bracovirus</t>
  </si>
  <si>
    <t>Cotesia melanoscela bracovirus</t>
  </si>
  <si>
    <t>Cotesia rubecula bracovirus</t>
  </si>
  <si>
    <t>Bracovirus</t>
  </si>
  <si>
    <t>Cotesia congregata bracovirus</t>
  </si>
  <si>
    <t>Cotesia flavipes bracovirus</t>
  </si>
  <si>
    <t>Carrot temperate virus 2</t>
  </si>
  <si>
    <t>Hop trefoil cryptic virus 2</t>
  </si>
  <si>
    <t>Red clover cryptic virus 2</t>
  </si>
  <si>
    <t>White clover cryptic virus 2</t>
  </si>
  <si>
    <t>Agaricus bisporus virus 4</t>
  </si>
  <si>
    <t>Aspergillus ochraceous virus</t>
  </si>
  <si>
    <t>Cotesia schaeferi bracovirus</t>
  </si>
  <si>
    <t>Diolcogaster facetosa bracovirus</t>
  </si>
  <si>
    <t>Tranosema rostrale bracovirus</t>
  </si>
  <si>
    <t>Ichnovirus</t>
  </si>
  <si>
    <t>Enterovirus</t>
  </si>
  <si>
    <t>Plodia interpunctella granulovirus</t>
  </si>
  <si>
    <t>Plutella xylostella granulovirus</t>
  </si>
  <si>
    <t>Erbovirus</t>
  </si>
  <si>
    <t>Hepatovirus</t>
  </si>
  <si>
    <t>Kobuvirus</t>
  </si>
  <si>
    <t>Culex nigripalpus nucleopolyhedrovirus</t>
  </si>
  <si>
    <t>Gammabaculovirus</t>
  </si>
  <si>
    <t>Neodiprion lecontei nucleopolyhedrovirus</t>
  </si>
  <si>
    <t>Sequivirus</t>
  </si>
  <si>
    <t>Dandelion yellow mosaic virus</t>
  </si>
  <si>
    <t>Anthriscus yellows virus</t>
  </si>
  <si>
    <t>Maize chlorotic dwarf virus</t>
  </si>
  <si>
    <t>Cheravirus</t>
  </si>
  <si>
    <t>Apple latent spherical virus</t>
  </si>
  <si>
    <t>Cherry rasp leaf virus</t>
  </si>
  <si>
    <t>Stocky prune virus</t>
  </si>
  <si>
    <t>Pennisetum mosaic virus</t>
  </si>
  <si>
    <t>Pepper mottle virus</t>
  </si>
  <si>
    <t>Pepper severe mosaic virus</t>
  </si>
  <si>
    <t>Pepper veinal mottle virus</t>
  </si>
  <si>
    <t>Pepper yellow mosaic virus</t>
  </si>
  <si>
    <t>Peru tomato mosaic virus</t>
  </si>
  <si>
    <t>Pfaffia mosaic virus</t>
  </si>
  <si>
    <t>Pleione virus Y</t>
  </si>
  <si>
    <t>Bicaudaviridae</t>
  </si>
  <si>
    <t>Bicaudavirus</t>
  </si>
  <si>
    <t>Acidianus two-tailed virus</t>
  </si>
  <si>
    <t>Spring beauty latent virus</t>
  </si>
  <si>
    <t>Cucumovirus</t>
  </si>
  <si>
    <t>Cucumber mosaic virus</t>
  </si>
  <si>
    <t>Paramecium bursaria Chlorella virus CA4A</t>
  </si>
  <si>
    <t>Paramecium bursaria Chlorella virus CA4B</t>
  </si>
  <si>
    <t>Paramecium bursaria Chlorella virus IL3A</t>
  </si>
  <si>
    <t>Acidianus filamentous virus 7</t>
  </si>
  <si>
    <t>Acidianus filamentous virus 6</t>
  </si>
  <si>
    <t>Acidianus filamentous virus 3</t>
  </si>
  <si>
    <t>Picovirinae</t>
  </si>
  <si>
    <t>Heliothis virescens ascovirus 3a</t>
  </si>
  <si>
    <t>Spodoptera frugiperda ascovirus 1a</t>
  </si>
  <si>
    <t>Anomala cuprea entomopoxvirus</t>
  </si>
  <si>
    <t>Aphodius tasmaniae entomopoxvirus</t>
  </si>
  <si>
    <t>Asfarviridae</t>
  </si>
  <si>
    <t>Asfivirus</t>
  </si>
  <si>
    <t>African swine fever virus</t>
  </si>
  <si>
    <t>Astroviridae</t>
  </si>
  <si>
    <t>Avastrovirus</t>
  </si>
  <si>
    <t>Melolontha melolontha entomopoxvirus</t>
  </si>
  <si>
    <t>Betaentomopoxvirus</t>
  </si>
  <si>
    <t>Thermoproteus tenax spherical virus 1</t>
  </si>
  <si>
    <t>Horseradish curly top virus</t>
  </si>
  <si>
    <t>Mastrevirus</t>
  </si>
  <si>
    <t>Drosophila melanogaster Gypsy virus</t>
  </si>
  <si>
    <t>Drosophila melanogaster Idefix virus</t>
  </si>
  <si>
    <t>Drosophila melanogaster Tirant virus</t>
  </si>
  <si>
    <t>Drosophila melanogaster Zam virus</t>
  </si>
  <si>
    <t>Drosophila virilis Tv1 virus</t>
  </si>
  <si>
    <t>Siadenovirus</t>
  </si>
  <si>
    <t>Japanese iris necrotic ring virus</t>
  </si>
  <si>
    <t>Melon necrotic spot virus</t>
  </si>
  <si>
    <t>Equine torovirus</t>
  </si>
  <si>
    <t>Cytomegalovirus</t>
  </si>
  <si>
    <t>Muromegalovirus</t>
  </si>
  <si>
    <t>Andean potato mottle virus</t>
  </si>
  <si>
    <t>Bean pod mottle virus</t>
  </si>
  <si>
    <t>Bean rugose mosaic virus</t>
  </si>
  <si>
    <t>Broad bean stain virus</t>
  </si>
  <si>
    <t>Cowpea severe mosaic virus</t>
  </si>
  <si>
    <t>UR2 sarcoma virus</t>
  </si>
  <si>
    <t>Y73 sarcoma virus</t>
  </si>
  <si>
    <t>Betaretrovirus</t>
  </si>
  <si>
    <t>Adoxophyes honmai nucleopolyhedrovirus</t>
  </si>
  <si>
    <t>Agrotis ipsilon multiple nucleopolyhedrovirus</t>
  </si>
  <si>
    <t>Autographa californica multiple nucleopolyhedrovirus</t>
  </si>
  <si>
    <t>Bombyx mori nucleopolyhedrovirus</t>
  </si>
  <si>
    <t>Buzura suppressaria nucleopolyhedrovirus</t>
  </si>
  <si>
    <t>Choristoneura fumiferana DEF multiple nucleopolyhedrovirus</t>
  </si>
  <si>
    <t>Phlebovirus</t>
  </si>
  <si>
    <t>Mamestra brassicae multiple nucleopolyhedrovirus</t>
  </si>
  <si>
    <t>Mamestra configurata nucleopolyhedrovirus A</t>
  </si>
  <si>
    <t>Mamestra configurata nucleopolyhedrovirus B</t>
  </si>
  <si>
    <t>Orgyia pseudotsugata multiple nucleopolyhedrovirus</t>
  </si>
  <si>
    <t>Spodoptera exigua multiple nucleopolyhedrovirus</t>
  </si>
  <si>
    <t>Equine rhinitis A virus</t>
  </si>
  <si>
    <t>Harrisina brillians granulovirus</t>
  </si>
  <si>
    <t>Cryptophlebia leucotreta granulovirus</t>
  </si>
  <si>
    <t>Cydia pomonella granulovirus</t>
  </si>
  <si>
    <t>Saccharomyces cerevisiae Ty4 virus</t>
  </si>
  <si>
    <t>Helicoverpa armigera granulovirus</t>
  </si>
  <si>
    <t>Botrexvirus</t>
  </si>
  <si>
    <t>Sirevirus</t>
  </si>
  <si>
    <t>Arabidopsis thaliana Endovir virus</t>
  </si>
  <si>
    <t>Glycine max SIRE1 virus</t>
  </si>
  <si>
    <t>Lycopersicon esculentum ToRTL1 virus</t>
  </si>
  <si>
    <t>Phnom Penh bat virus</t>
  </si>
  <si>
    <t>Powassan virus</t>
  </si>
  <si>
    <t>Rio Bravo virus</t>
  </si>
  <si>
    <t>Royal Farm virus</t>
  </si>
  <si>
    <t>Saboya virus</t>
  </si>
  <si>
    <t>Sal Vieja virus</t>
  </si>
  <si>
    <t>San Perlita virus</t>
  </si>
  <si>
    <t>Aquareovirus</t>
  </si>
  <si>
    <t>Aquareovirus A</t>
  </si>
  <si>
    <t>Aquareovirus B</t>
  </si>
  <si>
    <t>Aquareovirus C</t>
  </si>
  <si>
    <t>Aquareovirus D</t>
  </si>
  <si>
    <t>Aquareovirus E</t>
  </si>
  <si>
    <t>Aquareovirus F</t>
  </si>
  <si>
    <t>Aquareovirus G</t>
  </si>
  <si>
    <t>Cardoreovirus</t>
  </si>
  <si>
    <t>Eriocheir sinensis reovirus</t>
  </si>
  <si>
    <t>Coltivirus</t>
  </si>
  <si>
    <t>Colorado tick fever virus</t>
  </si>
  <si>
    <t>Eyach virus</t>
  </si>
  <si>
    <t>Cypovirus</t>
  </si>
  <si>
    <t>Kirsten murine sarcoma virus</t>
  </si>
  <si>
    <t>Mirabilis mosaic virus</t>
  </si>
  <si>
    <t>Strawberry vein banding virus</t>
  </si>
  <si>
    <t>Thistle mottle virus</t>
  </si>
  <si>
    <t>Cavemovirus</t>
  </si>
  <si>
    <t>Cassava vein mosaic virus</t>
  </si>
  <si>
    <t>Tobacco vein clearing virus</t>
  </si>
  <si>
    <t>Petuvirus</t>
  </si>
  <si>
    <t>Alfamovirus</t>
  </si>
  <si>
    <t>Alfalfa mosaic virus</t>
  </si>
  <si>
    <t>Anulavirus</t>
  </si>
  <si>
    <t>Pelargonium zonate spot virus</t>
  </si>
  <si>
    <t>Bromovirus</t>
  </si>
  <si>
    <t>Broad bean mottle virus</t>
  </si>
  <si>
    <t>Brome mosaic virus</t>
  </si>
  <si>
    <t>Cassia yellow blotch virus</t>
  </si>
  <si>
    <t>Rice tungro bacilliform virus</t>
  </si>
  <si>
    <t>Chrysoviridae</t>
  </si>
  <si>
    <t>Chrysovirus</t>
  </si>
  <si>
    <t>Helminthosporium victoriae 145S virus</t>
  </si>
  <si>
    <t>Penicillium brevicompactum virus</t>
  </si>
  <si>
    <t>Penicillium chrysogenum virus</t>
  </si>
  <si>
    <t>Circoviridae</t>
  </si>
  <si>
    <t>Circovirus</t>
  </si>
  <si>
    <t>Pigeon circovirus</t>
  </si>
  <si>
    <t>Duck circovirus</t>
  </si>
  <si>
    <t>Citrus variegation virus</t>
  </si>
  <si>
    <t>Elm mottle virus</t>
  </si>
  <si>
    <t>Fragaria chiloensis latent virus</t>
  </si>
  <si>
    <t>Humulus japonicus latent virus</t>
  </si>
  <si>
    <t>Lilac ring mottle virus</t>
  </si>
  <si>
    <t>Yaba monkey tumor virus</t>
  </si>
  <si>
    <t>Yatapoxvirus</t>
  </si>
  <si>
    <t>Tanapox virus</t>
  </si>
  <si>
    <t>Entomopoxvirinae</t>
  </si>
  <si>
    <t>Victorivirus</t>
  </si>
  <si>
    <t>Tonate virus</t>
  </si>
  <si>
    <t>Trocara virus</t>
  </si>
  <si>
    <t>Una virus</t>
  </si>
  <si>
    <t>Helicobasidium mompa totivirus 1-17</t>
  </si>
  <si>
    <t>Magnaporthe oryzae virus 1</t>
  </si>
  <si>
    <t>Sphaeropsis sapinea RNA virus 1</t>
  </si>
  <si>
    <t>Sphaeropsis sapinea RNA virus 2</t>
  </si>
  <si>
    <t>Ceratocystis resinifera virus 1</t>
  </si>
  <si>
    <t>Tombusviridae</t>
  </si>
  <si>
    <t>Aureusvirus</t>
  </si>
  <si>
    <t>Cucumber leaf spot virus</t>
  </si>
  <si>
    <t>Pothos latent virus</t>
  </si>
  <si>
    <t>Avenavirus</t>
  </si>
  <si>
    <t>Oat chlorotic stunt virus</t>
  </si>
  <si>
    <t>Ahlum waterborne virus</t>
  </si>
  <si>
    <t>Angelonia flower break virus</t>
  </si>
  <si>
    <t>Bean mild mosaic virus</t>
  </si>
  <si>
    <t>Cardamine chlorotic fleck virus</t>
  </si>
  <si>
    <t>Carnation mottle virus</t>
  </si>
  <si>
    <t>Mouse mammary tumor virus</t>
  </si>
  <si>
    <t>Squirrel monkey retrovirus</t>
  </si>
  <si>
    <t>Deltaretrovirus</t>
  </si>
  <si>
    <t>Jaagsiekte sheep retrovirus</t>
  </si>
  <si>
    <t>Langur virus</t>
  </si>
  <si>
    <t>Mason-Pfizer monkey virus</t>
  </si>
  <si>
    <t>Primate T-lymphotropic virus 3</t>
  </si>
  <si>
    <t>Epsilonretrovirus</t>
  </si>
  <si>
    <t>Walleye dermal sarcoma virus</t>
  </si>
  <si>
    <t>Walleye epidermal hyperplasia virus 1</t>
  </si>
  <si>
    <t>Walleye epidermal hyperplasia virus 2</t>
  </si>
  <si>
    <t>Gammaretrovirus</t>
  </si>
  <si>
    <t>Chick syncytial virus</t>
  </si>
  <si>
    <t>Feline leukemia virus</t>
  </si>
  <si>
    <t>Finkel-Biskis-Jinkins murine sarcoma virus</t>
  </si>
  <si>
    <t>Spodoptera frugiperda multiple nucleopolyhedrovirus</t>
  </si>
  <si>
    <t>Spodoptera littoralis nucleopolyhedrovirus</t>
  </si>
  <si>
    <t>Spodoptera litura nucleopolyhedrovirus</t>
  </si>
  <si>
    <t>Thysanoplusia orichalcea nucleopolyhedrovirus</t>
  </si>
  <si>
    <t>Trichoplusia ni single nucleopolyhedrovirus</t>
  </si>
  <si>
    <t>Tomato yellow leaf curl Sardinia virus</t>
  </si>
  <si>
    <t>Tomato yellow leaf curl Thailand virus</t>
  </si>
  <si>
    <t>Tomato yellow leaf curl Vietnam virus</t>
  </si>
  <si>
    <t>Senecio yellow mosaic virus</t>
  </si>
  <si>
    <t>Sida golden mosaic Costa Rica virus</t>
  </si>
  <si>
    <t>Sida golden mosaic Florida virus</t>
  </si>
  <si>
    <t>Sida golden mosaic virus</t>
  </si>
  <si>
    <t>Sida golden yellow vein virus</t>
  </si>
  <si>
    <t>Sida leaf curl virus</t>
  </si>
  <si>
    <t>Sida micrantha mosaic virus</t>
  </si>
  <si>
    <t>Sida mottle virus</t>
  </si>
  <si>
    <t>Sida yellow mosaic China virus</t>
  </si>
  <si>
    <t>Sida yellow mosaic virus</t>
  </si>
  <si>
    <t>Influenza B virus</t>
  </si>
  <si>
    <t>Influenza C virus</t>
  </si>
  <si>
    <t>Isavirus</t>
  </si>
  <si>
    <t>Thogotovirus</t>
  </si>
  <si>
    <t>Papillomaviridae</t>
  </si>
  <si>
    <t>Alphapapillomavirus</t>
  </si>
  <si>
    <t>Paramecium bursaria Chlorella virus NC1A</t>
  </si>
  <si>
    <t>Paramecium bursaria Chlorella virus XZ4A</t>
  </si>
  <si>
    <t>Paramecium bursaria Chlorella virus XZ4C</t>
  </si>
  <si>
    <t>Coccolithovirus</t>
  </si>
  <si>
    <t>Paramecium bursaria Chlorella virus SC1A</t>
  </si>
  <si>
    <t>Paramecium bursaria Chlorella virus XY6E</t>
  </si>
  <si>
    <t>Wheat spindle streak mosaic virus</t>
  </si>
  <si>
    <t>Wheat yellow mosaic virus</t>
  </si>
  <si>
    <t>Ipomovirus</t>
  </si>
  <si>
    <t>Epsilonpapillomavirus</t>
  </si>
  <si>
    <t>Omegatetravirus</t>
  </si>
  <si>
    <t>Dendrolimus punctatus virus</t>
  </si>
  <si>
    <t>Helicoverpa armigera stunt virus</t>
  </si>
  <si>
    <t>Nudaurelia capensis omega virus</t>
  </si>
  <si>
    <t>Togaviridae</t>
  </si>
  <si>
    <t>Alphavirus</t>
  </si>
  <si>
    <t>Aura virus</t>
  </si>
  <si>
    <t>Barmah Forest virus</t>
  </si>
  <si>
    <t>Bebaru virus</t>
  </si>
  <si>
    <t>Cabassou virus</t>
  </si>
  <si>
    <t>Chikungunya virus</t>
  </si>
  <si>
    <t>Eastern equine encephalitis virus</t>
  </si>
  <si>
    <t>Everglades virus</t>
  </si>
  <si>
    <t>Fort Morgan virus</t>
  </si>
  <si>
    <t>Getah virus</t>
  </si>
  <si>
    <t>Highlands J virus</t>
  </si>
  <si>
    <t>Mayaro virus</t>
  </si>
  <si>
    <t>Middelburg virus</t>
  </si>
  <si>
    <t>Mucambo virus</t>
  </si>
  <si>
    <t>Ndumu virus</t>
  </si>
  <si>
    <t>Pixuna virus</t>
  </si>
  <si>
    <t>Tomato leaf curl Karnataka virus</t>
  </si>
  <si>
    <t>Betapapillomavirus</t>
  </si>
  <si>
    <t>Picobirnaviridae</t>
  </si>
  <si>
    <t>Picobirnavirus</t>
  </si>
  <si>
    <t>Human picobirnavirus</t>
  </si>
  <si>
    <t>Rabbit picobirnavirus</t>
  </si>
  <si>
    <t>Tomato yellow leaf curl Indonesia virus</t>
  </si>
  <si>
    <t>Tomato yellow leaf curl Kanchanaburi virus</t>
  </si>
  <si>
    <t>Beet black scorch virus</t>
  </si>
  <si>
    <t>Chenopodium necrosis virus</t>
  </si>
  <si>
    <t>Leek white stripe virus</t>
  </si>
  <si>
    <t>Olive latent virus 1</t>
  </si>
  <si>
    <t>Olive mild mosaic virus</t>
  </si>
  <si>
    <t>Tobacco necrosis virus A</t>
  </si>
  <si>
    <t>Hop trefoil cryptic virus 1</t>
  </si>
  <si>
    <t>Hop trefoil cryptic virus 3</t>
  </si>
  <si>
    <t>Radish yellow edge virus</t>
  </si>
  <si>
    <t>Ryegrass cryptic virus</t>
  </si>
  <si>
    <t>Spinach temperate virus</t>
  </si>
  <si>
    <t>Vicia cryptic virus</t>
  </si>
  <si>
    <t>White clover cryptic virus 1</t>
  </si>
  <si>
    <t>White clover cryptic virus 3</t>
  </si>
  <si>
    <t>Petunia asteroid mosaic virus</t>
  </si>
  <si>
    <t>Glyptapanteles flavicoxis bracovirus</t>
  </si>
  <si>
    <t>Maize dwarf mosaic virus</t>
  </si>
  <si>
    <t>Meadow saffron breaking virus</t>
  </si>
  <si>
    <t>Moroccan watermelon mosaic virus</t>
  </si>
  <si>
    <t>Microplitis demolitor bracovirus</t>
  </si>
  <si>
    <t>Penicillium stoloniferum virus S</t>
  </si>
  <si>
    <t>Rhizoctonia solani virus 717</t>
  </si>
  <si>
    <t>Nothoscordum mosaic virus</t>
  </si>
  <si>
    <t>Onion yellow dwarf virus</t>
  </si>
  <si>
    <t>Ornithogalum mosaic virus</t>
  </si>
  <si>
    <t>Campoletis flavicincta ichnovirus</t>
  </si>
  <si>
    <t>Campoletis sonorensis ichnovirus</t>
  </si>
  <si>
    <t>Casinaria arjuna ichnovirus</t>
  </si>
  <si>
    <t>Gremmeniella abietina RNA virus MS1</t>
  </si>
  <si>
    <t>Podoviridae</t>
  </si>
  <si>
    <t>Siphoviridae</t>
  </si>
  <si>
    <t>Herpesvirales</t>
  </si>
  <si>
    <t>Alloherpesviridae</t>
  </si>
  <si>
    <t>Ictalurid herpesvirus 1</t>
  </si>
  <si>
    <t>Cyprinid herpesvirus 3</t>
  </si>
  <si>
    <t>Herpesviridae</t>
  </si>
  <si>
    <t>Alphaherpesvirinae</t>
  </si>
  <si>
    <t>Iltovirus</t>
  </si>
  <si>
    <t>Influenza A virus</t>
  </si>
  <si>
    <t>Quail pea mosaic virus</t>
  </si>
  <si>
    <t>Radish mosaic virus</t>
  </si>
  <si>
    <t>Emiliania huxleyi virus 86</t>
  </si>
  <si>
    <t>Phaeovirus</t>
  </si>
  <si>
    <t>Ectocarpus fasciculatus virus a</t>
  </si>
  <si>
    <t>Rice necrosis mosaic virus</t>
  </si>
  <si>
    <t>Lamium mild mosaic virus</t>
  </si>
  <si>
    <t>Apricot latent ringspot virus</t>
  </si>
  <si>
    <t>Arabis mosaic virus</t>
  </si>
  <si>
    <t>Arracacha virus A</t>
  </si>
  <si>
    <t>Cassava brown streak virus</t>
  </si>
  <si>
    <t>Cucumber vein yellowing virus</t>
  </si>
  <si>
    <t>Squash vein yellowing virus</t>
  </si>
  <si>
    <t>Sweet potato mild mottle virus</t>
  </si>
  <si>
    <t>Macluravirus</t>
  </si>
  <si>
    <t>Alpinia mosaic virus</t>
  </si>
  <si>
    <t>Cardamom mosaic virus</t>
  </si>
  <si>
    <t>Chinese yam necrotic mosaic virus</t>
  </si>
  <si>
    <t>Etapapillomavirus</t>
  </si>
  <si>
    <t>Gammapapillomavirus</t>
  </si>
  <si>
    <t>Ectocarpus siliculosus virus 1</t>
  </si>
  <si>
    <t>Ectocarpus siliculosus virus a</t>
  </si>
  <si>
    <t>Feldmannia irregularis virus a</t>
  </si>
  <si>
    <t>Feldmannia species virus</t>
  </si>
  <si>
    <t>Feldmannia species virus a</t>
  </si>
  <si>
    <t>Hincksia hinckiae virus a</t>
  </si>
  <si>
    <t>Myriotrichia clavaeformis virus a</t>
  </si>
  <si>
    <t>Pilayella littoralis virus 1</t>
  </si>
  <si>
    <t>Prasinovirus</t>
  </si>
  <si>
    <t>Micromonas pusilla virus SP1</t>
  </si>
  <si>
    <t>Prymnesiovirus</t>
  </si>
  <si>
    <t>Chrysochromulina brevifilum virus PW1</t>
  </si>
  <si>
    <t>Raphidovirus</t>
  </si>
  <si>
    <t>Heterosigma akashiwo virus 01</t>
  </si>
  <si>
    <t>Chelonus altitudinis bracovirus</t>
  </si>
  <si>
    <t>Chelonus blackburni bracovirus</t>
  </si>
  <si>
    <t>Chelonus inanitus bracovirus</t>
  </si>
  <si>
    <t>Chelonus insularis bracovirus</t>
  </si>
  <si>
    <t>Plasmaviridae</t>
  </si>
  <si>
    <t>Plasmavirus</t>
  </si>
  <si>
    <t>Polydnaviridae</t>
  </si>
  <si>
    <t>Apanteles crassicornis bracovirus</t>
  </si>
  <si>
    <t>Alfalfa cryptic virus 1</t>
  </si>
  <si>
    <t>Beet cryptic virus 1</t>
  </si>
  <si>
    <t>Beet cryptic virus 2</t>
  </si>
  <si>
    <t>Beet cryptic virus 3</t>
  </si>
  <si>
    <t>Carnation cryptic virus 1</t>
  </si>
  <si>
    <t>Carrot temperate virus 1</t>
  </si>
  <si>
    <t>Carrot temperate virus 3</t>
  </si>
  <si>
    <t>Carrot temperate virus 4</t>
  </si>
  <si>
    <t>Phanerotoma flavitestacea bracovirus</t>
  </si>
  <si>
    <t>Pholetesor ornigis bracovirus</t>
  </si>
  <si>
    <t>Glyptapanteles indiensis bracovirus</t>
  </si>
  <si>
    <t>Glyptapanteles liparidis bracovirus</t>
  </si>
  <si>
    <t>Campoletis aprilis ichnovirus</t>
  </si>
  <si>
    <t>Narcissus degeneration virus</t>
  </si>
  <si>
    <t>Narcissus late season yellows virus</t>
  </si>
  <si>
    <t>Narcissus yellow stripe virus</t>
  </si>
  <si>
    <t>Nerine yellow stripe virus</t>
  </si>
  <si>
    <t>Parechovirus</t>
  </si>
  <si>
    <t>Teschovirus</t>
  </si>
  <si>
    <t>Ornithogalum virus 2</t>
  </si>
  <si>
    <t>Ornithogalum virus 3</t>
  </si>
  <si>
    <t>Papaya leaf distortion mosaic virus</t>
  </si>
  <si>
    <t>Papaya ringspot virus</t>
  </si>
  <si>
    <t>Parsnip mosaic virus</t>
  </si>
  <si>
    <t>Passiflora chlorosis virus</t>
  </si>
  <si>
    <t>Passion fruit woodiness virus</t>
  </si>
  <si>
    <t>Pea seed-borne mosaic virus</t>
  </si>
  <si>
    <t>Peanut mottle virus</t>
  </si>
  <si>
    <t>Casinaria forcipata ichnovirus</t>
  </si>
  <si>
    <t>Casinaria infesta ichnovirus</t>
  </si>
  <si>
    <t>Diadegma acronyctae ichnovirus</t>
  </si>
  <si>
    <t>Diadegma interruptum ichnovirus</t>
  </si>
  <si>
    <t>Diadegma terebrans ichnovirus</t>
  </si>
  <si>
    <t>Enytus montanus ichnovirus</t>
  </si>
  <si>
    <t>Eriborus terebrans ichnovirus</t>
  </si>
  <si>
    <t>Glypta fumiferanae ichnovirus</t>
  </si>
  <si>
    <t>Hyposoter annulipes ichnovirus</t>
  </si>
  <si>
    <t>Hyposoter exiguae ichnovirus</t>
  </si>
  <si>
    <t>Hyposoter fugitivus ichnovirus</t>
  </si>
  <si>
    <t>Hyposoter lymantriae ichnovirus</t>
  </si>
  <si>
    <t>Hyposoter pilosulus ichnovirus</t>
  </si>
  <si>
    <t>Hyposoter rivalis ichnovirus</t>
  </si>
  <si>
    <t>Olesicampe benefactor ichnovirus</t>
  </si>
  <si>
    <t>Olesicampe geniculatae ichnovirus</t>
  </si>
  <si>
    <t>Synetaeris tenuifemur ichnovirus</t>
  </si>
  <si>
    <t>Polyomaviridae</t>
  </si>
  <si>
    <t>Paramecium bursaria Chlorella virus AL2A</t>
  </si>
  <si>
    <t>Paramecium bursaria Chlorella virus BJ2C</t>
  </si>
  <si>
    <t>Senecavirus</t>
  </si>
  <si>
    <t>Tremovirus</t>
  </si>
  <si>
    <t>Iguanid herpesvirus 2</t>
  </si>
  <si>
    <t>Ostreavirus</t>
  </si>
  <si>
    <t>Ostreid herpesvirus 1</t>
  </si>
  <si>
    <t>Mononegavirales</t>
  </si>
  <si>
    <t>Ichtadenovirus</t>
  </si>
  <si>
    <t>Salterprovirus</t>
  </si>
  <si>
    <t>His 1 virus</t>
  </si>
  <si>
    <t>Sobemovirus</t>
  </si>
  <si>
    <t>Blueberry shoestring virus</t>
  </si>
  <si>
    <t>Cocksfoot mottle virus</t>
  </si>
  <si>
    <t>Lucerne transient streak virus</t>
  </si>
  <si>
    <t>Rice yellow mottle virus</t>
  </si>
  <si>
    <t>Ryegrass mottle virus</t>
  </si>
  <si>
    <t>Plectrovirus</t>
  </si>
  <si>
    <t>Cryphonectria mitovirus 1</t>
  </si>
  <si>
    <t>Ophiostoma mitovirus 3a</t>
  </si>
  <si>
    <t>Ophiostoma mitovirus 4</t>
  </si>
  <si>
    <t>Ophiostoma mitovirus 5</t>
  </si>
  <si>
    <t>Ophiostoma mitovirus 6</t>
  </si>
  <si>
    <t>Narnavirus</t>
  </si>
  <si>
    <t>Saccharomyces 20S RNA narnavirus</t>
  </si>
  <si>
    <t>Invertebrate iridescent virus 6</t>
  </si>
  <si>
    <t>Lymphocystivirus</t>
  </si>
  <si>
    <t>Lymphocystis disease virus 1</t>
  </si>
  <si>
    <t>Megalocytivirus</t>
  </si>
  <si>
    <t>Infectious spleen and kidney necrosis virus</t>
  </si>
  <si>
    <t>Ranavirus</t>
  </si>
  <si>
    <t>Ambystoma tigrinum virus</t>
  </si>
  <si>
    <t>Bohle iridovirus</t>
  </si>
  <si>
    <t>Iridovirus</t>
  </si>
  <si>
    <t>Invertebrate iridescent virus 1</t>
  </si>
  <si>
    <t>Triatoma virus</t>
  </si>
  <si>
    <t>Acute bee paralysis virus</t>
  </si>
  <si>
    <t>Kashmir bee virus</t>
  </si>
  <si>
    <t>Taura syndrome virus</t>
  </si>
  <si>
    <t>Dicistroviridae</t>
  </si>
  <si>
    <t>Cripavirus</t>
  </si>
  <si>
    <t>Aphid lethal paralysis virus</t>
  </si>
  <si>
    <t>Black queen cell virus</t>
  </si>
  <si>
    <t>Cricket paralysis virus</t>
  </si>
  <si>
    <t>Drosophila C virus</t>
  </si>
  <si>
    <t>Plautia stali intestine virus</t>
  </si>
  <si>
    <t>Rhopalosiphum padi virus</t>
  </si>
  <si>
    <t>Aphthovirus</t>
  </si>
  <si>
    <t>Tobacco mottle virus</t>
  </si>
  <si>
    <t>Order</t>
  </si>
  <si>
    <t>Tomato yellow margin leaf curl virus</t>
  </si>
  <si>
    <t>Tomato yellow spot virus</t>
  </si>
  <si>
    <t>Tomato yellow vein streak virus</t>
  </si>
  <si>
    <t>Errantivirus</t>
  </si>
  <si>
    <t>Ceratitis capitata Yoyo virus</t>
  </si>
  <si>
    <t>Drosophila ananassae Tom virus</t>
  </si>
  <si>
    <t>Drosophila melanogaster 297 virus</t>
  </si>
  <si>
    <t>Iotapapillomavirus</t>
  </si>
  <si>
    <t>Trichoplusia ni TED virus</t>
  </si>
  <si>
    <t>Metavirus</t>
  </si>
  <si>
    <t>Arabidopsis thaliana Athila virus</t>
  </si>
  <si>
    <t>Arabidopsis thaliana Tat4 virus</t>
  </si>
  <si>
    <t>Bombyx mori Mag virus</t>
  </si>
  <si>
    <t>Caenorhabditis elegans Cer1 virus</t>
  </si>
  <si>
    <t>Cladosporium fulvum T-1 virus</t>
  </si>
  <si>
    <t>Dictyostelium discoideum Skipper virus</t>
  </si>
  <si>
    <t>Ampullaviridae</t>
  </si>
  <si>
    <t>Ampullavirus</t>
  </si>
  <si>
    <t>Acidianus bottle-shaped virus</t>
  </si>
  <si>
    <t>Arenaviridae</t>
  </si>
  <si>
    <t>Human coronavirus NL63</t>
  </si>
  <si>
    <t>Porcine epidemic diarrhea virus</t>
  </si>
  <si>
    <t>Torovirus</t>
  </si>
  <si>
    <t>Bovine torovirus</t>
  </si>
  <si>
    <t>Porcine torovirus</t>
  </si>
  <si>
    <t>Roniviridae</t>
  </si>
  <si>
    <t>Okavirus</t>
  </si>
  <si>
    <t>Gill-associated virus</t>
  </si>
  <si>
    <t>Picornavirales</t>
  </si>
  <si>
    <t>Broad bean true mosaic virus</t>
  </si>
  <si>
    <t>Cowpea mosaic virus</t>
  </si>
  <si>
    <t>Sapelovirus</t>
  </si>
  <si>
    <t>Avian sapelovirus</t>
  </si>
  <si>
    <t>Malacoherpesviridae</t>
  </si>
  <si>
    <t>Avihepatovirus</t>
  </si>
  <si>
    <t>Hepeviridae</t>
  </si>
  <si>
    <t>Sowbane mosaic virus</t>
  </si>
  <si>
    <t>Subterranean clover mottle virus</t>
  </si>
  <si>
    <t>Turnip rosette virus</t>
  </si>
  <si>
    <t>Velvet tobacco mottle virus</t>
  </si>
  <si>
    <t>Tenuivirus</t>
  </si>
  <si>
    <t>Milk vetch dwarf virus</t>
  </si>
  <si>
    <t>Subterranean clover stunt virus</t>
  </si>
  <si>
    <t>Coconut foliar decay virus</t>
  </si>
  <si>
    <t>Narnaviridae</t>
  </si>
  <si>
    <t>Mitovirus</t>
  </si>
  <si>
    <t>Saccharomyces 23S RNA narnavirus</t>
  </si>
  <si>
    <t>Nimaviridae</t>
  </si>
  <si>
    <t>Whispovirus</t>
  </si>
  <si>
    <t>White spot syndrome virus</t>
  </si>
  <si>
    <t>Nodaviridae</t>
  </si>
  <si>
    <t>Alphanodavirus</t>
  </si>
  <si>
    <t>Black beetle virus</t>
  </si>
  <si>
    <t>Boolarra virus</t>
  </si>
  <si>
    <t>Flock House virus</t>
  </si>
  <si>
    <t>Nodamura virus</t>
  </si>
  <si>
    <t>Pariacoto virus</t>
  </si>
  <si>
    <t>Betanodavirus</t>
  </si>
  <si>
    <t>Barfin flounder nervous necrosis virus</t>
  </si>
  <si>
    <t>Epizootic haematopoietic necrosis virus</t>
  </si>
  <si>
    <t>European catfish virus</t>
  </si>
  <si>
    <t>Frog virus 3</t>
  </si>
  <si>
    <t>Santee-Cooper ranavirus</t>
  </si>
  <si>
    <t>Leviviridae</t>
  </si>
  <si>
    <t>Allolevivirus</t>
  </si>
  <si>
    <t>Iflaviridae</t>
  </si>
  <si>
    <t>Iflavirus</t>
  </si>
  <si>
    <t>Deformed wing virus</t>
  </si>
  <si>
    <t>Ectropis obliqua virus</t>
  </si>
  <si>
    <t>Infectious flacherie virus</t>
  </si>
  <si>
    <t>Perina nuda virus</t>
  </si>
  <si>
    <t>Sacbrood virus</t>
  </si>
  <si>
    <t>Marnaviridae</t>
  </si>
  <si>
    <t>Marnavirus</t>
  </si>
  <si>
    <t>Heterosigma akashiwo RNA virus</t>
  </si>
  <si>
    <t>Picornaviridae</t>
  </si>
  <si>
    <t>Deltalipothrixvirus</t>
  </si>
  <si>
    <t>Carrot mottle virus</t>
  </si>
  <si>
    <t>Groundnut rosette virus</t>
  </si>
  <si>
    <t>Novirhabdovirus</t>
  </si>
  <si>
    <t>Tobacco bushy top virus</t>
  </si>
  <si>
    <t>Enamovirus</t>
  </si>
  <si>
    <t>Luteovirus</t>
  </si>
  <si>
    <t>Soybean dwarf virus</t>
  </si>
  <si>
    <t>Chickpea stunt disease associated virus</t>
  </si>
  <si>
    <t>Vernonia yellow vein virus</t>
  </si>
  <si>
    <t>Watermelon chlorotic stunt virus</t>
  </si>
  <si>
    <t>Curtovirus</t>
  </si>
  <si>
    <t>Beet curly top virus</t>
  </si>
  <si>
    <t>Flaviviridae</t>
  </si>
  <si>
    <t>Flavivirus</t>
  </si>
  <si>
    <t>Apoi virus</t>
  </si>
  <si>
    <t>Aroa virus</t>
  </si>
  <si>
    <t>Bagaza virus</t>
  </si>
  <si>
    <t>Banzi virus</t>
  </si>
  <si>
    <t>Bouboui virus</t>
  </si>
  <si>
    <t>Bukalasa bat virus</t>
  </si>
  <si>
    <t>Kappapapillomavirus</t>
  </si>
  <si>
    <t>Lambdapapillomavirus</t>
  </si>
  <si>
    <t>Mupapillomavirus</t>
  </si>
  <si>
    <t>Nupapillomavirus</t>
  </si>
  <si>
    <t>Pipapillomavirus</t>
  </si>
  <si>
    <t>Thetapapillomavirus</t>
  </si>
  <si>
    <t>Drosophila buzzatii Osvaldo virus</t>
  </si>
  <si>
    <t>Drosophila melanogaster 412 virus</t>
  </si>
  <si>
    <t>Drosophila melanogaster Blastopia virus</t>
  </si>
  <si>
    <t>Drosophila melanogaster Mdg1 virus</t>
  </si>
  <si>
    <t>Drosophila melanogaster Mdg3 virus</t>
  </si>
  <si>
    <t>Drosophila melanogaster Micropia virus</t>
  </si>
  <si>
    <t>Glycine mosaic virus</t>
  </si>
  <si>
    <t>Pea green mottle virus</t>
  </si>
  <si>
    <t>Gokushovirinae</t>
  </si>
  <si>
    <t>Caenorhabditis elegans Cer13 virus</t>
  </si>
  <si>
    <t>Drosophila melanogaster Bel virus</t>
  </si>
  <si>
    <t>Drosophila melanogaster Roo virus</t>
  </si>
  <si>
    <t>Gooseberry vein banding associated virus</t>
  </si>
  <si>
    <t>Spinareovirinae</t>
  </si>
  <si>
    <t>Sedoreovirinae</t>
  </si>
  <si>
    <t>Wiseana signata nucleopolyhedrovirus</t>
  </si>
  <si>
    <t>Betabaculovirus</t>
  </si>
  <si>
    <t>Adoxophyes orana granulovirus</t>
  </si>
  <si>
    <t>Artogeia rapae granulovirus</t>
  </si>
  <si>
    <t>Choristoneura fumiferana granulovirus</t>
  </si>
  <si>
    <t>Botrytis virus X</t>
  </si>
  <si>
    <t>Tymovirales</t>
  </si>
  <si>
    <t>Betaflexiviridae</t>
  </si>
  <si>
    <t>Murray Valley encephalitis virus</t>
  </si>
  <si>
    <t>Ntaya virus</t>
  </si>
  <si>
    <t>Omsk hemorrhagic fever virus</t>
  </si>
  <si>
    <t>Horsegram yellow mosaic virus</t>
  </si>
  <si>
    <t>Indian cassava mosaic virus</t>
  </si>
  <si>
    <t>Kudzu mosaic virus</t>
  </si>
  <si>
    <t>Lindernia anagallis yellow vein virus</t>
  </si>
  <si>
    <t>Tobacco latent virus</t>
  </si>
  <si>
    <t>Saumarez Reef virus</t>
  </si>
  <si>
    <t>Sepik virus</t>
  </si>
  <si>
    <t>Tembusu virus</t>
  </si>
  <si>
    <t>Tick-borne encephalitis virus</t>
  </si>
  <si>
    <t>Tyuleniy virus</t>
  </si>
  <si>
    <t>Uganda S virus</t>
  </si>
  <si>
    <t>Usutu virus</t>
  </si>
  <si>
    <t>Wesselsbron virus</t>
  </si>
  <si>
    <t>West Nile virus</t>
  </si>
  <si>
    <t>Yaounde virus</t>
  </si>
  <si>
    <t>Yellow fever virus</t>
  </si>
  <si>
    <t>Yokose virus</t>
  </si>
  <si>
    <t>Zika virus</t>
  </si>
  <si>
    <t>Hepacivirus</t>
  </si>
  <si>
    <t>Pestivirus</t>
  </si>
  <si>
    <t>Ludwigia yellow vein Vietnam virus</t>
  </si>
  <si>
    <t>Ludwigia yellow vein virus</t>
  </si>
  <si>
    <t>Luffa yellow mosaic virus</t>
  </si>
  <si>
    <t>Moloney murine sarcoma virus</t>
  </si>
  <si>
    <t>Murine leukemia virus</t>
  </si>
  <si>
    <t>Porcine type-C oncovirus</t>
  </si>
  <si>
    <t>Reticuloendotheliosis virus</t>
  </si>
  <si>
    <t>Petunia vein clearing virus</t>
  </si>
  <si>
    <t>Soymovirus</t>
  </si>
  <si>
    <t>Blueberry red ringspot virus</t>
  </si>
  <si>
    <t>Peanut chlorotic streak virus</t>
  </si>
  <si>
    <t>Soybean chlorotic mottle virus</t>
  </si>
  <si>
    <t>Tungrovirus</t>
  </si>
  <si>
    <t>Caprine arthritis encephalitis virus</t>
  </si>
  <si>
    <t>Equine infectious anemia virus</t>
  </si>
  <si>
    <t>Feline immunodeficiency virus</t>
  </si>
  <si>
    <t>Human immunodeficiency virus 1</t>
  </si>
  <si>
    <t>Human immunodeficiency virus 2</t>
  </si>
  <si>
    <t>Puma lentivirus</t>
  </si>
  <si>
    <t>Simian immunodeficiency virus</t>
  </si>
  <si>
    <t>Spumaretrovirinae</t>
  </si>
  <si>
    <t>Finch circovirus</t>
  </si>
  <si>
    <t>Goose circovirus</t>
  </si>
  <si>
    <t>Gull circovirus</t>
  </si>
  <si>
    <t>Indian citrus ringspot virus</t>
  </si>
  <si>
    <t>Potexvirus</t>
  </si>
  <si>
    <t>Spinach latent virus</t>
  </si>
  <si>
    <t>Orthopoxvirus</t>
  </si>
  <si>
    <t>Camelpox virus</t>
  </si>
  <si>
    <t>Cowpox virus</t>
  </si>
  <si>
    <t>Ectromelia virus</t>
  </si>
  <si>
    <t>Monkeypox virus</t>
  </si>
  <si>
    <t>Raccoonpox virus</t>
  </si>
  <si>
    <t>Taterapox virus</t>
  </si>
  <si>
    <t>Vaccinia virus</t>
  </si>
  <si>
    <t>Variola virus</t>
  </si>
  <si>
    <t>Volepox virus</t>
  </si>
  <si>
    <t>Parapoxvirus</t>
  </si>
  <si>
    <t>Bovine papular stomatitis virus</t>
  </si>
  <si>
    <t>Orf virus</t>
  </si>
  <si>
    <t>Parapoxvirus of red deer in New Zealand</t>
  </si>
  <si>
    <t>Pseudocowpox virus</t>
  </si>
  <si>
    <t>Suipoxvirus</t>
  </si>
  <si>
    <t>Swinepox virus</t>
  </si>
  <si>
    <t>Chalara elegans RNA Virus 1</t>
  </si>
  <si>
    <t>Coniothyrium minitans RNA virus</t>
  </si>
  <si>
    <t>Epichloe festucae virus 1</t>
  </si>
  <si>
    <t>Gremmeniella abietina RNA virus L1</t>
  </si>
  <si>
    <t>Avihepadnavirus</t>
  </si>
  <si>
    <t>Duck hepatitis B virus</t>
  </si>
  <si>
    <t>Heron hepatitis B virus</t>
  </si>
  <si>
    <t>Orthohepadnavirus</t>
  </si>
  <si>
    <t>Ground squirrel hepatitis virus</t>
  </si>
  <si>
    <t>Hepatitis B virus</t>
  </si>
  <si>
    <t>Woodchuck hepatitis virus</t>
  </si>
  <si>
    <t>Ophiostoma partitivirus 1</t>
  </si>
  <si>
    <t>Penicillium stoloniferum virus F</t>
  </si>
  <si>
    <t>Pleurotus ostreatus virus 1</t>
  </si>
  <si>
    <t>Cryspovirus</t>
  </si>
  <si>
    <t>Turnip yellow mosaic virus</t>
  </si>
  <si>
    <t>Voandzeia necrotic mosaic virus</t>
  </si>
  <si>
    <t>Wild cucumber mosaic virus</t>
  </si>
  <si>
    <t>Benyvirus</t>
  </si>
  <si>
    <t>Beet necrotic yellow vein virus</t>
  </si>
  <si>
    <t>Beet soil-borne mosaic virus</t>
  </si>
  <si>
    <t>Deltavirus</t>
  </si>
  <si>
    <t>Hepatitis delta virus</t>
  </si>
  <si>
    <t>Furovirus</t>
  </si>
  <si>
    <t>Chinese wheat mosaic virus</t>
  </si>
  <si>
    <t>Oat golden stripe virus</t>
  </si>
  <si>
    <t>Soil-borne cereal mosaic virus</t>
  </si>
  <si>
    <t>Soil-borne wheat mosaic virus</t>
  </si>
  <si>
    <t>Bovine leukemia virus</t>
  </si>
  <si>
    <t>Primate T-lymphotropic virus 1</t>
  </si>
  <si>
    <t>Primate T-lymphotropic virus 2</t>
  </si>
  <si>
    <t>Pea stem necrosis virus</t>
  </si>
  <si>
    <t>Pelargonium flower break virus</t>
  </si>
  <si>
    <t>Saguaro cactus virus</t>
  </si>
  <si>
    <t>Turnip crinkle virus</t>
  </si>
  <si>
    <t>Weddel waterborne virus</t>
  </si>
  <si>
    <t>Dianthovirus</t>
  </si>
  <si>
    <t>Carnation ringspot virus</t>
  </si>
  <si>
    <t>Red clover necrotic mosaic virus</t>
  </si>
  <si>
    <t>Sweet clover necrotic mosaic virus</t>
  </si>
  <si>
    <t>Machlomovirus</t>
  </si>
  <si>
    <t>Maize chlorotic mottle virus</t>
  </si>
  <si>
    <t>Gardner-Arnstein feline sarcoma virus</t>
  </si>
  <si>
    <t>Gibbon ape leukemia virus</t>
  </si>
  <si>
    <t>Guinea pig type-C oncovirus</t>
  </si>
  <si>
    <t>Hardy-Zuckerman feline sarcoma virus</t>
  </si>
  <si>
    <t>Harvey murine sarcoma virus</t>
  </si>
  <si>
    <t>Cotton leaf curl Bangalore virus</t>
  </si>
  <si>
    <t>Arabidopsis thaliana Ta1 virus</t>
  </si>
  <si>
    <t>Brassica oleracea Melmoth virus</t>
  </si>
  <si>
    <t>Cajanus cajan Panzee virus</t>
  </si>
  <si>
    <t>Glycine max Tgmr virus</t>
  </si>
  <si>
    <t>Hordeum vulgare BARE-1 virus</t>
  </si>
  <si>
    <t>Nicotiana tabacum Tnt1 virus</t>
  </si>
  <si>
    <t>Nicotiana tabacum Tto1 virus</t>
  </si>
  <si>
    <t>Percavirus</t>
  </si>
  <si>
    <t>Rhadinovirus</t>
  </si>
  <si>
    <t>Simplexvirus</t>
  </si>
  <si>
    <t>Varicellovirus</t>
  </si>
  <si>
    <t>Rudiviridae</t>
  </si>
  <si>
    <t>Rudivirus</t>
  </si>
  <si>
    <t>Original release</t>
    <phoneticPr fontId="3" type="noConversion"/>
  </si>
  <si>
    <t>Lymphocryptovirus</t>
  </si>
  <si>
    <t>Date</t>
    <phoneticPr fontId="3" type="noConversion"/>
  </si>
  <si>
    <t>Change:</t>
    <phoneticPr fontId="3" type="noConversion"/>
  </si>
  <si>
    <t>St Croix River virus</t>
  </si>
  <si>
    <t>Umatilla virus</t>
  </si>
  <si>
    <t>Wad Medani virus</t>
  </si>
  <si>
    <t>Wallal virus</t>
  </si>
  <si>
    <t>Warrego virus</t>
  </si>
  <si>
    <t>Wongorr virus</t>
  </si>
  <si>
    <t>Yunnan orbivirus</t>
  </si>
  <si>
    <t>Orthoreovirus</t>
  </si>
  <si>
    <t>Avian orthoreovirus</t>
  </si>
  <si>
    <t>Baboon orthoreovirus</t>
  </si>
  <si>
    <t>Mammalian orthoreovirus</t>
  </si>
  <si>
    <t>Nelson Bay orthoreovirus</t>
  </si>
  <si>
    <t>Reptilian orthoreovirus</t>
  </si>
  <si>
    <t>Oryzavirus</t>
  </si>
  <si>
    <t>Echinochloa ragged stunt virus</t>
  </si>
  <si>
    <t>Rio Negro virus</t>
  </si>
  <si>
    <t>Ross River virus</t>
  </si>
  <si>
    <t>Salmon pancreas disease virus</t>
  </si>
  <si>
    <t>Semliki Forest virus</t>
  </si>
  <si>
    <t>Sindbis virus</t>
  </si>
  <si>
    <t>Southern elephant seal virus</t>
  </si>
  <si>
    <t>Macavirus</t>
  </si>
  <si>
    <t>Henipavirus</t>
  </si>
  <si>
    <t>Morbillivirus</t>
  </si>
  <si>
    <t>Cetacean morbillivirus</t>
  </si>
  <si>
    <t>Respirovirus</t>
  </si>
  <si>
    <t>Bermuda grass etched-line virus</t>
  </si>
  <si>
    <t>Citrus sudden death-associated virus</t>
  </si>
  <si>
    <t>Maize rayado fino virus</t>
  </si>
  <si>
    <t>Oat blue dwarf virus</t>
  </si>
  <si>
    <t>Caudovirales</t>
  </si>
  <si>
    <t>Myoviridae</t>
  </si>
  <si>
    <t>Totivirus</t>
  </si>
  <si>
    <t>Saccharomyces cerevisiae virus L-A</t>
  </si>
  <si>
    <t>Ustilago maydis virus H1</t>
  </si>
  <si>
    <t>Tymoviridae</t>
  </si>
  <si>
    <t>Maculavirus</t>
  </si>
  <si>
    <t>Grapevine fleck virus</t>
  </si>
  <si>
    <t>Marafivirus</t>
  </si>
  <si>
    <t>Peduovirinae</t>
  </si>
  <si>
    <t>Spounavirinae</t>
  </si>
  <si>
    <t>Tevenvirinae</t>
  </si>
  <si>
    <t>Scutavirus</t>
  </si>
  <si>
    <t>Bundibugyo ebolavirus</t>
  </si>
  <si>
    <t>Marburg marburgvirus</t>
  </si>
  <si>
    <t>Aquaparamyxovirus</t>
  </si>
  <si>
    <t>Ferlavirus</t>
  </si>
  <si>
    <t>Moussa virus</t>
  </si>
  <si>
    <t>Ictalurivirus</t>
  </si>
  <si>
    <t>Phycodnaviridae</t>
  </si>
  <si>
    <t>Chlorovirus</t>
  </si>
  <si>
    <t>Hydra viridis Chlorella virus 1</t>
  </si>
  <si>
    <t>Paramecium bursaria Chlorella virus 1</t>
  </si>
  <si>
    <t>Paramecium bursaria Chlorella virus A1</t>
  </si>
  <si>
    <t>Paramecium bursaria Chlorella virus AL1A</t>
  </si>
  <si>
    <t>Autographivirinae</t>
  </si>
  <si>
    <t>Pea mild mosaic virus</t>
  </si>
  <si>
    <t>Trichoplusia ni ascovirus 2a</t>
  </si>
  <si>
    <t>Red clover mottle virus</t>
  </si>
  <si>
    <t>Aparavirus</t>
  </si>
  <si>
    <t>Israeli acute paralysis virus</t>
  </si>
  <si>
    <t>Idnoreovirus 1</t>
  </si>
  <si>
    <t>Idnoreovirus 2</t>
  </si>
  <si>
    <t>Idnoreovirus 3</t>
  </si>
  <si>
    <t>Idnoreovirus 4</t>
  </si>
  <si>
    <t>Idnoreovirus 5</t>
  </si>
  <si>
    <t>Severe acute respiratory syndrome-related coronavirus</t>
  </si>
  <si>
    <t>Bovine immunodeficiency virus</t>
  </si>
  <si>
    <t>Bovine foamy virus</t>
  </si>
  <si>
    <t>Equine foamy virus</t>
  </si>
  <si>
    <t>Feline foamy virus</t>
  </si>
  <si>
    <t>African horse sickness virus</t>
  </si>
  <si>
    <t>Bluetongue virus</t>
  </si>
  <si>
    <t>Changuinola virus</t>
  </si>
  <si>
    <t>Chenuda virus</t>
  </si>
  <si>
    <t>Chobar Gorge virus</t>
  </si>
  <si>
    <t>Corriparta virus</t>
  </si>
  <si>
    <t>Ephemerovirus</t>
  </si>
  <si>
    <t>Lyssavirus</t>
  </si>
  <si>
    <t>Australian bat lyssavirus</t>
  </si>
  <si>
    <t>Mardivirus</t>
  </si>
  <si>
    <t>Coronaviridae</t>
  </si>
  <si>
    <t>Human coronavirus 229E</t>
  </si>
  <si>
    <t>Aviadenovirus</t>
  </si>
  <si>
    <t>Cowpea mottle virus</t>
  </si>
  <si>
    <t>Cucumber soil-borne virus</t>
  </si>
  <si>
    <t>Galinsoga mosaic virus</t>
  </si>
  <si>
    <t>Hibiscus chlorotic ringspot virus</t>
  </si>
  <si>
    <t>Epizootic hemorrhagic disease virus</t>
  </si>
  <si>
    <t>Equine encephalosis virus</t>
  </si>
  <si>
    <t>Eubenangee virus</t>
  </si>
  <si>
    <t>Great Island virus</t>
  </si>
  <si>
    <t>Ieri virus</t>
  </si>
  <si>
    <t>Lebombo virus</t>
  </si>
  <si>
    <t>Betaherpesvirinae</t>
  </si>
  <si>
    <t>Human coronavirus HKU1</t>
  </si>
  <si>
    <t>Proboscivirus</t>
  </si>
  <si>
    <t>Roseolovirus</t>
  </si>
  <si>
    <t>Orungo virus</t>
  </si>
  <si>
    <t>Palyam virus</t>
  </si>
  <si>
    <t>Peruvian horse sickness virus</t>
  </si>
  <si>
    <t>Gammaherpesvirinae</t>
  </si>
  <si>
    <t>Bornaviridae</t>
  </si>
  <si>
    <t>Filoviridae</t>
  </si>
  <si>
    <t>Ebolavirus</t>
  </si>
  <si>
    <t>Reston ebolavirus</t>
  </si>
  <si>
    <t>Sudan ebolavirus</t>
  </si>
  <si>
    <t>Zaire ebolavirus</t>
  </si>
  <si>
    <t>Marburgvirus</t>
  </si>
  <si>
    <t>Paramyxoviridae</t>
  </si>
  <si>
    <t>Avulavirus</t>
  </si>
  <si>
    <t>Sesbania mosaic virus</t>
  </si>
  <si>
    <t>Solanum nodiflorum mottle virus</t>
  </si>
  <si>
    <t>Southern bean mosaic virus</t>
  </si>
  <si>
    <t>Southern cowpea mosaic virus</t>
  </si>
  <si>
    <t>Olive latent ringspot virus</t>
  </si>
  <si>
    <t>Peach rosette mosaic virus</t>
  </si>
  <si>
    <t>Potato black ringspot virus</t>
  </si>
  <si>
    <t>Potato virus U</t>
  </si>
  <si>
    <t>Raspberry ringspot virus</t>
  </si>
  <si>
    <t>Iridoviridae</t>
  </si>
  <si>
    <t>Chloriridovirus</t>
  </si>
  <si>
    <t>Invertebrate iridescent virus 3</t>
  </si>
  <si>
    <t>Tobacco ringspot virus</t>
  </si>
  <si>
    <t>Tomato black ring virus</t>
  </si>
  <si>
    <t>Tomato ringspot virus</t>
  </si>
  <si>
    <t>Snyder-Theilen feline sarcoma virus</t>
  </si>
  <si>
    <t>Trager duck spleen necrosis virus</t>
  </si>
  <si>
    <t>Viper retrovirus</t>
  </si>
  <si>
    <t>Woolly monkey sarcoma virus</t>
  </si>
  <si>
    <t>Lentivirus</t>
  </si>
  <si>
    <t>Himetobi P virus</t>
  </si>
  <si>
    <t>Rubulavirus</t>
  </si>
  <si>
    <t>Porcine rubulavirus</t>
  </si>
  <si>
    <t>Avian metapneumovirus</t>
  </si>
  <si>
    <t>Human metapneumovirus</t>
  </si>
  <si>
    <t>Nucleorhabdovirus</t>
  </si>
  <si>
    <t>Rhabdoviridae</t>
  </si>
  <si>
    <t>Cytorhabdovirus</t>
  </si>
  <si>
    <t>Vesiculovirus</t>
  </si>
  <si>
    <t>Nidovirales</t>
  </si>
  <si>
    <t>Arteriviridae</t>
  </si>
  <si>
    <t>Mastadenovirus</t>
  </si>
  <si>
    <t>Pepino mosaic virus</t>
  </si>
  <si>
    <t>Plantago asiatica mosaic virus</t>
  </si>
  <si>
    <t>Plantain virus X</t>
  </si>
  <si>
    <t>Potato aucuba mosaic virus</t>
  </si>
  <si>
    <t>Potato virus X</t>
  </si>
  <si>
    <t>Schlumbergera virus X</t>
  </si>
  <si>
    <t>Pepper leaf curl Bangladesh virus</t>
  </si>
  <si>
    <t>Hosta virus X</t>
  </si>
  <si>
    <t>Hydrangea ringspot virus</t>
  </si>
  <si>
    <t>Tulip virus X</t>
  </si>
  <si>
    <t>White clover mosaic virus</t>
  </si>
  <si>
    <t>Zygocactus virus X</t>
  </si>
  <si>
    <t>Strawberry mild yellow edge virus</t>
  </si>
  <si>
    <t>Tamus red mosaic virus</t>
  </si>
  <si>
    <t>Apple chlorotic leaf spot virus</t>
  </si>
  <si>
    <t>Desmodium yellow mottle virus</t>
  </si>
  <si>
    <t>Dulcamara mottle virus</t>
  </si>
  <si>
    <t>Eggplant mosaic virus</t>
  </si>
  <si>
    <t>Erysimum latent virus</t>
  </si>
  <si>
    <t>Guttaviridae</t>
  </si>
  <si>
    <t>Ranunculus mild mosaic virus</t>
  </si>
  <si>
    <t>Ranunculus mosaic virus</t>
  </si>
  <si>
    <t>Okra mosaic virus</t>
  </si>
  <si>
    <t>Ononis yellow mosaic virus</t>
  </si>
  <si>
    <t>Sorghum mosaic virus</t>
  </si>
  <si>
    <t>Soybean mosaic virus</t>
  </si>
  <si>
    <t>Sugarcane mosaic virus</t>
  </si>
  <si>
    <t>Sunflower mosaic virus</t>
  </si>
  <si>
    <t>Sweet potato feathery mottle virus</t>
  </si>
  <si>
    <t>Sweet potato latent virus</t>
  </si>
  <si>
    <t>Torque teno virus 29</t>
  </si>
  <si>
    <t>Pepper yellow leaf curl Indonesia virus</t>
  </si>
  <si>
    <t>Pepper yellow vein Mali virus</t>
  </si>
  <si>
    <t>Potato yellow mosaic Panama virus</t>
  </si>
  <si>
    <t>Potato yellow mosaic virus</t>
  </si>
  <si>
    <t>Pumpkin yellow mosaic virus</t>
  </si>
  <si>
    <t>Radish leaf curl virus</t>
  </si>
  <si>
    <t>Tymovirus</t>
  </si>
  <si>
    <t>Anagyris vein yellowing virus</t>
  </si>
  <si>
    <t>Andean potato latent virus</t>
  </si>
  <si>
    <t>Belladonna mottle virus</t>
  </si>
  <si>
    <t>Cacao yellow mosaic virus</t>
  </si>
  <si>
    <t>Calopogonium yellow vein virus</t>
  </si>
  <si>
    <t>Chayote mosaic virus</t>
  </si>
  <si>
    <t>Clitoria yellow vein virus</t>
  </si>
  <si>
    <t>Chloris striate mosaic virus</t>
  </si>
  <si>
    <t>Digitaria streak virus</t>
  </si>
  <si>
    <t>Maize streak virus</t>
  </si>
  <si>
    <t>Wild potato mosaic virus</t>
  </si>
  <si>
    <t>Wisteria vein mosaic virus</t>
  </si>
  <si>
    <t>Yam mild mosaic virus</t>
  </si>
  <si>
    <t>Yam mosaic virus</t>
  </si>
  <si>
    <t>Zantedeschia mild mosaic virus</t>
  </si>
  <si>
    <t>Zea mosaic virus</t>
  </si>
  <si>
    <t>Ranid herpesvirus 2</t>
  </si>
  <si>
    <t>Cyprinivirus</t>
  </si>
  <si>
    <t>Cyprinid herpesvirus 1</t>
  </si>
  <si>
    <t>Cyprinid herpesvirus 2</t>
  </si>
  <si>
    <t>Salmonivirus</t>
  </si>
  <si>
    <t>Croton yellow vein mosaic virus</t>
  </si>
  <si>
    <t>Desmodium leaf distortion virus</t>
  </si>
  <si>
    <t>Dicliptera yellow mottle Cuba virus</t>
  </si>
  <si>
    <t>Dicliptera yellow mottle virus</t>
  </si>
  <si>
    <t>Dolichos yellow mosaic virus</t>
  </si>
  <si>
    <t>Garlic virus A</t>
  </si>
  <si>
    <t>Garlic virus B</t>
  </si>
  <si>
    <t>Garlic virus C</t>
  </si>
  <si>
    <t>Salmonid herpesvirus 3</t>
  </si>
  <si>
    <t>Parsnip yellow fleck virus</t>
  </si>
  <si>
    <t>Rice tungro spherical virus</t>
  </si>
  <si>
    <t>Sclerotinia sclerotiorum debilitation-associated RNA virus</t>
  </si>
  <si>
    <t>African oil palm ringspot virus</t>
  </si>
  <si>
    <t>Sugarcane striate mosaic-associated virus</t>
  </si>
  <si>
    <t>Rosellinia necatrix virus 1</t>
  </si>
  <si>
    <t>Helminthosporium victoriae virus 190S</t>
  </si>
  <si>
    <t>Varicosavirus</t>
  </si>
  <si>
    <t>Acipenserid herpesvirus 2</t>
  </si>
  <si>
    <t>Oat sterile dwarf virus</t>
  </si>
  <si>
    <t>Pangola stunt virus</t>
  </si>
  <si>
    <t>Chironomus plumosus entomopoxvirus</t>
  </si>
  <si>
    <t>Aedes aegypti Mosqcopia virus</t>
  </si>
  <si>
    <t>Candida albicans Tca2 virus</t>
  </si>
  <si>
    <t>Rehmannia mosaic virus</t>
  </si>
  <si>
    <t>Brugmansia mild mottle virus</t>
  </si>
  <si>
    <t>Streptocarpus flower break virus</t>
  </si>
  <si>
    <t>Grapevine virus E</t>
  </si>
  <si>
    <t>Tomato leaf curl Guangdong virus</t>
  </si>
  <si>
    <t>Tomato leaf curl Kerala virus</t>
  </si>
  <si>
    <t>Tomato leaf curl Laos virus</t>
  </si>
  <si>
    <t>Tomato leaf curl Madagascar virus</t>
  </si>
  <si>
    <t>Tomato leaf curl Malaysia virus</t>
  </si>
  <si>
    <t>Tomato leaf curl Mali virus</t>
  </si>
  <si>
    <t>Tomato leaf curl New Delhi virus</t>
  </si>
  <si>
    <t>Tomato leaf curl Philippines virus</t>
  </si>
  <si>
    <t>Tomato leaf curl Pune virus</t>
  </si>
  <si>
    <t>Tomato leaf curl Seychelles virus</t>
  </si>
  <si>
    <t>Tomato leaf curl Sinaloa virus</t>
  </si>
  <si>
    <t>Tomato leaf curl Sri Lanka virus</t>
  </si>
  <si>
    <t>Tomato leaf curl Sudan virus</t>
  </si>
  <si>
    <t>Tomato leaf curl Taiwan virus</t>
  </si>
  <si>
    <t>Tomato leaf curl Uganda virus</t>
  </si>
  <si>
    <t>Tomato leaf curl Vietnam virus</t>
  </si>
  <si>
    <t>Tomato leaf curl virus</t>
  </si>
  <si>
    <t>Tomato mild yellow leaf curl Aragua virus</t>
  </si>
  <si>
    <t>Tomato mosaic Havana virus</t>
  </si>
  <si>
    <t>Gammaentomopoxvirus</t>
  </si>
  <si>
    <t>Aedes aegypti entomopoxvirus</t>
  </si>
  <si>
    <t>Oat mosaic virus</t>
  </si>
  <si>
    <t>Rymovirus</t>
  </si>
  <si>
    <t>Agropyron mosaic virus</t>
  </si>
  <si>
    <t>Hordeum mosaic virus</t>
  </si>
  <si>
    <t>Ryegrass mosaic virus</t>
  </si>
  <si>
    <t>Tritimovirus</t>
  </si>
  <si>
    <t>Brome streak mosaic virus</t>
  </si>
  <si>
    <t>Oat necrotic mottle virus</t>
  </si>
  <si>
    <t>Wheat streak mosaic virus</t>
  </si>
  <si>
    <t>Candida albicans Tca5 virus</t>
  </si>
  <si>
    <t>Drosophila melanogaster 1731 virus</t>
  </si>
  <si>
    <t>Tomato infectious chlorosis virus</t>
  </si>
  <si>
    <t>Mint vein banding-associated virus</t>
  </si>
  <si>
    <t>Torque teno mini virus 7</t>
  </si>
  <si>
    <t>Torque teno mini virus 8</t>
  </si>
  <si>
    <t>Torque teno mini virus 9</t>
  </si>
  <si>
    <t>Goatpox virus</t>
  </si>
  <si>
    <t>Lumpy skin disease virus</t>
  </si>
  <si>
    <t>Sheeppox virus</t>
  </si>
  <si>
    <t>Cervidpoxvirus</t>
  </si>
  <si>
    <t>Torque teno tupaia virus</t>
  </si>
  <si>
    <t>Philosamia cynthia x ricini virus</t>
  </si>
  <si>
    <t>Providence virus</t>
  </si>
  <si>
    <t>Torque teno felis virus</t>
  </si>
  <si>
    <t>Torque teno canis virus</t>
  </si>
  <si>
    <t>Calanthe mild mosaic virus</t>
  </si>
  <si>
    <t>Carnation vein mottle virus</t>
  </si>
  <si>
    <t>Carrot thin leaf virus</t>
  </si>
  <si>
    <t>Carrot virus Y</t>
  </si>
  <si>
    <t>Celery mosaic virus</t>
  </si>
  <si>
    <t>Ceratobium mosaic virus</t>
  </si>
  <si>
    <t>Chilli veinal mottle virus</t>
  </si>
  <si>
    <t>Chinese artichoke mosaic virus</t>
  </si>
  <si>
    <t>Clitoria virus Y</t>
  </si>
  <si>
    <t>Clover yellow vein virus</t>
  </si>
  <si>
    <t>Pokeweed mosaic virus</t>
  </si>
  <si>
    <t>Potato virus A</t>
  </si>
  <si>
    <t>Sulfolobus islandicus rod-shaped virus 2</t>
  </si>
  <si>
    <t>Tectiviridae</t>
  </si>
  <si>
    <t>Tomato leaf curl Bangalore virus</t>
  </si>
  <si>
    <t>Tomato leaf curl Bangladesh virus</t>
  </si>
  <si>
    <t>Cypovirus 13</t>
  </si>
  <si>
    <t>Cypovirus 14</t>
  </si>
  <si>
    <t>Cypovirus 15</t>
  </si>
  <si>
    <t>Cypovirus 16</t>
  </si>
  <si>
    <t>Cypovirus 2</t>
  </si>
  <si>
    <t>Zucchini yellow fleck virus</t>
  </si>
  <si>
    <t>Zucchini yellow mosaic virus</t>
  </si>
  <si>
    <t>Cypovirus 1</t>
  </si>
  <si>
    <t>Cypovirus 8</t>
  </si>
  <si>
    <t>Cypovirus 9</t>
  </si>
  <si>
    <t>Dinovernavirus</t>
  </si>
  <si>
    <t>Giardia lamblia virus</t>
  </si>
  <si>
    <t>Leishmaniavirus</t>
  </si>
  <si>
    <t>Atkinsonella hypoxylon virus</t>
  </si>
  <si>
    <t>Discula destructiva virus 1</t>
  </si>
  <si>
    <t>Maize rough dwarf virus</t>
  </si>
  <si>
    <t>Mal de Rio Cuarto virus</t>
  </si>
  <si>
    <t>Nilaparvata lugens reovirus</t>
  </si>
  <si>
    <t>Rice black streaked dwarf virus</t>
  </si>
  <si>
    <t>Idnoreovirus</t>
  </si>
  <si>
    <t>Tobacco leaf curl Cuba virus</t>
  </si>
  <si>
    <t>Tobacco leaf curl Japan virus</t>
  </si>
  <si>
    <t>Tobacco leaf curl Yunnan virus</t>
  </si>
  <si>
    <t>Tobacco leaf curl Zimbabwe virus</t>
  </si>
  <si>
    <t>Faba bean necrotic yellows virus</t>
  </si>
  <si>
    <t>Garlic common latent virus</t>
  </si>
  <si>
    <t>Helenium virus S</t>
  </si>
  <si>
    <t>Hop latent virus</t>
  </si>
  <si>
    <t>Hop mosaic virus</t>
  </si>
  <si>
    <t>Parvovirinae</t>
  </si>
  <si>
    <t>Redspotted grouper nervous necrosis virus</t>
  </si>
  <si>
    <t>Striped jack nervous necrosis virus</t>
  </si>
  <si>
    <t>Tiger puffer nervous necrosis virus</t>
  </si>
  <si>
    <t>Ophiovirus</t>
  </si>
  <si>
    <t>Orthomyxoviridae</t>
  </si>
  <si>
    <t>Levivirus</t>
  </si>
  <si>
    <t>Lipothrixviridae</t>
  </si>
  <si>
    <t>Thermoproteus tenax virus 1</t>
  </si>
  <si>
    <t>Betalipothrixvirus</t>
  </si>
  <si>
    <t>Sulfolobus islandicus filamentous virus</t>
  </si>
  <si>
    <t>Bean leafroll virus</t>
  </si>
  <si>
    <t>Lettuce speckles mottle virus</t>
  </si>
  <si>
    <t>Polerovirus</t>
  </si>
  <si>
    <t>Beet chlorosis virus</t>
  </si>
  <si>
    <t>Beet western yellows virus</t>
  </si>
  <si>
    <t>Carrot red leaf virus</t>
  </si>
  <si>
    <t>Cucurbit aphid-borne yellows virus</t>
  </si>
  <si>
    <t>Potato leafroll virus</t>
  </si>
  <si>
    <t>Sugarcane yellow leaf virus</t>
  </si>
  <si>
    <t>Turnip yellows virus</t>
  </si>
  <si>
    <t>Endornaviridae</t>
  </si>
  <si>
    <t>Tobacco vein distorting virus</t>
  </si>
  <si>
    <t>Metaviridae</t>
  </si>
  <si>
    <t>Vitivirus</t>
  </si>
  <si>
    <t>Grapevine virus A</t>
  </si>
  <si>
    <t>Cacipacore virus</t>
  </si>
  <si>
    <t>Carey Island virus</t>
  </si>
  <si>
    <t>Cowbone Ridge virus</t>
  </si>
  <si>
    <t>Dakar bat virus</t>
  </si>
  <si>
    <t>Dengue virus</t>
  </si>
  <si>
    <t>Edge Hill virus</t>
  </si>
  <si>
    <t>Entebbe bat virus</t>
  </si>
  <si>
    <t>Gadgets Gully virus</t>
  </si>
  <si>
    <t>Ilheus virus</t>
  </si>
  <si>
    <t>Israel turkey meningoencephalomyelitis virus</t>
  </si>
  <si>
    <t>Japanese encephalitis virus</t>
  </si>
  <si>
    <t>Jugra virus</t>
  </si>
  <si>
    <t>Jutiapa virus</t>
  </si>
  <si>
    <t>Kadam virus</t>
  </si>
  <si>
    <t>Kedougou virus</t>
  </si>
  <si>
    <t>Kokobera virus</t>
  </si>
  <si>
    <t>Koutango virus</t>
  </si>
  <si>
    <t>Kyasanur Forest disease virus</t>
  </si>
  <si>
    <t>Langat virus</t>
  </si>
  <si>
    <t>Louping ill virus</t>
  </si>
  <si>
    <t>Meaban virus</t>
  </si>
  <si>
    <t>Modoc virus</t>
  </si>
  <si>
    <t>Xipapillomavirus</t>
  </si>
  <si>
    <t>Zetapapillomavirus</t>
  </si>
  <si>
    <t>Partitiviridae</t>
  </si>
  <si>
    <t>Schizosaccharomyces pombe Tf2 virus</t>
  </si>
  <si>
    <t>Takifugu rubripes Sushi virus</t>
  </si>
  <si>
    <t>Tribolium castaneum Woot virus</t>
  </si>
  <si>
    <t>Tripneustis gratilla SURL virus</t>
  </si>
  <si>
    <t>Drosophila virilis Ulysses virus</t>
  </si>
  <si>
    <t>Fusarium oxysporum Skippy virus</t>
  </si>
  <si>
    <t>Lilium henryi Del1 virus</t>
  </si>
  <si>
    <t>Saccharomyces cerevisiae Ty3 virus</t>
  </si>
  <si>
    <t>Schizosaccharomyces pombe Tf1 virus</t>
  </si>
  <si>
    <t>Cryphonectria hypovirus 4</t>
  </si>
  <si>
    <t>Inoviridae</t>
  </si>
  <si>
    <t>Inovirus</t>
  </si>
  <si>
    <t>Drosophila simulans Ninja virus</t>
  </si>
  <si>
    <t>Microviridae</t>
  </si>
  <si>
    <t>Oryza australiensis RIRE1 virus</t>
  </si>
  <si>
    <t>Oryza longistaminata Retrofit virus</t>
  </si>
  <si>
    <t>Physarum polycephalum Tp1 virus</t>
  </si>
  <si>
    <t>Saccharomyces cerevisiae Ty1 virus</t>
  </si>
  <si>
    <t>Saccharomyces cerevisiae Ty2 virus</t>
  </si>
  <si>
    <t>Gammaflexiviridae</t>
  </si>
  <si>
    <t>Sclerodarnavirus</t>
  </si>
  <si>
    <t>Honeysuckle yellow vein mosaic virus</t>
  </si>
  <si>
    <t>Honeysuckle yellow vein virus</t>
  </si>
  <si>
    <t>Epsilontorquevirus</t>
  </si>
  <si>
    <t>Zetatorquevirus</t>
  </si>
  <si>
    <t>Etatorquevirus</t>
  </si>
  <si>
    <t>Thetatorquevirus</t>
  </si>
  <si>
    <t>Iotatorquevirus</t>
  </si>
  <si>
    <t>Torque teno virus 1</t>
  </si>
  <si>
    <t>Torque teno virus 2</t>
  </si>
  <si>
    <t>Torque teno virus 3</t>
  </si>
  <si>
    <t>Tobacco mild green mosaic virus</t>
  </si>
  <si>
    <t>Tobacco mosaic virus</t>
  </si>
  <si>
    <t>Tomato mosaic virus</t>
  </si>
  <si>
    <t>Turnip vein-clearing virus</t>
  </si>
  <si>
    <t>Ullucus mild mottle virus</t>
  </si>
  <si>
    <t>Wasabi mottle virus</t>
  </si>
  <si>
    <t>Youcai mosaic virus</t>
  </si>
  <si>
    <t>Zucchini green mottle mosaic virus</t>
  </si>
  <si>
    <t>Tobravirus</t>
  </si>
  <si>
    <t>Pea early-browning virus</t>
  </si>
  <si>
    <t>Pepper ringspot virus</t>
  </si>
  <si>
    <t>Tobacco rattle virus</t>
  </si>
  <si>
    <t>Umbravirus</t>
  </si>
  <si>
    <t>Carrot mottle mimic virus</t>
  </si>
  <si>
    <t>Malvastrum yellow vein virus</t>
  </si>
  <si>
    <t>Malvastrum yellow vein Yunnan virus</t>
  </si>
  <si>
    <t>Melon chlorotic leaf curl virus</t>
  </si>
  <si>
    <t>Mesta yellow vein mosaic virus</t>
  </si>
  <si>
    <t>Macroptilium mosaic Puerto Rico virus</t>
  </si>
  <si>
    <t>Macroptilium yellow mosaic Florida virus</t>
  </si>
  <si>
    <t>Macroptilium yellow mosaic virus</t>
  </si>
  <si>
    <t>Malvastrum leaf curl virus</t>
  </si>
  <si>
    <t>Malvastrum yellow mosaic virus</t>
  </si>
  <si>
    <t>Sweet potato collusive virus</t>
  </si>
  <si>
    <t>Cucurbit leaf crumple virus</t>
  </si>
  <si>
    <t>Peach latent mosaic viroid</t>
  </si>
  <si>
    <t>Baculoviridae</t>
  </si>
  <si>
    <t>Alphabaculovirus</t>
  </si>
  <si>
    <t>Cherry leaf roll virus</t>
  </si>
  <si>
    <t>Chicory yellow mottle virus</t>
  </si>
  <si>
    <t>Cocoa necrosis virus</t>
  </si>
  <si>
    <t>Crimson clover latent virus</t>
  </si>
  <si>
    <t>Cycas necrotic stunt virus</t>
  </si>
  <si>
    <t>Grapevine Anatolian ringspot virus</t>
  </si>
  <si>
    <t>Grapevine Bulgarian latent virus</t>
  </si>
  <si>
    <t>Grapevine chrome mosaic virus</t>
  </si>
  <si>
    <t>Grapevine deformation virus</t>
  </si>
  <si>
    <t>Grapevine fanleaf virus</t>
  </si>
  <si>
    <t>Grapevine Tunisian ringspot virus</t>
  </si>
  <si>
    <t>Hibiscus latent ringspot virus</t>
  </si>
  <si>
    <t>Lucerne Australian latent virus</t>
  </si>
  <si>
    <t>Mulberry ringspot virus</t>
  </si>
  <si>
    <t>Myrobalan latent ringspot virus</t>
  </si>
  <si>
    <t>Anticarsia gemmatalis multiple nucleopolyhedrovirus</t>
  </si>
  <si>
    <t>Cotesia glomerata bracovirus</t>
  </si>
  <si>
    <t>Cotesia hyphantriae bracovirus</t>
  </si>
  <si>
    <t>Cotesia kariyai bracovirus</t>
  </si>
  <si>
    <t>Choristoneura fumiferana multiple nucleopolyhedrovirus</t>
  </si>
  <si>
    <t>Chelonus texanus bracovirus</t>
  </si>
  <si>
    <t>Choristoneura rosaceana nucleopolyhedrovirus</t>
  </si>
  <si>
    <t>Ectropis obliqua nucleopolyhedrovirus</t>
  </si>
  <si>
    <t>Epiphyas postvittana nucleopolyhedrovirus</t>
  </si>
  <si>
    <t>Helicoverpa armigera nucleopolyhedrovirus</t>
  </si>
  <si>
    <t>Lymantria dispar multiple nucleopolyhedrovirus</t>
  </si>
  <si>
    <t>Foot-and-mouth disease virus</t>
  </si>
  <si>
    <t>Cardiovirus</t>
  </si>
  <si>
    <t>Protapanteles paleacritae bracovirus</t>
  </si>
  <si>
    <t>Lacanobia oleracea granulovirus</t>
  </si>
  <si>
    <t>Phthorimaea operculella granulovirus</t>
  </si>
  <si>
    <t>Solanum tuberosum Tst1 virus</t>
  </si>
  <si>
    <t>Zea mays Hopscotch virus</t>
  </si>
  <si>
    <t>Trichoplusia ni granulovirus</t>
  </si>
  <si>
    <t>Xestia c-nigrum granulovirus</t>
  </si>
  <si>
    <t>Deltabaculovirus</t>
  </si>
  <si>
    <t>Phaseolus vulgaris Tpv2-6 virus</t>
  </si>
  <si>
    <t>Reoviridae</t>
  </si>
  <si>
    <t>Neodiprion sertifer nucleopolyhedrovirus</t>
  </si>
  <si>
    <t>Barnaviridae</t>
  </si>
  <si>
    <t>Barnavirus</t>
  </si>
  <si>
    <t>Mushroom bacilliform virus</t>
  </si>
  <si>
    <t>Birnaviridae</t>
  </si>
  <si>
    <t>Aquabirnavirus</t>
  </si>
  <si>
    <t>Infectious pancreatic necrosis virus</t>
  </si>
  <si>
    <t>Tellina virus</t>
  </si>
  <si>
    <t>Yellowtail ascites virus</t>
  </si>
  <si>
    <t>Avibirnavirus</t>
  </si>
  <si>
    <t>Figwort mosaic virus</t>
  </si>
  <si>
    <t>Horseradish latent virus</t>
  </si>
  <si>
    <t>Sadwavirus</t>
  </si>
  <si>
    <t>Satsuma dwarf virus</t>
  </si>
  <si>
    <t>Strawberry latent ringspot virus</t>
  </si>
  <si>
    <t>Strawberry mottle virus</t>
  </si>
  <si>
    <t>Adenoviridae</t>
  </si>
  <si>
    <t>Atadenovirus</t>
  </si>
  <si>
    <t>Infectious bursal disease virus</t>
  </si>
  <si>
    <t>Blosnavirus</t>
  </si>
  <si>
    <t>Blotched snakehead virus</t>
  </si>
  <si>
    <t>Entomobirnavirus</t>
  </si>
  <si>
    <t>Drosophila X virus</t>
  </si>
  <si>
    <t>Bromoviridae</t>
  </si>
  <si>
    <t>Acidianus filamentous virus 9</t>
  </si>
  <si>
    <t>Acidianus filamentous virus 8</t>
  </si>
  <si>
    <t>Cowpea chlorotic mottle virus</t>
  </si>
  <si>
    <t>Melandrium yellow fleck virus</t>
  </si>
  <si>
    <t>Beak and feather disease virus</t>
  </si>
  <si>
    <t>Canary circovirus</t>
  </si>
  <si>
    <t>Peanut stunt virus</t>
  </si>
  <si>
    <t>Tomato aspermy virus</t>
  </si>
  <si>
    <t>Ilarvirus</t>
  </si>
  <si>
    <t>American plum line pattern virus</t>
  </si>
  <si>
    <t>Apple mosaic virus</t>
  </si>
  <si>
    <t>Asparagus virus 2</t>
  </si>
  <si>
    <t>Blueberry shock virus</t>
  </si>
  <si>
    <t>Citrus leaf rugose virus</t>
  </si>
  <si>
    <t>Ascoviridae</t>
  </si>
  <si>
    <t>Ascovirus</t>
  </si>
  <si>
    <t>Alphaentomopoxvirus</t>
  </si>
  <si>
    <t>Dermolepida albohirtum entomopoxvirus</t>
  </si>
  <si>
    <t>Geotrupes sylvaticus entomopoxvirus</t>
  </si>
  <si>
    <t>Venezuelan equine encephalitis virus</t>
  </si>
  <si>
    <t>Western equine encephalitis virus</t>
  </si>
  <si>
    <t>Whataroa virus</t>
  </si>
  <si>
    <t>Rubivirus</t>
  </si>
  <si>
    <t>Rubella virus</t>
  </si>
  <si>
    <t>Fujinami sarcoma virus</t>
  </si>
  <si>
    <t>Rous sarcoma virus</t>
  </si>
  <si>
    <t>Tomato chino La Paz virus</t>
  </si>
  <si>
    <t>Tomato chlorotic mottle virus</t>
  </si>
  <si>
    <t>Tomato curly stunt virus</t>
  </si>
  <si>
    <t>Tomato golden mosaic virus</t>
  </si>
  <si>
    <t>Tomato golden mottle virus</t>
  </si>
  <si>
    <t>Tomato leaf curl Arusha virus</t>
  </si>
  <si>
    <t>Pineapple mealybug wilt-associated virus 3</t>
  </si>
  <si>
    <t>Camptochironomus tentans entomopoxvirus</t>
  </si>
  <si>
    <t>Cypovirus 10</t>
  </si>
  <si>
    <t>Cypovirus 11</t>
  </si>
  <si>
    <t>Cypovirus 12</t>
  </si>
  <si>
    <t>Salmonid herpesvirus 1</t>
  </si>
  <si>
    <t>Aedes pseudoscutellaris reovirus</t>
  </si>
  <si>
    <t>Fijivirus</t>
  </si>
  <si>
    <t>Fiji disease virus</t>
  </si>
  <si>
    <t>Garlic dwarf virus</t>
  </si>
  <si>
    <t>Ictalurid herpesvirus 2</t>
  </si>
  <si>
    <t>Tomato yellow leaf curl virus</t>
  </si>
  <si>
    <t>Family</t>
  </si>
  <si>
    <t>Subfamily</t>
  </si>
  <si>
    <t>Genus</t>
  </si>
  <si>
    <t>Species</t>
  </si>
  <si>
    <t>Rhynchosia golden mosaic Sinaloa virus</t>
  </si>
  <si>
    <t>Rhynchosia golden mosaic virus</t>
  </si>
  <si>
    <t>Swan circovirus</t>
  </si>
  <si>
    <t>Nebovirus</t>
  </si>
  <si>
    <t>Alphacoronavirus</t>
  </si>
  <si>
    <t>Alphacoronavirus 1</t>
  </si>
  <si>
    <t>Tomato leaf curl Comoros virus</t>
  </si>
  <si>
    <t>Sida yellow mosaic Yucatan virus</t>
  </si>
  <si>
    <t>Sida yellow vein Vietnam virus</t>
  </si>
  <si>
    <t>Sida yellow vein virus</t>
  </si>
  <si>
    <t>Siegesbeckia yellow vein Guangxi virus</t>
  </si>
  <si>
    <t>Siegesbeckia yellow vein virus</t>
  </si>
  <si>
    <t>Torque teno mini virus 2</t>
  </si>
  <si>
    <t>Torque teno mini virus 3</t>
  </si>
  <si>
    <t>Torque teno mini virus 4</t>
  </si>
  <si>
    <t>Paramecium bursaria Chlorella virus NE8A</t>
  </si>
  <si>
    <t>Paramecium bursaria Chlorella virus NY2A</t>
  </si>
  <si>
    <t>Paramecium bursaria Chlorella virus NYs1</t>
  </si>
  <si>
    <t>Dasychira pudibunda virus</t>
  </si>
  <si>
    <t>Euprosterna elaeasa virus</t>
  </si>
  <si>
    <t>Nudaurelia capensis beta virus</t>
  </si>
  <si>
    <t>Paramecium bursaria Chlorella virus XZ3A</t>
  </si>
  <si>
    <t>Pseudoplusia includens virus</t>
  </si>
  <si>
    <t>Thosea asigna virus</t>
  </si>
  <si>
    <t>Trichoplusia ni virus</t>
  </si>
  <si>
    <t>Tomato mottle Taino virus</t>
  </si>
  <si>
    <t>Tomato mottle virus</t>
  </si>
  <si>
    <t>Tomato rugose mosaic virus</t>
  </si>
  <si>
    <t>Tomato severe leaf curl virus</t>
  </si>
  <si>
    <t>Tomato severe rugose virus</t>
  </si>
  <si>
    <t>Tomato yellow leaf curl Axarquia virus</t>
  </si>
  <si>
    <t>Tomato yellow leaf curl China virus</t>
  </si>
  <si>
    <t>Tomato yellow leaf curl Guangdong virus</t>
  </si>
  <si>
    <t>Tomato yellow leaf curl Malaga virus</t>
  </si>
  <si>
    <t>Torque teno mini virus 1</t>
  </si>
  <si>
    <t>Drosophila melanogaster copia virus</t>
  </si>
  <si>
    <t>Saccharomyces cerevisiae Ty5 virus</t>
  </si>
  <si>
    <t>Torque teno mini virus 5</t>
  </si>
  <si>
    <t>Torque teno mini virus 6</t>
  </si>
  <si>
    <t>Betatetravirus</t>
  </si>
  <si>
    <t>Antheraea eucalypti virus</t>
  </si>
  <si>
    <t>Darna trima virus</t>
  </si>
  <si>
    <t>Torque teno midi virus 1</t>
  </si>
  <si>
    <t>Torque teno midi virus 2</t>
  </si>
  <si>
    <t>Deltapapillomavirus</t>
  </si>
  <si>
    <t>Helleborus net necrosis virus</t>
  </si>
  <si>
    <t>Waikavirus</t>
  </si>
  <si>
    <t>Comovirus</t>
  </si>
  <si>
    <t>Fabavirus</t>
  </si>
  <si>
    <t>Nepovirus</t>
  </si>
  <si>
    <t>Comovirinae</t>
  </si>
  <si>
    <t>Spiranthes mosaic virus 3</t>
  </si>
  <si>
    <t>Maize white line mosaic virus</t>
  </si>
  <si>
    <t>Volvox carteri Osser virus</t>
  </si>
  <si>
    <t>Pseudovirus</t>
  </si>
  <si>
    <t>Acidianus rod-shaped virus 1</t>
  </si>
  <si>
    <t>Sulfolobus islandicus rod-shaped virus 1</t>
  </si>
  <si>
    <t>Tobacco necrosis virus D</t>
  </si>
  <si>
    <t>Panicovirus</t>
  </si>
  <si>
    <t>Panicum mosaic virus</t>
  </si>
  <si>
    <t>Tombusvirus</t>
  </si>
  <si>
    <t>Artichoke mottled crinkle virus</t>
  </si>
  <si>
    <t>Carnation Italian ringspot virus</t>
  </si>
  <si>
    <t>Cucumber Bulgarian virus</t>
  </si>
  <si>
    <t>Cucumber necrosis virus</t>
  </si>
  <si>
    <t>Cymbidium ringspot virus</t>
  </si>
  <si>
    <t>Eggplant mottled crinkle virus</t>
  </si>
  <si>
    <t>Sitke waterborne virus</t>
  </si>
  <si>
    <t>Cypovirus 3</t>
  </si>
  <si>
    <t>Cypovirus 4</t>
  </si>
  <si>
    <t>Cypovirus 5</t>
  </si>
  <si>
    <t>Cypovirus 6</t>
  </si>
  <si>
    <t>Cypovirus 7</t>
  </si>
  <si>
    <t>Tomato bushy stunt virus</t>
  </si>
  <si>
    <t>Totiviridae</t>
  </si>
  <si>
    <t>Giardiavirus</t>
  </si>
  <si>
    <t>Hypomicrogaster canadensis bracovirus</t>
  </si>
  <si>
    <t>Hypomicrogaster ectdytolophae bracovirus</t>
  </si>
  <si>
    <t>Microplitis croceipes bracovirus</t>
  </si>
  <si>
    <t>Discula destructiva virus 2</t>
  </si>
  <si>
    <t>Fusarium poae virus 1</t>
  </si>
  <si>
    <t>Fusarium solani virus 1</t>
  </si>
  <si>
    <t>Parvoviridae</t>
  </si>
  <si>
    <t>Densovirinae</t>
  </si>
  <si>
    <t>Brevidensovirus</t>
  </si>
  <si>
    <t>Mimoreovirus</t>
  </si>
  <si>
    <t>Micromonas pusilla reovirus</t>
  </si>
  <si>
    <t>Mycoreovirus</t>
  </si>
  <si>
    <t>Mycoreovirus 1</t>
  </si>
  <si>
    <t>Mycoreovirus 2</t>
  </si>
  <si>
    <t>Mycoreovirus 3</t>
  </si>
  <si>
    <t>Orbivirus</t>
  </si>
  <si>
    <t>Molluscum contagiosum virus</t>
  </si>
  <si>
    <t>Tomato leaf curl China virus</t>
  </si>
  <si>
    <t>Grapevine Algerian latent virus</t>
  </si>
  <si>
    <t>Havel River virus</t>
  </si>
  <si>
    <t>Lato River virus</t>
  </si>
  <si>
    <t>Limonium flower distortion virus</t>
  </si>
  <si>
    <t>Moroccan pepper virus</t>
  </si>
  <si>
    <t>Neckar River virus</t>
  </si>
  <si>
    <t>Pelargonium leaf curl virus</t>
  </si>
  <si>
    <t>Pelargonium necrotic spot virus</t>
  </si>
  <si>
    <t>Tomato yellow leaf curl Mali virus</t>
  </si>
  <si>
    <t>Commelina yellow mottle virus</t>
  </si>
  <si>
    <t>Carnation etched ring virus</t>
  </si>
  <si>
    <t>Cauliflower mosaic virus</t>
  </si>
  <si>
    <t>Bdellomicrovirus</t>
  </si>
  <si>
    <t>Chlamydiamicrovirus</t>
  </si>
  <si>
    <t>Cowpea mild mottle virus</t>
  </si>
  <si>
    <t>Daphne virus S</t>
  </si>
  <si>
    <t>Narcissus common latent virus</t>
  </si>
  <si>
    <t>Nerine latent virus</t>
  </si>
  <si>
    <t>Passiflora latent virus</t>
  </si>
  <si>
    <t>Pea streak virus</t>
  </si>
  <si>
    <t>Poplar mosaic virus</t>
  </si>
  <si>
    <t>Potato latent virus</t>
  </si>
  <si>
    <t>Potato virus M</t>
  </si>
  <si>
    <t>Potato virus P</t>
  </si>
  <si>
    <t>Potato virus S</t>
  </si>
  <si>
    <t>Red clover vein mosaic virus</t>
  </si>
  <si>
    <t>Shallot latent virus</t>
  </si>
  <si>
    <t>Starling circovirus</t>
  </si>
  <si>
    <t>Gyrovirus</t>
  </si>
  <si>
    <t>Chicken anemia virus</t>
  </si>
  <si>
    <t>Closteroviridae</t>
  </si>
  <si>
    <t>Ampelovirus</t>
  </si>
  <si>
    <t>Tobacco streak virus</t>
  </si>
  <si>
    <t>Tulare apple mosaic virus</t>
  </si>
  <si>
    <t>Oleavirus</t>
  </si>
  <si>
    <t>Olive latent virus 2</t>
  </si>
  <si>
    <t>Acidianus filamentous virus 2</t>
  </si>
  <si>
    <t>Gammalipothrixvirus</t>
  </si>
  <si>
    <t>Acidianus filamentous virus 1</t>
  </si>
  <si>
    <t>Luteoviridae</t>
  </si>
  <si>
    <t>Lettuce chlorosis virus</t>
  </si>
  <si>
    <t>Lettuce infectious yellows virus</t>
  </si>
  <si>
    <t>Potato yellow vein virus</t>
  </si>
  <si>
    <t>Strawberry pallidosis-associated virus</t>
  </si>
  <si>
    <t>Beet mild yellowing virus</t>
  </si>
  <si>
    <t>Orthobunyavirus</t>
  </si>
  <si>
    <t>Groundnut rosette assistor virus</t>
  </si>
  <si>
    <t>Indonesian soybean dwarf virus</t>
  </si>
  <si>
    <t>Sweet potato leaf speckling virus</t>
  </si>
  <si>
    <t>Tobacco necrotic dwarf virus</t>
  </si>
  <si>
    <t>Cherry green ring mottle virus</t>
  </si>
  <si>
    <t>Cherry necrotic rusty mottle virus</t>
  </si>
  <si>
    <t>Potato virus T</t>
  </si>
  <si>
    <t>African cassava mosaic virus</t>
  </si>
  <si>
    <t>Ageratum enation virus</t>
  </si>
  <si>
    <t>Ageratum leaf curl virus</t>
  </si>
  <si>
    <t>Ageratum yellow vein Hualian virus</t>
  </si>
  <si>
    <t>Ageratum yellow vein Sri Lanka virus</t>
  </si>
  <si>
    <t>Ageratum yellow vein virus</t>
  </si>
  <si>
    <t>Alternanthera yellow vein virus</t>
  </si>
  <si>
    <t>Bean calico mosaic virus</t>
  </si>
  <si>
    <t>Bean dwarf mosaic virus</t>
  </si>
  <si>
    <t>Montana myotis leukoencephalitis virus</t>
  </si>
  <si>
    <t>Cilevirus</t>
  </si>
  <si>
    <t>Citrus leprosis virus C</t>
  </si>
  <si>
    <t>Virgaviridae</t>
  </si>
  <si>
    <t>Torradovirus</t>
  </si>
  <si>
    <t>Tomato torrado virus</t>
  </si>
  <si>
    <t>Tomato marchitez virus</t>
  </si>
  <si>
    <t>Secoviridae</t>
  </si>
  <si>
    <t>Maize necrotic streak virus</t>
  </si>
  <si>
    <t>Pelargonium line pattern virus</t>
  </si>
  <si>
    <t>Caliciviridae</t>
  </si>
  <si>
    <t>Lagovirus</t>
  </si>
  <si>
    <t>European brown hare syndrome virus</t>
  </si>
  <si>
    <t>Rabbit hemorrhagic disease virus</t>
  </si>
  <si>
    <t>Norovirus</t>
  </si>
  <si>
    <t>Norwalk virus</t>
  </si>
  <si>
    <t>Sapovirus</t>
  </si>
  <si>
    <t>Sapporo virus</t>
  </si>
  <si>
    <t>Vesivirus</t>
  </si>
  <si>
    <t>Feline calicivirus</t>
  </si>
  <si>
    <t>Vesicular exanthema of swine virus</t>
  </si>
  <si>
    <t>Caulimoviridae</t>
  </si>
  <si>
    <t>Badnavirus</t>
  </si>
  <si>
    <t>Aglaonema bacilliform virus</t>
  </si>
  <si>
    <t>Semotivirus</t>
  </si>
  <si>
    <t>Anopheles gambiae Moose virus</t>
  </si>
  <si>
    <t>Ascaris lumbricoides Tas virus</t>
  </si>
  <si>
    <t>Bombyx mori Pao virus</t>
  </si>
  <si>
    <t>Canna yellow mottle virus</t>
  </si>
  <si>
    <t>Chironomus attenuatus entomopoxvirus</t>
  </si>
  <si>
    <t>Sugarcane bacilliform IM virus</t>
  </si>
  <si>
    <t>Taro bacilliform virus</t>
  </si>
  <si>
    <t>Lettuce virus X</t>
  </si>
  <si>
    <t>Piper yellow mottle virus</t>
  </si>
  <si>
    <t>Rubus yellow net virus</t>
  </si>
  <si>
    <t>Schefflera ringspot virus</t>
  </si>
  <si>
    <t>Spiromicrovirus</t>
  </si>
  <si>
    <t>Mimiviridae</t>
  </si>
  <si>
    <t>Mimivirus</t>
  </si>
  <si>
    <t>Acanthamoeba polyphaga mimivirus</t>
  </si>
  <si>
    <t>Nanoviridae</t>
  </si>
  <si>
    <t>Babuvirus</t>
  </si>
  <si>
    <t>Banana bunchy top virus</t>
  </si>
  <si>
    <t>Nanovirus</t>
  </si>
  <si>
    <t>Dahlia mosaic virus</t>
  </si>
  <si>
    <t>Chrysanthemum virus B</t>
  </si>
  <si>
    <t>Cole latent virus</t>
  </si>
  <si>
    <t>Lily symptomless virus</t>
  </si>
  <si>
    <t>Melon yellowing-associated virus</t>
  </si>
  <si>
    <t>Pospiviroidae</t>
  </si>
  <si>
    <t>Apscaviroid</t>
  </si>
  <si>
    <t>Apple dimple fruit viroid</t>
  </si>
  <si>
    <t>Apple scar skin viroid</t>
  </si>
  <si>
    <t>Australian grapevine viroid</t>
  </si>
  <si>
    <t>Citrus bent leaf viroid</t>
  </si>
  <si>
    <t>Citrus dwarfing viroid</t>
  </si>
  <si>
    <t>Grapevine yellow speckle viroid 1</t>
  </si>
  <si>
    <t>Grapevine yellow speckle viroid 2</t>
  </si>
  <si>
    <t>Pear blister canker viroid</t>
  </si>
  <si>
    <t>Cocadviroid</t>
  </si>
  <si>
    <t>Citrus bark cracking viroid</t>
  </si>
  <si>
    <t>Coconut cadang-cadang viroid</t>
  </si>
  <si>
    <t>Coconut tinangaja viroid</t>
  </si>
  <si>
    <t>Hop latent viroid</t>
  </si>
  <si>
    <t>Grapevine leafroll-associated virus 1</t>
  </si>
  <si>
    <t>Grapevine leafroll-associated virus 3</t>
  </si>
  <si>
    <t>Little cherry virus 2</t>
  </si>
  <si>
    <t>Pineapple mealybug wilt-associated virus 1</t>
  </si>
  <si>
    <t>Pineapple mealybug wilt-associated virus 2</t>
  </si>
  <si>
    <t>Closterovirus</t>
  </si>
  <si>
    <t>Beet yellow stunt virus</t>
  </si>
  <si>
    <t>Beet yellows virus</t>
  </si>
  <si>
    <t>Burdock yellows virus</t>
  </si>
  <si>
    <t>Carnation necrotic fleck virus</t>
  </si>
  <si>
    <t>Carrot yellow leaf virus</t>
  </si>
  <si>
    <t>Citrus tristeza virus</t>
  </si>
  <si>
    <t>Grapevine leafroll-associated virus 2</t>
  </si>
  <si>
    <t>Mint virus 1</t>
  </si>
  <si>
    <t>Wheat yellow leaf virus</t>
  </si>
  <si>
    <t>Crinivirus</t>
  </si>
  <si>
    <t>Abutilon yellows virus</t>
  </si>
  <si>
    <t>Cucurbit yellow stunting disorder virus</t>
  </si>
  <si>
    <t>Corticoviridae</t>
  </si>
  <si>
    <t>Corticovirus</t>
  </si>
  <si>
    <t>Volvox carteri Lueckenbuesser virus</t>
  </si>
  <si>
    <t>Cystoviridae</t>
  </si>
  <si>
    <t>Tomato mild mottle virus</t>
  </si>
  <si>
    <t>Poxviridae</t>
  </si>
  <si>
    <t>Chordopoxvirinae</t>
  </si>
  <si>
    <t>Avipoxvirus</t>
  </si>
  <si>
    <t>Cystovirus</t>
  </si>
  <si>
    <t>Apricot pseudo-chlorotic leaf spot virus</t>
  </si>
  <si>
    <t>Cherry mottle leaf virus</t>
  </si>
  <si>
    <t>Grapevine berry inner necrosis virus</t>
  </si>
  <si>
    <t>Peach mosaic virus</t>
  </si>
  <si>
    <t>Banana mild mosaic virus</t>
  </si>
  <si>
    <t>Heracleum latent virus</t>
  </si>
  <si>
    <t>Fuselloviridae</t>
  </si>
  <si>
    <t>Sulfolobus spindle-shaped virus 1</t>
  </si>
  <si>
    <t>Geminiviridae</t>
  </si>
  <si>
    <t>Begomovirus</t>
  </si>
  <si>
    <t>Abutilon mosaic virus</t>
  </si>
  <si>
    <t>Cocksfoot streak virus</t>
  </si>
  <si>
    <t>Colombian datura virus</t>
  </si>
  <si>
    <t>Commelina mosaic virus</t>
  </si>
  <si>
    <t>Cowpea aphid-borne mosaic virus</t>
  </si>
  <si>
    <t>Cypripedium virus Y</t>
  </si>
  <si>
    <t>Daphne mosaic virus</t>
  </si>
  <si>
    <t>Dasheen mosaic virus</t>
  </si>
  <si>
    <t>Datura shoestring virus</t>
  </si>
  <si>
    <t>Diuris virus Y</t>
  </si>
  <si>
    <t>East Asian Passiflora virus</t>
  </si>
  <si>
    <t>Endive necrotic mosaic virus</t>
  </si>
  <si>
    <t>Euphorbia ringspot virus</t>
  </si>
  <si>
    <t>Freesia mosaic virus</t>
  </si>
  <si>
    <t>Fritillary virus Y</t>
  </si>
  <si>
    <t>Gloriosa stripe mosaic virus</t>
  </si>
  <si>
    <t>Algerian watermelon mosaic virus</t>
  </si>
  <si>
    <t>Alternanthera mild mosaic virus</t>
  </si>
  <si>
    <t>Angelica virus Y</t>
  </si>
  <si>
    <t>Butterfly flower mosaic virus</t>
  </si>
  <si>
    <t>Canna yellow streak virus</t>
  </si>
  <si>
    <t>Hardenbergia mosaic virus</t>
  </si>
  <si>
    <t>Peach chlorotic mottle virus</t>
  </si>
  <si>
    <t>Mint virus 2</t>
  </si>
  <si>
    <t>Coleus vein necrosis virus</t>
  </si>
  <si>
    <t>Ligustrum necrotic ringspot virus</t>
  </si>
  <si>
    <t>Malva mosaic virus</t>
  </si>
  <si>
    <t>Phaius virus X</t>
  </si>
  <si>
    <t>Johnsongrass chlorotic stripe mosaic virus</t>
  </si>
  <si>
    <t>Lolavirus</t>
  </si>
  <si>
    <t>Lolium latent virus</t>
  </si>
  <si>
    <t>Plum bark necrosis stem pitting-associated virus</t>
  </si>
  <si>
    <t>Bean yellow disorder virus</t>
  </si>
  <si>
    <t>Banana streak GF virus</t>
  </si>
  <si>
    <t>Banana streak OL virus</t>
  </si>
  <si>
    <t>Cacao swollen shoot virus</t>
  </si>
  <si>
    <t>Salmonid herpesvirus 2</t>
  </si>
  <si>
    <t>Bovine rhinitis B virus</t>
  </si>
  <si>
    <t>Chironomus luridus entomopoxvirus</t>
  </si>
  <si>
    <t>Caulimovirus</t>
  </si>
  <si>
    <t>Diachasmimorpha entomopoxvirus</t>
  </si>
  <si>
    <t>Pseudoviridae</t>
  </si>
  <si>
    <t>Hemivirus</t>
  </si>
  <si>
    <t>Arracacha mottle virus</t>
  </si>
  <si>
    <t>Brugmansia suaveolens mottle virus</t>
  </si>
  <si>
    <t>Chilli ringspot virus</t>
  </si>
  <si>
    <t>Malva vein clearing virus</t>
  </si>
  <si>
    <t>Telosma mosaic virus</t>
  </si>
  <si>
    <t>Twisted-stalk chlorotic streak virus</t>
  </si>
  <si>
    <t>Vallota mosaic virus</t>
  </si>
  <si>
    <t>Wild tomato mosaic virus</t>
  </si>
  <si>
    <t>Wheat eqlid mosaic virus</t>
  </si>
  <si>
    <t>Carrot necrotic dieback virus</t>
  </si>
  <si>
    <t>Black raspberry necrosis virus</t>
  </si>
  <si>
    <t>Citrus viroid V</t>
  </si>
  <si>
    <t>Citrus viroid VI</t>
  </si>
  <si>
    <t>Beet curly top Iran virus</t>
  </si>
  <si>
    <t>Alligatorweed stunting virus</t>
  </si>
  <si>
    <t>Grapevine leafroll-associated virus 7</t>
  </si>
  <si>
    <t>Little cherry virus 1</t>
  </si>
  <si>
    <t>Megakepasma mosaic virus</t>
  </si>
  <si>
    <t>Olive leaf yellowing-associated virus</t>
  </si>
  <si>
    <t>Aurivirus</t>
  </si>
  <si>
    <t>Haliotid herpesvirus 1</t>
  </si>
  <si>
    <t>Ligamenvirales</t>
  </si>
  <si>
    <t>Perhabdovirus</t>
  </si>
  <si>
    <t>Sigmavirus</t>
  </si>
  <si>
    <t>Drosophila affinis sigmavirus</t>
  </si>
  <si>
    <t>Drosophila ananassae sigmavirus</t>
  </si>
  <si>
    <t>Drosophila immigrans sigmavirus</t>
  </si>
  <si>
    <t>Drosophila melanogaster sigmavirus</t>
  </si>
  <si>
    <t>Drosophila obscura sigmavirus</t>
  </si>
  <si>
    <t>Drosophila tristis sigmavirus</t>
  </si>
  <si>
    <t>Muscina stabulans sigmavirus</t>
  </si>
  <si>
    <t>Tibrovirus</t>
  </si>
  <si>
    <t>Mesoniviridae</t>
  </si>
  <si>
    <t>Alphamesonivirus</t>
  </si>
  <si>
    <t>Alphamesonivirus 1</t>
  </si>
  <si>
    <t>Aquamavirus</t>
  </si>
  <si>
    <t>Aquamavirus A</t>
  </si>
  <si>
    <t>Cosavirus</t>
  </si>
  <si>
    <t>Cosavirus A</t>
  </si>
  <si>
    <t>Dicipivirus</t>
  </si>
  <si>
    <t>Cadicivirus A</t>
  </si>
  <si>
    <t>Enterovirus A</t>
  </si>
  <si>
    <t>Enterovirus B</t>
  </si>
  <si>
    <t>Enterovirus C</t>
  </si>
  <si>
    <t>Enterovirus D</t>
  </si>
  <si>
    <t>Enterovirus E</t>
  </si>
  <si>
    <t>Enterovirus F</t>
  </si>
  <si>
    <t>Enterovirus G</t>
  </si>
  <si>
    <t>Enterovirus H</t>
  </si>
  <si>
    <t>Enterovirus J</t>
  </si>
  <si>
    <t>Rhinovirus A</t>
  </si>
  <si>
    <t>Rhinovirus B</t>
  </si>
  <si>
    <t>Rhinovirus C</t>
  </si>
  <si>
    <t>Aichivirus A</t>
  </si>
  <si>
    <t>Aichivirus B</t>
  </si>
  <si>
    <t>Aichivirus C</t>
  </si>
  <si>
    <t>Megrivirus</t>
  </si>
  <si>
    <t>Salivirus</t>
  </si>
  <si>
    <t>Salivirus A</t>
  </si>
  <si>
    <t>Cucurbit mild mosaic virus</t>
  </si>
  <si>
    <t>Blueberry latent spherical virus</t>
  </si>
  <si>
    <t>Allium virus X</t>
  </si>
  <si>
    <t>Lagenaria mild mosaic virus</t>
  </si>
  <si>
    <t>Blackberry virus E</t>
  </si>
  <si>
    <t>Butterbur mosaic virus</t>
  </si>
  <si>
    <t>Cucumber vein-clearing virus</t>
  </si>
  <si>
    <t>Helleborus mosaic virus</t>
  </si>
  <si>
    <t>Hippeastrum latent virus</t>
  </si>
  <si>
    <t>Hydrangea chlorotic mottle virus</t>
  </si>
  <si>
    <t>Mirabilis jalapa mottle virus</t>
  </si>
  <si>
    <t>Phlox virus B</t>
  </si>
  <si>
    <t>Phlox virus M</t>
  </si>
  <si>
    <t>Phlox virus S</t>
  </si>
  <si>
    <t>Sweet potato C6 virus</t>
  </si>
  <si>
    <t>Asian prunus virus 1</t>
  </si>
  <si>
    <t>Grapevine Pinot gris virus</t>
  </si>
  <si>
    <t>Phlomis mottle virus</t>
  </si>
  <si>
    <t>Banana virus X</t>
  </si>
  <si>
    <t>Hardenbergia virus A</t>
  </si>
  <si>
    <t>Actinidia virus A</t>
  </si>
  <si>
    <t>Antheraea pernyi nucleopolyhedrovirus</t>
  </si>
  <si>
    <t>Chrysodeixis chalcites nucleopolyhedrovirus</t>
  </si>
  <si>
    <t>Clanis bilineata nucleopolyhedrovirus</t>
  </si>
  <si>
    <t>Euproctis pseudoconspersa nucleopolyhedrovirus</t>
  </si>
  <si>
    <t>Hyphantria cunea nucleopolyhedrovirus</t>
  </si>
  <si>
    <t>Leucania separata nucleopolyhedrovirus</t>
  </si>
  <si>
    <t>Maruca vitrata nucleopolyhedrovirus</t>
  </si>
  <si>
    <t>Amasya cherry disease associated chrysovirus</t>
  </si>
  <si>
    <t>Aspergillus fumigatus chrysovirus</t>
  </si>
  <si>
    <t>Cryphonectria nitschkei chrysovirus 1</t>
  </si>
  <si>
    <t>Fusarium oxysporum chrysovirus 1</t>
  </si>
  <si>
    <t>Verticillium dahliae chrysovirus 1</t>
  </si>
  <si>
    <t>Grapevine leafroll-associated virus 4</t>
  </si>
  <si>
    <t>Diodia vein chlorosis virus</t>
  </si>
  <si>
    <t>Pegivirus</t>
  </si>
  <si>
    <t>Pegivirus A</t>
  </si>
  <si>
    <t>Pegivirus B</t>
  </si>
  <si>
    <t>Alphafusellovirus</t>
  </si>
  <si>
    <t>Sulfolobus spindle-shaped virus 2</t>
  </si>
  <si>
    <t>Sulfolobus spindle-shaped virus 4</t>
  </si>
  <si>
    <t>Sulfolobus spindle-shaped virus 5</t>
  </si>
  <si>
    <t>Sulfolobus spindle-shaped virus 7</t>
  </si>
  <si>
    <t>Sulfolobus spindle-shaped virus 8</t>
  </si>
  <si>
    <t>Sulfolobus spindle-shaped virus 9</t>
  </si>
  <si>
    <t>Betafusellovirus</t>
  </si>
  <si>
    <t>Acidianus spindle-shaped virus 1</t>
  </si>
  <si>
    <t>Sulfolobus spindle-shaped virus 6</t>
  </si>
  <si>
    <t>Becurtovirus</t>
  </si>
  <si>
    <t>Spinach curly top Arizona virus</t>
  </si>
  <si>
    <t>Spinach severe curly top virus</t>
  </si>
  <si>
    <t>Eragrovirus</t>
  </si>
  <si>
    <t>Eragrostis curvula streak virus</t>
  </si>
  <si>
    <t>Bromus catharticus striate mosaic virus</t>
  </si>
  <si>
    <t>Chickpea chlorosis Australia virus</t>
  </si>
  <si>
    <t>Chickpea chlorosis virus</t>
  </si>
  <si>
    <t>Chickpea chlorotic dwarf virus</t>
  </si>
  <si>
    <t>Chickpea redleaf virus</t>
  </si>
  <si>
    <t>Chickpea yellows virus</t>
  </si>
  <si>
    <t>Digitaria ciliaris striate mosaic virus</t>
  </si>
  <si>
    <t>Digitaria didactyla striate mosaic virus</t>
  </si>
  <si>
    <t>Eragrostis minor streak virus</t>
  </si>
  <si>
    <t>Maize streak Reunion virus</t>
  </si>
  <si>
    <t>Oat dwarf virus</t>
  </si>
  <si>
    <t>Paspalum dilatatum striate mosaic virus</t>
  </si>
  <si>
    <t>Paspalum striate mosaic virus</t>
  </si>
  <si>
    <t>Saccharum streak virus</t>
  </si>
  <si>
    <t>Wheat dwarf India virus</t>
  </si>
  <si>
    <t>Turncurtovirus</t>
  </si>
  <si>
    <t>Turnip curly top virus</t>
  </si>
  <si>
    <t>Alphaguttavirus</t>
  </si>
  <si>
    <t>Betaguttavirus</t>
  </si>
  <si>
    <t>Aeropyrum pernix ovoid virus 1</t>
  </si>
  <si>
    <t>Cafeteriavirus</t>
  </si>
  <si>
    <t>Cafeteria roenbergensis virus</t>
  </si>
  <si>
    <t>Faba bean yellow leaf virus</t>
  </si>
  <si>
    <t>Quaranjavirus</t>
  </si>
  <si>
    <t>Quadriviridae</t>
  </si>
  <si>
    <t>Quadrivirus</t>
  </si>
  <si>
    <t>Rosellinia necatrix quadrivirus 1</t>
  </si>
  <si>
    <t>Madariaga virus</t>
  </si>
  <si>
    <t>Alphanecrovirus</t>
  </si>
  <si>
    <t>Betanecrovirus</t>
  </si>
  <si>
    <t>Gallantivirus</t>
  </si>
  <si>
    <t>Macanavirus</t>
  </si>
  <si>
    <t>Furcraea necrotic streak virus</t>
  </si>
  <si>
    <t>Zeavirus</t>
  </si>
  <si>
    <t>Rice stripe necrosis virus</t>
  </si>
  <si>
    <t>Bell pepper mottle virus</t>
  </si>
  <si>
    <t>Cactus mild mottle virus</t>
  </si>
  <si>
    <t>Clitoria yellow mottle virus</t>
  </si>
  <si>
    <t>Cucumber mottle virus</t>
  </si>
  <si>
    <t>Maracuja mosaic virus</t>
  </si>
  <si>
    <t>Passion fruit mosaic virus</t>
  </si>
  <si>
    <t>Rattail cactus necrosis-associated virus</t>
  </si>
  <si>
    <t>Tropical soda apple mosaic virus</t>
  </si>
  <si>
    <t>Actinidia virus B</t>
  </si>
  <si>
    <t>Cuevavirus</t>
  </si>
  <si>
    <t>Lloviu cuevavirus</t>
  </si>
  <si>
    <t>Nyamiviridae</t>
  </si>
  <si>
    <t>Nyavirus</t>
  </si>
  <si>
    <t>Midway nyavirus</t>
  </si>
  <si>
    <t>Nyamanini nyavirus</t>
  </si>
  <si>
    <t>Bokeloh bat lyssavirus</t>
  </si>
  <si>
    <t>Ikoma lyssavirus</t>
  </si>
  <si>
    <t>Sprivivirus</t>
  </si>
  <si>
    <t>Tupavirus</t>
  </si>
  <si>
    <t>Lygus lineolaris virus 1</t>
  </si>
  <si>
    <t>Nilaparvata lugens honeydew virus 1</t>
  </si>
  <si>
    <t>Avisivirus</t>
  </si>
  <si>
    <t>Avisivirus A</t>
  </si>
  <si>
    <t>Gallivirus</t>
  </si>
  <si>
    <t>Gallivirus A</t>
  </si>
  <si>
    <t>Hunnivirus</t>
  </si>
  <si>
    <t>Hunnivirus A</t>
  </si>
  <si>
    <t>Mischivirus</t>
  </si>
  <si>
    <t>Mischivirus A</t>
  </si>
  <si>
    <t>Mosavirus</t>
  </si>
  <si>
    <t>Mosavirus A</t>
  </si>
  <si>
    <t>Oscivirus</t>
  </si>
  <si>
    <t>Oscivirus A</t>
  </si>
  <si>
    <t>Pasivirus</t>
  </si>
  <si>
    <t>Pasivirus A</t>
  </si>
  <si>
    <t>Passerivirus</t>
  </si>
  <si>
    <t>Passerivirus A</t>
  </si>
  <si>
    <t>Rosavirus</t>
  </si>
  <si>
    <t>Rosavirus A</t>
  </si>
  <si>
    <t>Arracacha virus B</t>
  </si>
  <si>
    <t>Citrus yellow vein clearing virus</t>
  </si>
  <si>
    <t>Rubus canadensis virus 1</t>
  </si>
  <si>
    <t>Diuris virus A</t>
  </si>
  <si>
    <t>Diuris virus B</t>
  </si>
  <si>
    <t>Grapevine virus F</t>
  </si>
  <si>
    <t>Andean potato mild mosaic virus</t>
  </si>
  <si>
    <t>Bovine atadenovirus D</t>
  </si>
  <si>
    <t>Duck atadenovirus A</t>
  </si>
  <si>
    <t>Ovine atadenovirus D</t>
  </si>
  <si>
    <t>Possum atadenovirus A</t>
  </si>
  <si>
    <t>Snake atadenovirus A</t>
  </si>
  <si>
    <t>Falcon aviadenovirus A</t>
  </si>
  <si>
    <t>Fowl aviadenovirus A</t>
  </si>
  <si>
    <t>Fowl aviadenovirus B</t>
  </si>
  <si>
    <t>Fowl aviadenovirus C</t>
  </si>
  <si>
    <t>Fowl aviadenovirus D</t>
  </si>
  <si>
    <t>Fowl aviadenovirus E</t>
  </si>
  <si>
    <t>Goose aviadenovirus A</t>
  </si>
  <si>
    <t>Turkey aviadenovirus B</t>
  </si>
  <si>
    <t>Sturgeon ichtadenovirus A</t>
  </si>
  <si>
    <t>Bat mastadenovirus A</t>
  </si>
  <si>
    <t>Bat mastadenovirus B</t>
  </si>
  <si>
    <t>Bovine mastadenovirus A</t>
  </si>
  <si>
    <t>Bovine mastadenovirus B</t>
  </si>
  <si>
    <t>Bovine mastadenovirus C</t>
  </si>
  <si>
    <t>Canine mastadenovirus A</t>
  </si>
  <si>
    <t>Equine mastadenovirus A</t>
  </si>
  <si>
    <t>Equine mastadenovirus B</t>
  </si>
  <si>
    <t>Human mastadenovirus A</t>
  </si>
  <si>
    <t>Human mastadenovirus B</t>
  </si>
  <si>
    <t>Human mastadenovirus C</t>
  </si>
  <si>
    <t>Human mastadenovirus D</t>
  </si>
  <si>
    <t>Human mastadenovirus E</t>
  </si>
  <si>
    <t>Human mastadenovirus F</t>
  </si>
  <si>
    <t>Human mastadenovirus G</t>
  </si>
  <si>
    <t>Murine mastadenovirus A</t>
  </si>
  <si>
    <t>Murine mastadenovirus B</t>
  </si>
  <si>
    <t>Murine mastadenovirus C</t>
  </si>
  <si>
    <t>Ovine mastadenovirus A</t>
  </si>
  <si>
    <t>Ovine mastadenovirus B</t>
  </si>
  <si>
    <t>Porcine mastadenovirus A</t>
  </si>
  <si>
    <t>Porcine mastadenovirus B</t>
  </si>
  <si>
    <t>Porcine mastadenovirus C</t>
  </si>
  <si>
    <t>Simian mastadenovirus A</t>
  </si>
  <si>
    <t>Tree shrew mastadenovirus A</t>
  </si>
  <si>
    <t>Frog siadenovirus A</t>
  </si>
  <si>
    <t>Great tit siadenovirus A</t>
  </si>
  <si>
    <t>Raptor siadenovirus A</t>
  </si>
  <si>
    <t>Skua siadenovirus A</t>
  </si>
  <si>
    <t>Turkey siadenovirus A</t>
  </si>
  <si>
    <t>Amalgaviridae</t>
  </si>
  <si>
    <t>Amalgavirus</t>
  </si>
  <si>
    <t>Blueberry latent virus</t>
  </si>
  <si>
    <t>Rhododendron virus A</t>
  </si>
  <si>
    <t>Southern tomato virus</t>
  </si>
  <si>
    <t>Vicia cryptic virus M</t>
  </si>
  <si>
    <t>Benyviridae</t>
  </si>
  <si>
    <t>Burdock mottle virus</t>
  </si>
  <si>
    <t>Amazon lily mild mottle virus</t>
  </si>
  <si>
    <t>Velarivirus</t>
  </si>
  <si>
    <t>Cordyline virus 1</t>
  </si>
  <si>
    <t>Abutilon mosaic Bolivia virus</t>
  </si>
  <si>
    <t>Abutilon mosaic Brazil virus</t>
  </si>
  <si>
    <t>Allamanda leaf curl virus</t>
  </si>
  <si>
    <t>Bean chlorosis virus</t>
  </si>
  <si>
    <t>Bean yellow mosaic Mexico virus</t>
  </si>
  <si>
    <t>Bhendi yellow vein Bhubhaneswar virus</t>
  </si>
  <si>
    <t>Bhendi yellow vein Haryana virus</t>
  </si>
  <si>
    <t>Blainvillea yellow spot virus</t>
  </si>
  <si>
    <t>Blechum interveinal chlorosis virus</t>
  </si>
  <si>
    <t>Centrosema yellow spot virus</t>
  </si>
  <si>
    <t>Chino del tomate Amazonas virus</t>
  </si>
  <si>
    <t>Cleome golden mosaic virus</t>
  </si>
  <si>
    <t>Cleome leaf crumple virus</t>
  </si>
  <si>
    <t>Dalechampia chlorotic mosaic virus</t>
  </si>
  <si>
    <t>Datura leaf distortion virus</t>
  </si>
  <si>
    <t>Euphorbia yellow mosaic virus</t>
  </si>
  <si>
    <t>Hollyhock leaf curl virus</t>
  </si>
  <si>
    <t>Jacquemontia mosaic Yucatan virus</t>
  </si>
  <si>
    <t>Jatropha mosaic India virus</t>
  </si>
  <si>
    <t>Leonurus mosaic virus</t>
  </si>
  <si>
    <t>Macroptilium golden mosaic virus</t>
  </si>
  <si>
    <t>Macroptilium yellow spot virus</t>
  </si>
  <si>
    <t>Macroptilium yellow vein virus</t>
  </si>
  <si>
    <t>Malvastrum yellow mosaic Helshire virus</t>
  </si>
  <si>
    <t>Malvastrum yellow mosaic Jamaica virus</t>
  </si>
  <si>
    <t>Malvastrum yellow vein Honghe virus</t>
  </si>
  <si>
    <t>Melon chlorotic mosaic virus</t>
  </si>
  <si>
    <t>Merremia mosaic Puerto Rico virus</t>
  </si>
  <si>
    <t>Okra enation leaf curl virus</t>
  </si>
  <si>
    <t>Okra mottle virus</t>
  </si>
  <si>
    <t>Papaya leaf crumple virus</t>
  </si>
  <si>
    <t>Passionfruit severe leaf distortion virus</t>
  </si>
  <si>
    <t>Pepper leaf curl Yunnan virus</t>
  </si>
  <si>
    <t>Rhynchosia golden mosaic Havana virus</t>
  </si>
  <si>
    <t>Rhynchosia golden mosaic Yucatan virus</t>
  </si>
  <si>
    <t>Rhynchosia mild mosaic virus</t>
  </si>
  <si>
    <t>Rhynchosia rugose golden mosaic virus</t>
  </si>
  <si>
    <t>Rhynchosia yellow mosaic virus</t>
  </si>
  <si>
    <t>Rose leaf curl virus</t>
  </si>
  <si>
    <t>Sida golden mosaic Braco virus</t>
  </si>
  <si>
    <t>Sida golden mosaic Buckup virus</t>
  </si>
  <si>
    <t>Sida golden mottle virus</t>
  </si>
  <si>
    <t>Sida mosaic Alagoas virus</t>
  </si>
  <si>
    <t>Sida mosaic Bolivia virus 1</t>
  </si>
  <si>
    <t>Sida mosaic Bolivia virus 2</t>
  </si>
  <si>
    <t>Sida mosaic Sinaloa virus</t>
  </si>
  <si>
    <t>Sida mottle Alagoas virus</t>
  </si>
  <si>
    <t>Sida yellow blotch virus</t>
  </si>
  <si>
    <t>Sida yellow mosaic Alagoas virus</t>
  </si>
  <si>
    <t>Sida yellow mottle virus</t>
  </si>
  <si>
    <t>Sida yellow net virus</t>
  </si>
  <si>
    <t>Soybean mild mottle virus</t>
  </si>
  <si>
    <t>Sweet potato leaf curl Sao Paulo virus</t>
  </si>
  <si>
    <t>Sweet potato leaf curl South Carolina virus</t>
  </si>
  <si>
    <t>Sweet potato leaf curl Uganda virus</t>
  </si>
  <si>
    <t>Sweet potato mosaic virus</t>
  </si>
  <si>
    <t>Tobacco leaf curl Pusa virus</t>
  </si>
  <si>
    <t>Tobacco leaf curl Thailand virus</t>
  </si>
  <si>
    <t>Tobacco leaf rugose virus</t>
  </si>
  <si>
    <t>Tobacco mottle leaf curl virus</t>
  </si>
  <si>
    <t>Tobacco yellow crinkle virus</t>
  </si>
  <si>
    <t>Tomato chlorotic leaf distortion virus</t>
  </si>
  <si>
    <t>Tomato common mosaic virus</t>
  </si>
  <si>
    <t>Tomato dwarf leaf virus</t>
  </si>
  <si>
    <t>Tomato golden vein virus</t>
  </si>
  <si>
    <t>Tomato leaf curl Anjouan virus</t>
  </si>
  <si>
    <t>Tomato leaf curl Cebu virus</t>
  </si>
  <si>
    <t>Tomato leaf curl Diana virus</t>
  </si>
  <si>
    <t>Tomato leaf curl Ghana virus</t>
  </si>
  <si>
    <t>Tomato leaf curl Hainan virus</t>
  </si>
  <si>
    <t>Tomato leaf curl Hanoi virus</t>
  </si>
  <si>
    <t>Tomato leaf curl Iran virus</t>
  </si>
  <si>
    <t>Tomato leaf curl Mindanao virus</t>
  </si>
  <si>
    <t>Tomato leaf curl Moheli virus</t>
  </si>
  <si>
    <t>Tomato leaf curl Namakely virus</t>
  </si>
  <si>
    <t>Tomato leaf curl Nigeria virus</t>
  </si>
  <si>
    <t>Tomato leaf curl Oman virus</t>
  </si>
  <si>
    <t>Tomato leaf curl Toliara virus</t>
  </si>
  <si>
    <t>Tomato leaf deformation virus</t>
  </si>
  <si>
    <t>Tomato leaf distortion virus</t>
  </si>
  <si>
    <t>Tomato mild mosaic virus</t>
  </si>
  <si>
    <t>Tomato mottle leaf curl virus</t>
  </si>
  <si>
    <t>Tomato rugose yellow leaf curl virus</t>
  </si>
  <si>
    <t>Tomato yellow leaf distortion virus</t>
  </si>
  <si>
    <t>Tomato yellow mottle virus</t>
  </si>
  <si>
    <t>West African Asystasia virus 1</t>
  </si>
  <si>
    <t>West African Asystasia virus 2</t>
  </si>
  <si>
    <t>Wissadula golden mosaic virus</t>
  </si>
  <si>
    <t>Pea enation mosaic virus 1</t>
  </si>
  <si>
    <t>Cotton leafroll dwarf virus</t>
  </si>
  <si>
    <t>Pepper vein yellows virus</t>
  </si>
  <si>
    <t>Suakwa aphid-borne yellows virus</t>
  </si>
  <si>
    <t>Marseilleviridae</t>
  </si>
  <si>
    <t>Marseillevirus</t>
  </si>
  <si>
    <t>Marseillevirus marseillevirus</t>
  </si>
  <si>
    <t>Senegalvirus marseillevirus</t>
  </si>
  <si>
    <t>Lausannevirus</t>
  </si>
  <si>
    <t>Tunisvirus</t>
  </si>
  <si>
    <t>Nudiviridae</t>
  </si>
  <si>
    <t>Alphanudivirus</t>
  </si>
  <si>
    <t>Gryllus bimaculatus nudivirus</t>
  </si>
  <si>
    <t>Oryctes rhinoceros nudivirus</t>
  </si>
  <si>
    <t>Betanudivirus</t>
  </si>
  <si>
    <t>Heliothis zea nudivirus</t>
  </si>
  <si>
    <t>Chipapillomavirus 3</t>
  </si>
  <si>
    <t>Deltapapillomavirus 6</t>
  </si>
  <si>
    <t>Dyoiotapapillomavirus 2</t>
  </si>
  <si>
    <t>Dyokappapapillomavirus</t>
  </si>
  <si>
    <t>Dyokappapapillomavirus 1</t>
  </si>
  <si>
    <t>Dyolambdapapillomavirus</t>
  </si>
  <si>
    <t>Dyolambdapapillomavirus 1</t>
  </si>
  <si>
    <t>Dyomupapillomavirus</t>
  </si>
  <si>
    <t>Dyomupapillomavirus 1</t>
  </si>
  <si>
    <t>Dyonupapillomavirus</t>
  </si>
  <si>
    <t>Dyonupapillomavirus 1</t>
  </si>
  <si>
    <t>Dyoomikronpapillomavirus</t>
  </si>
  <si>
    <t>Dyoomikronpapillomavirus 1</t>
  </si>
  <si>
    <t>Dyopipapillomavirus</t>
  </si>
  <si>
    <t>Dyopipapillomavirus 1</t>
  </si>
  <si>
    <t>Dyorhopapillomavirus</t>
  </si>
  <si>
    <t>Dyorhopapillomavirus 1</t>
  </si>
  <si>
    <t>Dyosigmapapillomavirus</t>
  </si>
  <si>
    <t>Dyosigmapapillomavirus 1</t>
  </si>
  <si>
    <t>Dyoxipapillomavirus</t>
  </si>
  <si>
    <t>Dyoxipapillomavirus 1</t>
  </si>
  <si>
    <t>Gammapapillomavirus 11</t>
  </si>
  <si>
    <t>Gammapapillomavirus 12</t>
  </si>
  <si>
    <t>Gammapapillomavirus 13</t>
  </si>
  <si>
    <t>Gammapapillomavirus 14</t>
  </si>
  <si>
    <t>Gammapapillomavirus 15</t>
  </si>
  <si>
    <t>Gammapapillomavirus 16</t>
  </si>
  <si>
    <t>Gammapapillomavirus 17</t>
  </si>
  <si>
    <t>Gammapapillomavirus 18</t>
  </si>
  <si>
    <t>Gammapapillomavirus 19</t>
  </si>
  <si>
    <t>Gammapapillomavirus 20</t>
  </si>
  <si>
    <t>Lambdapapillomavirus 5</t>
  </si>
  <si>
    <t>Taupapillomavirus 2</t>
  </si>
  <si>
    <t>Upsilonpapillomavirus 3</t>
  </si>
  <si>
    <t>Xipapillomavirus 2</t>
  </si>
  <si>
    <t>Alphapartitivirus</t>
  </si>
  <si>
    <t>Carrot cryptic virus</t>
  </si>
  <si>
    <t>Cherry chlorotic rusty spot associated partitivirus</t>
  </si>
  <si>
    <t>Chondrostereum purpureum cryptic virus 1</t>
  </si>
  <si>
    <t>Flammulina velutipes browning virus</t>
  </si>
  <si>
    <t>Rosellinia necatrix partitivirus 2</t>
  </si>
  <si>
    <t>Betapartitivirus</t>
  </si>
  <si>
    <t>Cannabis cryptic virus</t>
  </si>
  <si>
    <t>Crimson clover cryptic virus 2</t>
  </si>
  <si>
    <t>Dill cryptic virus 2</t>
  </si>
  <si>
    <t>Primula malacoides virus 1</t>
  </si>
  <si>
    <t>Deltapartitivirus</t>
  </si>
  <si>
    <t>Fig cryptic virus</t>
  </si>
  <si>
    <t>Pepper cryptic virus 1</t>
  </si>
  <si>
    <t>Pepper cryptic virus 2</t>
  </si>
  <si>
    <t>Gammapartitivirus</t>
  </si>
  <si>
    <t>Ambidensovirus</t>
  </si>
  <si>
    <t>Blattodean ambidensovirus 1</t>
  </si>
  <si>
    <t>Blattodean ambidensovirus 2</t>
  </si>
  <si>
    <t>Dipteran ambidensovirus 1</t>
  </si>
  <si>
    <t>Hemipteran ambidensovirus 1</t>
  </si>
  <si>
    <t>Lepidopteran ambidensovirus 1</t>
  </si>
  <si>
    <t>Orthopteran ambidensovirus 1</t>
  </si>
  <si>
    <t>Dipteran brevidensovirus 1</t>
  </si>
  <si>
    <t>Dipteran brevidensovirus 2</t>
  </si>
  <si>
    <t>Hepandensovirus</t>
  </si>
  <si>
    <t>Decapod hepandensovirus 1</t>
  </si>
  <si>
    <t>Iteradensovirus</t>
  </si>
  <si>
    <t>Lepidopteran iteradensovirus 1</t>
  </si>
  <si>
    <t>Lepidopteran iteradensovirus 2</t>
  </si>
  <si>
    <t>Lepidopteran iteradensovirus 3</t>
  </si>
  <si>
    <t>Lepidopteran iteradensovirus 4</t>
  </si>
  <si>
    <t>Lepidopteran iteradensovirus 5</t>
  </si>
  <si>
    <t>Penstyldensovirus</t>
  </si>
  <si>
    <t>Decapod penstyldensovirus 1</t>
  </si>
  <si>
    <t>Amdoparvovirus</t>
  </si>
  <si>
    <t>Carnivore amdoparvovirus 1</t>
  </si>
  <si>
    <t>Carnivore amdoparvovirus 2</t>
  </si>
  <si>
    <t>Aveparvovirus</t>
  </si>
  <si>
    <t>Galliform aveparvovirus 1</t>
  </si>
  <si>
    <t>Bocaparvovirus</t>
  </si>
  <si>
    <t>Carnivore bocaparvovirus 1</t>
  </si>
  <si>
    <t>Carnivore bocaparvovirus 2</t>
  </si>
  <si>
    <t>Carnivore bocaparvovirus 3</t>
  </si>
  <si>
    <t>Pinniped bocaparvovirus 1</t>
  </si>
  <si>
    <t>Pinniped bocaparvovirus 2</t>
  </si>
  <si>
    <t>Primate bocaparvovirus 1</t>
  </si>
  <si>
    <t>Primate bocaparvovirus 2</t>
  </si>
  <si>
    <t>Ungulate bocaparvovirus 1</t>
  </si>
  <si>
    <t>Ungulate bocaparvovirus 2</t>
  </si>
  <si>
    <t>Ungulate bocaparvovirus 3</t>
  </si>
  <si>
    <t>Ungulate bocaparvovirus 4</t>
  </si>
  <si>
    <t>Ungulate bocaparvovirus 5</t>
  </si>
  <si>
    <t>Copiparvovirus</t>
  </si>
  <si>
    <t>Ungulate copiparvovirus 1</t>
  </si>
  <si>
    <t>Ungulate copiparvovirus 2</t>
  </si>
  <si>
    <t>Dependoparvovirus</t>
  </si>
  <si>
    <t>Adeno-associated dependoparvovirus A</t>
  </si>
  <si>
    <t>Adeno-associated dependoparvovirus B</t>
  </si>
  <si>
    <t>Anseriform dependoparvovirus 1</t>
  </si>
  <si>
    <t>Avian dependoparvovirus 1</t>
  </si>
  <si>
    <t>Chiropteran dependoparvovirus 1</t>
  </si>
  <si>
    <t>Pinniped dependoparvovirus 1</t>
  </si>
  <si>
    <t>Squamate dependoparvovirus 1</t>
  </si>
  <si>
    <t>Erythroparvovirus</t>
  </si>
  <si>
    <t>Primate erythroparvovirus 1</t>
  </si>
  <si>
    <t>Primate erythroparvovirus 2</t>
  </si>
  <si>
    <t>Primate erythroparvovirus 3</t>
  </si>
  <si>
    <t>Primate erythroparvovirus 4</t>
  </si>
  <si>
    <t>Rodent erythroparvovirus 1</t>
  </si>
  <si>
    <t>Ungulate erythroparvovirus 1</t>
  </si>
  <si>
    <t>Protoparvovirus</t>
  </si>
  <si>
    <t>Carnivore protoparvovirus 1</t>
  </si>
  <si>
    <t>Primate protoparvovirus 1</t>
  </si>
  <si>
    <t>Rodent protoparvovirus 1</t>
  </si>
  <si>
    <t>Rodent protoparvovirus 2</t>
  </si>
  <si>
    <t>Ungulate protoparvovirus 1</t>
  </si>
  <si>
    <t>Tetraparvovirus</t>
  </si>
  <si>
    <t>Chiropteran tetraparvovirus 1</t>
  </si>
  <si>
    <t>Primate tetraparvovirus 1</t>
  </si>
  <si>
    <t>Ungulate tetraparvovirus 1</t>
  </si>
  <si>
    <t>Ungulate tetraparvovirus 2</t>
  </si>
  <si>
    <t>Ungulate tetraparvovirus 3</t>
  </si>
  <si>
    <t>Ungulate tetraparvovirus 4</t>
  </si>
  <si>
    <t>Rose yellow mosaic virus</t>
  </si>
  <si>
    <t>Spiraviridae</t>
  </si>
  <si>
    <t>Alphaspiravirus</t>
  </si>
  <si>
    <t>Aeropyrum coil-shaped virus</t>
  </si>
  <si>
    <t>Eilat virus</t>
  </si>
  <si>
    <t>Leishmania RNA virus 1</t>
  </si>
  <si>
    <t>Leishmania RNA virus 2</t>
  </si>
  <si>
    <t>Scheffersomyces segobiensis virus L</t>
  </si>
  <si>
    <t>Tuber aestivum virus 1</t>
  </si>
  <si>
    <t>Xanthophyllomyces dendrorhous virus L1A</t>
  </si>
  <si>
    <t>Xanthophyllomyces dendrorhous virus L1B</t>
  </si>
  <si>
    <t>Trichomonas vaginalis virus 4</t>
  </si>
  <si>
    <t>Aspergillus foetidus slow virus 1</t>
  </si>
  <si>
    <t>Beauveria bassiana victorivirus 1</t>
  </si>
  <si>
    <t>Magnaporthe oryzae virus 2</t>
  </si>
  <si>
    <t>Rosellinia necatrix victorivirus 1</t>
  </si>
  <si>
    <t>Tolypocladium cylindrosporum virus 1</t>
  </si>
  <si>
    <t>Turriviridae</t>
  </si>
  <si>
    <t>Alphaturrivirus</t>
  </si>
  <si>
    <t>Sulfolobus turreted icosahedral virus 1</t>
  </si>
  <si>
    <t>Sulfolobus turreted icosahedral virus 2</t>
  </si>
  <si>
    <t>Higrevirus</t>
  </si>
  <si>
    <t>Hibiscus green spot virus 2</t>
  </si>
  <si>
    <t>Pea enation mosaic virus 2</t>
  </si>
  <si>
    <t>Eucampyvirinae</t>
  </si>
  <si>
    <t>Sierra Nevada nyavirus</t>
  </si>
  <si>
    <t>Avihepatovirus A</t>
  </si>
  <si>
    <t>Cardiovirus A</t>
  </si>
  <si>
    <t>Cardiovirus B</t>
  </si>
  <si>
    <t>Cardiovirus C</t>
  </si>
  <si>
    <t>Erbovirus A</t>
  </si>
  <si>
    <t>Hepatovirus A</t>
  </si>
  <si>
    <t>Kunsagivirus</t>
  </si>
  <si>
    <t>Kunsagivirus A</t>
  </si>
  <si>
    <t>Parechovirus A</t>
  </si>
  <si>
    <t>Parechovirus B</t>
  </si>
  <si>
    <t>Sakobuvirus</t>
  </si>
  <si>
    <t>Sakobuvirus A</t>
  </si>
  <si>
    <t>Sapelovirus A</t>
  </si>
  <si>
    <t>Sapelovirus B</t>
  </si>
  <si>
    <t>Senecavirus A</t>
  </si>
  <si>
    <t>Sicinivirus</t>
  </si>
  <si>
    <t>Sicinivirus A</t>
  </si>
  <si>
    <t>Teschovirus A</t>
  </si>
  <si>
    <t>Tremovirus A</t>
  </si>
  <si>
    <t>Lettuce necrotic leaf curl virus</t>
  </si>
  <si>
    <t>Mammarenavirus</t>
  </si>
  <si>
    <t>Allpahuayo mammarenavirus</t>
  </si>
  <si>
    <t>Bear Canyon mammarenavirus</t>
  </si>
  <si>
    <t>Chapare mammarenavirus</t>
  </si>
  <si>
    <t>Cupixi mammarenavirus</t>
  </si>
  <si>
    <t>Flexal mammarenavirus</t>
  </si>
  <si>
    <t>Guanarito mammarenavirus</t>
  </si>
  <si>
    <t>Ippy mammarenavirus</t>
  </si>
  <si>
    <t>Lassa mammarenavirus</t>
  </si>
  <si>
    <t>Latino mammarenavirus</t>
  </si>
  <si>
    <t>Lujo mammarenavirus</t>
  </si>
  <si>
    <t>Luna mammarenavirus</t>
  </si>
  <si>
    <t>Lunk mammarenavirus</t>
  </si>
  <si>
    <t>Lymphocytic choriomeningitis mammarenavirus</t>
  </si>
  <si>
    <t>Machupo mammarenavirus</t>
  </si>
  <si>
    <t>Merino Walk mammarenavirus</t>
  </si>
  <si>
    <t>Mobala mammarenavirus</t>
  </si>
  <si>
    <t>Mopeia mammarenavirus</t>
  </si>
  <si>
    <t>Oliveros mammarenavirus</t>
  </si>
  <si>
    <t>Pirital mammarenavirus</t>
  </si>
  <si>
    <t>Tacaribe mammarenavirus</t>
  </si>
  <si>
    <t>Tamiami mammarenavirus</t>
  </si>
  <si>
    <t>Whitewater Arroyo mammarenavirus</t>
  </si>
  <si>
    <t>Reptarenavirus</t>
  </si>
  <si>
    <t>Banana streak IM virus</t>
  </si>
  <si>
    <t>Banana streak UA virus</t>
  </si>
  <si>
    <t>Banana streak UI virus</t>
  </si>
  <si>
    <t>Banana streak UL virus</t>
  </si>
  <si>
    <t>Banana streak UM virus</t>
  </si>
  <si>
    <t>Fig badnavirus 1</t>
  </si>
  <si>
    <t>Pagoda yellow mosaic associated virus</t>
  </si>
  <si>
    <t>Soybean Putnam virus</t>
  </si>
  <si>
    <t>Rosadnavirus</t>
  </si>
  <si>
    <t>Rose yellow vein virus</t>
  </si>
  <si>
    <t>Orthohepevirus</t>
  </si>
  <si>
    <t>Orthohepevirus A</t>
  </si>
  <si>
    <t>Orthohepevirus B</t>
  </si>
  <si>
    <t>Orthohepevirus C</t>
  </si>
  <si>
    <t>Orthohepevirus D</t>
  </si>
  <si>
    <t>Piscihepevirus</t>
  </si>
  <si>
    <t>Piscihepevirus A</t>
  </si>
  <si>
    <t>Helicobasidium mompa partitivirus V70</t>
  </si>
  <si>
    <t>Heterobasidion partitivirus 1</t>
  </si>
  <si>
    <t>Heterobasidion partitivirus 3</t>
  </si>
  <si>
    <t>Heterobasidion partitivirus 2</t>
  </si>
  <si>
    <t>Heterobasidion partitivirus 8</t>
  </si>
  <si>
    <t>Heterobasidion partitivirus P</t>
  </si>
  <si>
    <t>Dahlia latent viroid</t>
  </si>
  <si>
    <t>Bidens mosaic virus</t>
  </si>
  <si>
    <t>Blue squill virus A</t>
  </si>
  <si>
    <t>Brugmansia mosaic virus</t>
  </si>
  <si>
    <t>Calla lily latent virus</t>
  </si>
  <si>
    <t>Cyrtanthus elatus virus A</t>
  </si>
  <si>
    <t>Habenaria mosaic virus</t>
  </si>
  <si>
    <t>Keunjorong mosaic virus</t>
  </si>
  <si>
    <t>Lupinus mosaic virus</t>
  </si>
  <si>
    <t>Panax virus Y</t>
  </si>
  <si>
    <t>Tomato necrotic stunt virus</t>
  </si>
  <si>
    <t>Verbena virus Y</t>
  </si>
  <si>
    <t>Zucchini tigre mosaic virus</t>
  </si>
  <si>
    <t>Tall oatgrass mosaic virus</t>
  </si>
  <si>
    <t>Demodema bonariensis entomopoxvirus</t>
  </si>
  <si>
    <t>Figulus sublaevis entomopoxvirus</t>
  </si>
  <si>
    <t>Acrobasis zelleri entomopoxvirus</t>
  </si>
  <si>
    <t>Adoxophyes honmai entomopoxvirus</t>
  </si>
  <si>
    <t>Amsacta moorei entomopoxvirus</t>
  </si>
  <si>
    <t>Arphia conspersa entomopoxvirus</t>
  </si>
  <si>
    <t>Choristoneura biennis entomopoxvirus</t>
  </si>
  <si>
    <t>Choristoneura conflicta entomopoxvirus</t>
  </si>
  <si>
    <t>Choristoneura diversuma entomopoxvirus</t>
  </si>
  <si>
    <t>Choristoneura fumiferana entomopoxvirus</t>
  </si>
  <si>
    <t>Choristoneura rosaceana entomopoxvirus</t>
  </si>
  <si>
    <t>Chorizagrotis auxiliaris entomopoxvirus</t>
  </si>
  <si>
    <t>Heliothis armigera entomopoxvirus</t>
  </si>
  <si>
    <t>Locusta migratoria entomopoxvirus</t>
  </si>
  <si>
    <t>Mythimna separata entomopoxvirus</t>
  </si>
  <si>
    <t>Oedaleus senegalensis entomopoxvirus</t>
  </si>
  <si>
    <t>Operophtera brumata entomopoxvirus</t>
  </si>
  <si>
    <t>Schistocerca gregaria entomopoxvirus</t>
  </si>
  <si>
    <t>Goeldichironomus holoprasinus entomopoxvirus</t>
  </si>
  <si>
    <t>Rotavirus F</t>
  </si>
  <si>
    <t>Rotavirus G</t>
  </si>
  <si>
    <t>Rotavirus H</t>
  </si>
  <si>
    <t>Sphaerolipoviridae</t>
  </si>
  <si>
    <t>Alphasphaerolipovirus</t>
  </si>
  <si>
    <t>Haloarcula hispanica icosahedral virus 2</t>
  </si>
  <si>
    <t>Betasphaerolipovirus</t>
  </si>
  <si>
    <t>Gammasphaerolipovirus</t>
  </si>
  <si>
    <t>Thin paspalum asymptomatic virus</t>
  </si>
  <si>
    <t>Elderberry latent virus</t>
  </si>
  <si>
    <t>Pelargonium chlorotic ring pattern virus</t>
  </si>
  <si>
    <t>Pelargonium ringspot virus</t>
  </si>
  <si>
    <t>Rosa rugosa leaf distortion virus</t>
  </si>
  <si>
    <t>Trailing lespedeza virus 1</t>
  </si>
  <si>
    <t>Tomato mottle mosaic virus</t>
  </si>
  <si>
    <t>Yellow tailflower mild mottle virus</t>
  </si>
  <si>
    <t>Haloarcula hispanica virus PH1</t>
  </si>
  <si>
    <t>Haloarcula hispanica virus SH1</t>
  </si>
  <si>
    <t>Natrinema virus SNJ1</t>
  </si>
  <si>
    <t>dsDNA</t>
  </si>
  <si>
    <t>ssRNA(-)</t>
  </si>
  <si>
    <t>ssRNA(+)</t>
  </si>
  <si>
    <t>ssDNA</t>
  </si>
  <si>
    <t>dsRNA</t>
  </si>
  <si>
    <t>ssRNA-RT</t>
  </si>
  <si>
    <t>Mosso das Pedras virus</t>
  </si>
  <si>
    <t>Genome Composition</t>
  </si>
  <si>
    <t>Type Species?</t>
  </si>
  <si>
    <t>Taxon History URL</t>
  </si>
  <si>
    <t>Last Change</t>
  </si>
  <si>
    <t>Spiraea yellow leafspot virus</t>
  </si>
  <si>
    <t>Arabidopsis thaliana evelknievel virus</t>
  </si>
  <si>
    <t>Cp220virus</t>
  </si>
  <si>
    <t>Campylobacter virus CP220</t>
  </si>
  <si>
    <t>Campylobacter virus CPt10</t>
  </si>
  <si>
    <t>Campylobacter virus IBB35</t>
  </si>
  <si>
    <t>Cp8virus</t>
  </si>
  <si>
    <t>Campylobacter virus CP81</t>
  </si>
  <si>
    <t>Campylobacter virus CPX</t>
  </si>
  <si>
    <t>Campylobacter virus NCTC12673</t>
  </si>
  <si>
    <t>Hp1virus</t>
  </si>
  <si>
    <t>Aeromonas virus phiO18P</t>
  </si>
  <si>
    <t>Haemophilus virus HP1</t>
  </si>
  <si>
    <t>Haemophilus virus HP2</t>
  </si>
  <si>
    <t>Pasteurella virus F108</t>
  </si>
  <si>
    <t>Vibrio virus K139</t>
  </si>
  <si>
    <t>Vibrio virus Kappa</t>
  </si>
  <si>
    <t>P2virus</t>
  </si>
  <si>
    <t>Burkholderia virus phi52237</t>
  </si>
  <si>
    <t>Burkholderia virus phiE122</t>
  </si>
  <si>
    <t>Burkholderia virus phiE202</t>
  </si>
  <si>
    <t>Escherichia virus 186</t>
  </si>
  <si>
    <t>Escherichia virus P2</t>
  </si>
  <si>
    <t>Escherichia virus Wphi</t>
  </si>
  <si>
    <t>Pseudomonas virus phiCTX</t>
  </si>
  <si>
    <t>Ralstonia virus RSA1</t>
  </si>
  <si>
    <t>Salmonella virus Fels2</t>
  </si>
  <si>
    <t>Salmonella virus PsP3</t>
  </si>
  <si>
    <t>Salmonella virus SopEphi</t>
  </si>
  <si>
    <t>Yersinia virus L413C</t>
  </si>
  <si>
    <t>Kayvirus</t>
  </si>
  <si>
    <t>Staphylococcus virus G1</t>
  </si>
  <si>
    <t>Staphylococcus virus G15</t>
  </si>
  <si>
    <t>Staphylococcus virus JD7</t>
  </si>
  <si>
    <t>Staphylococcus virus K</t>
  </si>
  <si>
    <t>Staphylococcus virus MCE2014</t>
  </si>
  <si>
    <t>Staphylococcus virus P108</t>
  </si>
  <si>
    <t>Staphylococcus virus S253</t>
  </si>
  <si>
    <t>Staphylococcus virus SA12</t>
  </si>
  <si>
    <t>P100virus</t>
  </si>
  <si>
    <t>Listeria virus A511</t>
  </si>
  <si>
    <t>Listeria virus P100</t>
  </si>
  <si>
    <t>Silviavirus</t>
  </si>
  <si>
    <t>Staphylococcus virus Remus</t>
  </si>
  <si>
    <t>Staphylococcus virus SA11</t>
  </si>
  <si>
    <t>Spo1virus</t>
  </si>
  <si>
    <t>Bacillus virus SPO1</t>
  </si>
  <si>
    <t>Twortvirus</t>
  </si>
  <si>
    <t>Staphylococcus virus Twort</t>
  </si>
  <si>
    <t>Enterococcus virus phiEC24C</t>
  </si>
  <si>
    <t>Lactobacillus virus LP65</t>
  </si>
  <si>
    <t>Cc31virus</t>
  </si>
  <si>
    <t>Enterobacter virus PG7</t>
  </si>
  <si>
    <t>Js98virus</t>
  </si>
  <si>
    <t>Escherichia virus Bp7</t>
  </si>
  <si>
    <t>Escherichia virus IME08</t>
  </si>
  <si>
    <t>Escherichia virus JS10</t>
  </si>
  <si>
    <t>Escherichia virus JS98</t>
  </si>
  <si>
    <t>Escherichia virus VR5</t>
  </si>
  <si>
    <t>Rb49virus</t>
  </si>
  <si>
    <t>Escherichia virus phi1</t>
  </si>
  <si>
    <t>Escherichia virus RB49</t>
  </si>
  <si>
    <t>Rb69virus</t>
  </si>
  <si>
    <t>Escherichia virus HX01</t>
  </si>
  <si>
    <t>Escherichia virus JS09</t>
  </si>
  <si>
    <t>Escherichia virus RB69</t>
  </si>
  <si>
    <t>Shigella virus UTAM</t>
  </si>
  <si>
    <t>S16virus</t>
  </si>
  <si>
    <t>Salmonella virus S16</t>
  </si>
  <si>
    <t>Salmonella virus STML198</t>
  </si>
  <si>
    <t>Schizot4virus</t>
  </si>
  <si>
    <t>Vibrio virus KVP40</t>
  </si>
  <si>
    <t>Vibrio virus nt1</t>
  </si>
  <si>
    <t>Vibrio virus ValKK3</t>
  </si>
  <si>
    <t>Sp18virus</t>
  </si>
  <si>
    <t>Escherichia virus VR7</t>
  </si>
  <si>
    <t>Escherichia virus VR20</t>
  </si>
  <si>
    <t>Escherichia virus VR25</t>
  </si>
  <si>
    <t>Escherichia virus VR26</t>
  </si>
  <si>
    <t>Shigella virus SP18</t>
  </si>
  <si>
    <t>T4virus</t>
  </si>
  <si>
    <t>Escherichia virus AR1</t>
  </si>
  <si>
    <t>Escherichia virus C40</t>
  </si>
  <si>
    <t>Escherichia virus E112</t>
  </si>
  <si>
    <t>Escherichia virus ECML134</t>
  </si>
  <si>
    <t>Escherichia virus Ime09</t>
  </si>
  <si>
    <t>Escherichia virus RB3</t>
  </si>
  <si>
    <t>Escherichia virus RB14</t>
  </si>
  <si>
    <t>Escherichia virus T4</t>
  </si>
  <si>
    <t>Shigella virus Pss1</t>
  </si>
  <si>
    <t>Shigella virus Shfl2</t>
  </si>
  <si>
    <t>Yersinia virus D1</t>
  </si>
  <si>
    <t>Yersinia virus PST</t>
  </si>
  <si>
    <t>Acinetobacter virus 133</t>
  </si>
  <si>
    <t>Aeromonas virus 65</t>
  </si>
  <si>
    <t>Aeromonas virus Aeh1</t>
  </si>
  <si>
    <t>Escherichia virus RB16</t>
  </si>
  <si>
    <t>Escherichia virus RB32</t>
  </si>
  <si>
    <t>Escherichia virus RB43</t>
  </si>
  <si>
    <t>Pseudomonas virus 42</t>
  </si>
  <si>
    <t>Vequintavirinae</t>
  </si>
  <si>
    <t>Cr3virus</t>
  </si>
  <si>
    <t>Cronobacter virus CR3</t>
  </si>
  <si>
    <t>Cronobacter virus CR8</t>
  </si>
  <si>
    <t>Cronobacter virus CR9</t>
  </si>
  <si>
    <t>Se1virus</t>
  </si>
  <si>
    <t>Cronobacter virus GAP31</t>
  </si>
  <si>
    <t>Escherichia virus 4MG</t>
  </si>
  <si>
    <t>Salmonella virus SE1</t>
  </si>
  <si>
    <t>Salmonella virus SSE121</t>
  </si>
  <si>
    <t>V5virus</t>
  </si>
  <si>
    <t>Escherichia virus FFH2</t>
  </si>
  <si>
    <t>Escherichia virus FV3</t>
  </si>
  <si>
    <t>Escherichia virus JES2013</t>
  </si>
  <si>
    <t>Escherichia virus V5</t>
  </si>
  <si>
    <t>Agatevirus</t>
  </si>
  <si>
    <t>Bacillus virus Agate</t>
  </si>
  <si>
    <t>Bacillus virus Bobb</t>
  </si>
  <si>
    <t>Bacillus virus Bp8pC</t>
  </si>
  <si>
    <t>Ap22virus</t>
  </si>
  <si>
    <t>Acinetobacter virus AB1</t>
  </si>
  <si>
    <t>Acinetobacter virus AB2</t>
  </si>
  <si>
    <t>Acinetobacter virus AbC62</t>
  </si>
  <si>
    <t>Acinetobacter virus AP22</t>
  </si>
  <si>
    <t>B4virus</t>
  </si>
  <si>
    <t>Bacillus virus B4</t>
  </si>
  <si>
    <t>Bacillus virus Bigbertha</t>
  </si>
  <si>
    <t>Bacillus virus Riley</t>
  </si>
  <si>
    <t>Bacillus virus Spock</t>
  </si>
  <si>
    <t>Bacillus virus Troll</t>
  </si>
  <si>
    <t>Bastillevirus</t>
  </si>
  <si>
    <t>Bacillus virus Bastille</t>
  </si>
  <si>
    <t>Bacillus virus CAM003</t>
  </si>
  <si>
    <t>Bc431virus</t>
  </si>
  <si>
    <t>Bacillus virus Bc431</t>
  </si>
  <si>
    <t>Bacillus virus Bcp1</t>
  </si>
  <si>
    <t>Bacillus virus BCP82</t>
  </si>
  <si>
    <t>Bacillus virus JBP901</t>
  </si>
  <si>
    <t>Bcep78virus</t>
  </si>
  <si>
    <t>Burkholderia virus Bcep1</t>
  </si>
  <si>
    <t>Burkholderia virus Bcep43</t>
  </si>
  <si>
    <t>Burkholderia virus Bcep781</t>
  </si>
  <si>
    <t>Burkholderia virus BcepNY3</t>
  </si>
  <si>
    <t>Xanthomonas virus OP2</t>
  </si>
  <si>
    <t>Bcepmuvirus</t>
  </si>
  <si>
    <t>Burkholderia virus BcepMu</t>
  </si>
  <si>
    <t>Burkholderia virus phiE255</t>
  </si>
  <si>
    <t>Biquartavirus</t>
  </si>
  <si>
    <t>Aeromonas virus 44RR2</t>
  </si>
  <si>
    <t>Bxz1virus</t>
  </si>
  <si>
    <t>Mycobacterium virus I3</t>
  </si>
  <si>
    <t>Cd119virus</t>
  </si>
  <si>
    <t>Clostridium virus phiC2</t>
  </si>
  <si>
    <t>Clostridium virus phiCD27</t>
  </si>
  <si>
    <t>Clostridium virus phiCD119</t>
  </si>
  <si>
    <t>Cp51virus</t>
  </si>
  <si>
    <t>Bacillus virus CP51</t>
  </si>
  <si>
    <t>Bacillus virus JL</t>
  </si>
  <si>
    <t>Bacillus virus Shanette</t>
  </si>
  <si>
    <t>Cvm10virus</t>
  </si>
  <si>
    <t>Escherichia virus CVM10</t>
  </si>
  <si>
    <t>Escherichia virus ep3</t>
  </si>
  <si>
    <t>Felixo1virus</t>
  </si>
  <si>
    <t>Erwinia virus Ea214</t>
  </si>
  <si>
    <t>Escherichia virus AYO145A</t>
  </si>
  <si>
    <t>Escherichia virus EC6</t>
  </si>
  <si>
    <t>Escherichia virus JH2</t>
  </si>
  <si>
    <t>Escherichia virus VpaE1</t>
  </si>
  <si>
    <t>Escherichia virus wV8</t>
  </si>
  <si>
    <t>Salmonella virus FelixO1</t>
  </si>
  <si>
    <t>Salmonella virus HB2014</t>
  </si>
  <si>
    <t>Salmonella virus Mushroom</t>
  </si>
  <si>
    <t>Salmonella virus UAB87</t>
  </si>
  <si>
    <t>Hapunavirus</t>
  </si>
  <si>
    <t>Halomonas virus HAP1</t>
  </si>
  <si>
    <t>Vibrio virus VP882</t>
  </si>
  <si>
    <t>Kpp10virus</t>
  </si>
  <si>
    <t>Pseudomonas virus Ab03</t>
  </si>
  <si>
    <t>Pseudomonas virus KPP10</t>
  </si>
  <si>
    <t>Pseudomonas virus PAKP3</t>
  </si>
  <si>
    <t>Muvirus</t>
  </si>
  <si>
    <t>Escherichia virus Mu</t>
  </si>
  <si>
    <t>Myohalovirus</t>
  </si>
  <si>
    <t>Halobacterium virus phiH</t>
  </si>
  <si>
    <t>Nit1virus</t>
  </si>
  <si>
    <t>Bacillus virus Grass</t>
  </si>
  <si>
    <t>Bacillus virus NIT1</t>
  </si>
  <si>
    <t>Bacillus virus SPG24</t>
  </si>
  <si>
    <t>P1virus</t>
  </si>
  <si>
    <t>Aeromonas virus 43</t>
  </si>
  <si>
    <t>Escherichia virus P1</t>
  </si>
  <si>
    <t>Pakpunavirus</t>
  </si>
  <si>
    <t>Pseudomonas virus CAb1</t>
  </si>
  <si>
    <t>Pseudomonas virus CAb02</t>
  </si>
  <si>
    <t>Pseudomonas virus JG004</t>
  </si>
  <si>
    <t>Pseudomonas virus PAKP1</t>
  </si>
  <si>
    <t>Pseudomonas virus PAKP4</t>
  </si>
  <si>
    <t>Pseudomonas virus PaP1</t>
  </si>
  <si>
    <t>Pbunavirus</t>
  </si>
  <si>
    <t>Burkholderia virus BcepF1</t>
  </si>
  <si>
    <t>Pseudomonas virus 141</t>
  </si>
  <si>
    <t>Pseudomonas virus Ab28</t>
  </si>
  <si>
    <t>Pseudomonas virus DL60</t>
  </si>
  <si>
    <t>Pseudomonas virus DL68</t>
  </si>
  <si>
    <t>Pseudomonas virus F8</t>
  </si>
  <si>
    <t>Pseudomonas virus JG024</t>
  </si>
  <si>
    <t>Pseudomonas virus KPP12</t>
  </si>
  <si>
    <t>Pseudomonas virus LBL3</t>
  </si>
  <si>
    <t>Pseudomonas virus LMA2</t>
  </si>
  <si>
    <t>Pseudomonas virus PB1</t>
  </si>
  <si>
    <t>Pseudomonas virus SN</t>
  </si>
  <si>
    <t>Phikzvirus</t>
  </si>
  <si>
    <t>Pseudomonas virus EL</t>
  </si>
  <si>
    <t>Pseudomonas virus phiKZ</t>
  </si>
  <si>
    <t>Rheph4virus</t>
  </si>
  <si>
    <t>Rhizobium virus RHEph4</t>
  </si>
  <si>
    <t>Secunda5virus</t>
  </si>
  <si>
    <t>Aeromonas virus 25</t>
  </si>
  <si>
    <t>Aeromonas virus 31</t>
  </si>
  <si>
    <t>Aeromonas virus Aes12</t>
  </si>
  <si>
    <t>Aeromonas virus Aes508</t>
  </si>
  <si>
    <t>Aeromonas virus AS4</t>
  </si>
  <si>
    <t>Stenotrophomonas virus IME13</t>
  </si>
  <si>
    <t>Tg1virus</t>
  </si>
  <si>
    <t>Yersinia virus R1RT</t>
  </si>
  <si>
    <t>Yersinia virus TG1</t>
  </si>
  <si>
    <t>Bacillus virus G</t>
  </si>
  <si>
    <t>Bacillus virus PBS1</t>
  </si>
  <si>
    <t>Microcystis virus Ma-LMM01</t>
  </si>
  <si>
    <t>Vhmlvirus</t>
  </si>
  <si>
    <t>Vibrio virus MAR</t>
  </si>
  <si>
    <t>Vibrio virus VHML</t>
  </si>
  <si>
    <t>Vibrio virus VP585</t>
  </si>
  <si>
    <t>Vi1virus</t>
  </si>
  <si>
    <t>Dickeya virus Limestone</t>
  </si>
  <si>
    <t>Escherichia virus CBA120</t>
  </si>
  <si>
    <t>Escherichia virus ECML4</t>
  </si>
  <si>
    <t>Escherichia virus PhaxI</t>
  </si>
  <si>
    <t>Salmonella virus Det7</t>
  </si>
  <si>
    <t>Salmonella virus Marshall</t>
  </si>
  <si>
    <t>Salmonella virus Maynard</t>
  </si>
  <si>
    <t>Salmonella virus SFP10</t>
  </si>
  <si>
    <t>Salmonella virus SH19</t>
  </si>
  <si>
    <t>Salmonella virus SJ2</t>
  </si>
  <si>
    <t>Salmonella virus SJ3</t>
  </si>
  <si>
    <t>Salmonella virus STML131</t>
  </si>
  <si>
    <t>Salmonella virus ViI</t>
  </si>
  <si>
    <t>Shigella virus AG3</t>
  </si>
  <si>
    <t>Wphvirus</t>
  </si>
  <si>
    <t>Bacillus virus WPh</t>
  </si>
  <si>
    <t>Kp34virus</t>
  </si>
  <si>
    <t>Klebsiella virus F19</t>
  </si>
  <si>
    <t>Klebsiella virus K244</t>
  </si>
  <si>
    <t>Klebsiella virus KP34</t>
  </si>
  <si>
    <t>Klebsiella virus SU503</t>
  </si>
  <si>
    <t>Klebsiella virus SU552A</t>
  </si>
  <si>
    <t>Phikmvvirus</t>
  </si>
  <si>
    <t>Pantoea virus Limelight</t>
  </si>
  <si>
    <t>Pantoea virus Limezero</t>
  </si>
  <si>
    <t>Pseudomonas virus LKA1</t>
  </si>
  <si>
    <t>Pseudomonas virus phiKMV</t>
  </si>
  <si>
    <t>Sp6virus</t>
  </si>
  <si>
    <t>Erwinia virus Era103</t>
  </si>
  <si>
    <t>Escherichia virus K5</t>
  </si>
  <si>
    <t>Escherichia virus K1-5</t>
  </si>
  <si>
    <t>Escherichia virus K1E</t>
  </si>
  <si>
    <t>Salmonella virus SP6</t>
  </si>
  <si>
    <t>T7virus</t>
  </si>
  <si>
    <t>Escherichia virus T7</t>
  </si>
  <si>
    <t>Kluyvera virus Kvp1</t>
  </si>
  <si>
    <t>Pseudomonas virus gh1</t>
  </si>
  <si>
    <t>Prochlorococcus virus PSSP7</t>
  </si>
  <si>
    <t>Synechococcus virus P60</t>
  </si>
  <si>
    <t>Synechococcus virus Syn5</t>
  </si>
  <si>
    <t>P68virus</t>
  </si>
  <si>
    <t>Staphylococcus virus 44AHJD</t>
  </si>
  <si>
    <t>Streptococcus virus C1</t>
  </si>
  <si>
    <t>Phi29virus</t>
  </si>
  <si>
    <t>Bacillus virus B103</t>
  </si>
  <si>
    <t>Bacillus virus GA1</t>
  </si>
  <si>
    <t>Bacillus virus phi29</t>
  </si>
  <si>
    <t>Kurthia virus 6</t>
  </si>
  <si>
    <t>Actinomyces virus Av1</t>
  </si>
  <si>
    <t>Mycoplasma virus P1</t>
  </si>
  <si>
    <t>Streptococcus virus Cp1</t>
  </si>
  <si>
    <t>Burkholderia virus Bcep22</t>
  </si>
  <si>
    <t>Burkholderia virus Bcepil02</t>
  </si>
  <si>
    <t>Burkholderia virus Bcepmigl</t>
  </si>
  <si>
    <t>Burkholderia virus DC1</t>
  </si>
  <si>
    <t>Bpp1virus</t>
  </si>
  <si>
    <t>Bordetella virus BPP1</t>
  </si>
  <si>
    <t>Burkholderia virus BcepC6B</t>
  </si>
  <si>
    <t>Cba41virus</t>
  </si>
  <si>
    <t>Cellulophaga virus Cba41</t>
  </si>
  <si>
    <t>Cellulophaga virus Cba172</t>
  </si>
  <si>
    <t>Epsilon15virus</t>
  </si>
  <si>
    <t>Escherichia virus phiV10</t>
  </si>
  <si>
    <t>Salmonella virus Epsilon15</t>
  </si>
  <si>
    <t>F116virus</t>
  </si>
  <si>
    <t>Pseudomonas virus F116</t>
  </si>
  <si>
    <t>Pseudomonas virus H66</t>
  </si>
  <si>
    <t>Ff47virus</t>
  </si>
  <si>
    <t>Mycobacterium virus Ff47</t>
  </si>
  <si>
    <t>Mycobacterium virus Muddy</t>
  </si>
  <si>
    <t>G7cvirus</t>
  </si>
  <si>
    <t>Escherichia virus APEC5</t>
  </si>
  <si>
    <t>Escherichia virus APEC7</t>
  </si>
  <si>
    <t>Escherichia virus Bp4</t>
  </si>
  <si>
    <t>Escherichia virus EC1UPM</t>
  </si>
  <si>
    <t>Escherichia virus ECBP1</t>
  </si>
  <si>
    <t>Escherichia virus G7C</t>
  </si>
  <si>
    <t>Escherichia virus IME11</t>
  </si>
  <si>
    <t>Shigella virus Sb1</t>
  </si>
  <si>
    <t>Lit1virus</t>
  </si>
  <si>
    <t>Pseudomonas virus Ab09</t>
  </si>
  <si>
    <t>Pseudomonas virus LIT1</t>
  </si>
  <si>
    <t>Pseudomonas virus PA26</t>
  </si>
  <si>
    <t>Luz24virus</t>
  </si>
  <si>
    <t>Pseudomonas virus Ab22</t>
  </si>
  <si>
    <t>Pseudomonas virus CHU</t>
  </si>
  <si>
    <t>Pseudomonas virus LUZ24</t>
  </si>
  <si>
    <t>Pseudomonas virus PAA2</t>
  </si>
  <si>
    <t>Pseudomonas virus PaP3</t>
  </si>
  <si>
    <t>Pseudomonas virus PaP4</t>
  </si>
  <si>
    <t>Pseudomonas virus TL</t>
  </si>
  <si>
    <t>N4virus</t>
  </si>
  <si>
    <t>Escherichia virus N4</t>
  </si>
  <si>
    <t>Nonanavirus</t>
  </si>
  <si>
    <t>Salmonella virus 9NA</t>
  </si>
  <si>
    <t>Salmonella virus SP069</t>
  </si>
  <si>
    <t>P22virus</t>
  </si>
  <si>
    <t>Salmonella virus HK620</t>
  </si>
  <si>
    <t>Salmonella virus P22</t>
  </si>
  <si>
    <t>Salmonella virus ST64T</t>
  </si>
  <si>
    <t>Shigella virus Sf6</t>
  </si>
  <si>
    <t>Pagevirus</t>
  </si>
  <si>
    <t>Bacillus virus Page</t>
  </si>
  <si>
    <t>Bacillus virus Palmer</t>
  </si>
  <si>
    <t>Bacillus virus Pascal</t>
  </si>
  <si>
    <t>Bacillus virus Pony</t>
  </si>
  <si>
    <t>Bacillus virus Pookie</t>
  </si>
  <si>
    <t>Phieco32virus</t>
  </si>
  <si>
    <t>Escherichia virus ECB2</t>
  </si>
  <si>
    <t>Escherichia virus NJ01</t>
  </si>
  <si>
    <t>Escherichia virus phiEco32</t>
  </si>
  <si>
    <t>Escherichia virus Septima11</t>
  </si>
  <si>
    <t>Escherichia virus SU10</t>
  </si>
  <si>
    <t>Hamiltonella virus APSE1</t>
  </si>
  <si>
    <t>Lactococcus virus KSY1</t>
  </si>
  <si>
    <t>Phormidium virus WMP3</t>
  </si>
  <si>
    <t>Phormidium virus WMP4</t>
  </si>
  <si>
    <t>Pseudomonas virus 119X</t>
  </si>
  <si>
    <t>Roseobacter virus SIO1</t>
  </si>
  <si>
    <t>Vibrio virus VpV262</t>
  </si>
  <si>
    <t>Vp5virus</t>
  </si>
  <si>
    <t>Vibrio virus VC8</t>
  </si>
  <si>
    <t>Vibrio virus VP2</t>
  </si>
  <si>
    <t>Vibrio virus VP5</t>
  </si>
  <si>
    <t>Guernseyvirinae</t>
  </si>
  <si>
    <t>Jerseyvirus</t>
  </si>
  <si>
    <t>Salmonella virus AG11</t>
  </si>
  <si>
    <t>Salmonella virus Ent1</t>
  </si>
  <si>
    <t>Salmonella virus Jersey</t>
  </si>
  <si>
    <t>Salmonella virus SE2</t>
  </si>
  <si>
    <t>Salmonella virus SETP3</t>
  </si>
  <si>
    <t>Salmonella virus SETP7</t>
  </si>
  <si>
    <t>Salmonella virus SETP13</t>
  </si>
  <si>
    <t>Salmonella virus SP101</t>
  </si>
  <si>
    <t>Salmonella virus SS3e</t>
  </si>
  <si>
    <t>Salmonella virus wksl3</t>
  </si>
  <si>
    <t>K1gvirus</t>
  </si>
  <si>
    <t>Escherichia virus K1G</t>
  </si>
  <si>
    <t>Escherichia virus K1H</t>
  </si>
  <si>
    <t>Escherichia virus K1ind1</t>
  </si>
  <si>
    <t>Escherichia virus K1ind2</t>
  </si>
  <si>
    <t>Sp31virus</t>
  </si>
  <si>
    <t>Salmonella virus SP31</t>
  </si>
  <si>
    <t>Tunavirinae</t>
  </si>
  <si>
    <t>Kp36virus</t>
  </si>
  <si>
    <t>Enterobacter virus F20</t>
  </si>
  <si>
    <t>Klebsiella virus 1513</t>
  </si>
  <si>
    <t>Klebsiella virus KP36</t>
  </si>
  <si>
    <t>Rogue1virus</t>
  </si>
  <si>
    <t>Escherichia virus AHP42</t>
  </si>
  <si>
    <t>Escherichia virus AHS24</t>
  </si>
  <si>
    <t>Escherichia virus AKS96</t>
  </si>
  <si>
    <t>Escherichia virus E41c</t>
  </si>
  <si>
    <t>Escherichia virus Eb49</t>
  </si>
  <si>
    <t>Escherichia virus Jk06</t>
  </si>
  <si>
    <t>Escherichia virus KP26</t>
  </si>
  <si>
    <t>Escherichia virus Rogue1</t>
  </si>
  <si>
    <t>Rtpvirus</t>
  </si>
  <si>
    <t>Escherichia virus ACGM12</t>
  </si>
  <si>
    <t>Escherichia virus Rtp</t>
  </si>
  <si>
    <t>T1virus</t>
  </si>
  <si>
    <t>Escherichia virus ADB2</t>
  </si>
  <si>
    <t>Escherichia virus T1</t>
  </si>
  <si>
    <t>Shigella virus PSf2</t>
  </si>
  <si>
    <t>Shigella virus Shfl1</t>
  </si>
  <si>
    <t>Tlsvirus</t>
  </si>
  <si>
    <t>Citrobacter virus Stevie</t>
  </si>
  <si>
    <t>Escherichia virus TLS</t>
  </si>
  <si>
    <t>Salmonella virus SP126</t>
  </si>
  <si>
    <t>Cronobacter virus Esp2949-1</t>
  </si>
  <si>
    <t>Andromedavirus</t>
  </si>
  <si>
    <t>Bacillus virus Andromeda</t>
  </si>
  <si>
    <t>Bacillus virus Blastoid</t>
  </si>
  <si>
    <t>Bacillus virus Curly</t>
  </si>
  <si>
    <t>Bacillus virus Eoghan</t>
  </si>
  <si>
    <t>Bacillus virus Finn</t>
  </si>
  <si>
    <t>Bacillus virus Glittering</t>
  </si>
  <si>
    <t>Bacillus virus Riggi</t>
  </si>
  <si>
    <t>Bacillus virus Taylor</t>
  </si>
  <si>
    <t>Barnyardvirus</t>
  </si>
  <si>
    <t>Mycobacterium virus Barnyard</t>
  </si>
  <si>
    <t>Mycobacterium virus Konstantine</t>
  </si>
  <si>
    <t>Mycobacterium virus Patience</t>
  </si>
  <si>
    <t>Mycobacterium virus Predator</t>
  </si>
  <si>
    <t>Bignuzvirus</t>
  </si>
  <si>
    <t>Mycobacterium virus Bignuz</t>
  </si>
  <si>
    <t>Mycobacterium virus Jebeks</t>
  </si>
  <si>
    <t>Biseptimavirus</t>
  </si>
  <si>
    <t>Staphylococcus virus 13</t>
  </si>
  <si>
    <t>Staphylococcus virus 77</t>
  </si>
  <si>
    <t>Staphylococcus virus 108PVL</t>
  </si>
  <si>
    <t>Bronvirus</t>
  </si>
  <si>
    <t>Mycobacterium virus Bron</t>
  </si>
  <si>
    <t>Mycobacterium virus Faith1</t>
  </si>
  <si>
    <t>Mycobacterium virus Joedirt</t>
  </si>
  <si>
    <t>Mycobacterium virus Rumpelstiltskin</t>
  </si>
  <si>
    <t>C2virus</t>
  </si>
  <si>
    <t>Lactococcus virus bIL67</t>
  </si>
  <si>
    <t>Lactococcus virus c2</t>
  </si>
  <si>
    <t>C5virus</t>
  </si>
  <si>
    <t>Lactobacillus virus c5</t>
  </si>
  <si>
    <t>Lactobacillus virus LLKu</t>
  </si>
  <si>
    <t>Cba181virus</t>
  </si>
  <si>
    <t>Cellulophaga virus Cba121</t>
  </si>
  <si>
    <t>Cellulophaga virus Cba171</t>
  </si>
  <si>
    <t>Cellulophaga virus Cba181</t>
  </si>
  <si>
    <t>Cbastvirus</t>
  </si>
  <si>
    <t>Cellulophaga virus ST</t>
  </si>
  <si>
    <t>Cecivirus</t>
  </si>
  <si>
    <t>Bacillus virus 250</t>
  </si>
  <si>
    <t>Bacillus virus IEBH</t>
  </si>
  <si>
    <t>Charlievirus</t>
  </si>
  <si>
    <t>Mycobacterium virus Charlie</t>
  </si>
  <si>
    <t>Mycobacterium virus Redi</t>
  </si>
  <si>
    <t>Che8virus</t>
  </si>
  <si>
    <t>Mycobacterium virus Ardmore</t>
  </si>
  <si>
    <t>Mycobacterium virus Avani</t>
  </si>
  <si>
    <t>Mycobacterium virus Boomer</t>
  </si>
  <si>
    <t>Mycobacterium virus Che8</t>
  </si>
  <si>
    <t>Mycobacterium virus Che9d</t>
  </si>
  <si>
    <t>Mycobacterium virus Deadp</t>
  </si>
  <si>
    <t>Mycobacterium virus Dlane</t>
  </si>
  <si>
    <t>Mycobacterium virus Dorothy</t>
  </si>
  <si>
    <t>Mycobacterium virus Dotproduct</t>
  </si>
  <si>
    <t>Mycobacterium virus Drago</t>
  </si>
  <si>
    <t>Mycobacterium virus Fruitloop</t>
  </si>
  <si>
    <t>Mycobacterium virus Gumbie</t>
  </si>
  <si>
    <t>Mycobacterium virus Ibhubesi</t>
  </si>
  <si>
    <t>Mycobacterium virus Llij</t>
  </si>
  <si>
    <t>Mycobacterium virus Mozy</t>
  </si>
  <si>
    <t>Mycobacterium virus Mutaforma13</t>
  </si>
  <si>
    <t>Mycobacterium virus Pacc40</t>
  </si>
  <si>
    <t>Mycobacterium virus PMC</t>
  </si>
  <si>
    <t>Mycobacterium virus Ramsey</t>
  </si>
  <si>
    <t>Mycobacterium virus Rockyhorror</t>
  </si>
  <si>
    <t>Mycobacterium virus SG4</t>
  </si>
  <si>
    <t>Mycobacterium virus Shauna1</t>
  </si>
  <si>
    <t>Mycobacterium virus Shilan</t>
  </si>
  <si>
    <t>Mycobacterium virus Spartacus</t>
  </si>
  <si>
    <t>Mycobacterium virus Taj</t>
  </si>
  <si>
    <t>Mycobacterium virus Tweety</t>
  </si>
  <si>
    <t>Mycobacterium virus Wee</t>
  </si>
  <si>
    <t>Mycobacterium virus Yoshi</t>
  </si>
  <si>
    <t>Che9cvirus</t>
  </si>
  <si>
    <t>Mycobacterium virus Babsiella</t>
  </si>
  <si>
    <t>Mycobacterium virus Brujita</t>
  </si>
  <si>
    <t>Mycobacterium virus Che9c</t>
  </si>
  <si>
    <t>Chivirus</t>
  </si>
  <si>
    <t>Salmonella virus Chi</t>
  </si>
  <si>
    <t>Salmonella virus FSLSP030</t>
  </si>
  <si>
    <t>Salmonella virus FSLSP088</t>
  </si>
  <si>
    <t>Salmonella virus iEPS5</t>
  </si>
  <si>
    <t>Salmonella virus SPN19</t>
  </si>
  <si>
    <t>Cjw1virus</t>
  </si>
  <si>
    <t>Mycobacterium virus 244</t>
  </si>
  <si>
    <t>Mycobacterium virus Bask21</t>
  </si>
  <si>
    <t>Mycobacterium virus CJW1</t>
  </si>
  <si>
    <t>Mycobacterium virus Eureka</t>
  </si>
  <si>
    <t>Mycobacterium virus Kostya</t>
  </si>
  <si>
    <t>Mycobacterium virus Porky</t>
  </si>
  <si>
    <t>Mycobacterium virus Pumpkin</t>
  </si>
  <si>
    <t>Mycobacterium virus Sirduracell</t>
  </si>
  <si>
    <t>Mycobacterium virus Toto</t>
  </si>
  <si>
    <t>Corndogvirus</t>
  </si>
  <si>
    <t>Mycobacterium virus Corndog</t>
  </si>
  <si>
    <t>Mycobacterium virus Firecracker</t>
  </si>
  <si>
    <t>D3112virus</t>
  </si>
  <si>
    <t>Pseudomonas virus D3112</t>
  </si>
  <si>
    <t>Pseudomonas virus DMS3</t>
  </si>
  <si>
    <t>Pseudomonas virus FHA0480</t>
  </si>
  <si>
    <t>Pseudomonas virus LPB1</t>
  </si>
  <si>
    <t>Pseudomonas virus MP22</t>
  </si>
  <si>
    <t>Pseudomonas virus MP29</t>
  </si>
  <si>
    <t>Pseudomonas virus MP38</t>
  </si>
  <si>
    <t>Pseudomonas virus PA1KOR</t>
  </si>
  <si>
    <t>D3virus</t>
  </si>
  <si>
    <t>Pseudomonas virus D3</t>
  </si>
  <si>
    <t>Pseudomonas virus PMG1</t>
  </si>
  <si>
    <t>E125virus</t>
  </si>
  <si>
    <t>Burkholderia virus phi6442</t>
  </si>
  <si>
    <t>Burkholderia virus phi1026b</t>
  </si>
  <si>
    <t>Burkholderia virus phiE125</t>
  </si>
  <si>
    <t>Hk578virus</t>
  </si>
  <si>
    <t>Escherichia virus HK578</t>
  </si>
  <si>
    <t>Escherichia virus JL1</t>
  </si>
  <si>
    <t>Escherichia virus SSL2009a</t>
  </si>
  <si>
    <t>Shigella virus EP23</t>
  </si>
  <si>
    <t>Sodalis virus SO1</t>
  </si>
  <si>
    <t>L5virus</t>
  </si>
  <si>
    <t>Mycobacterium virus Alma</t>
  </si>
  <si>
    <t>Mycobacterium virus Arturo</t>
  </si>
  <si>
    <t>Mycobacterium virus Astro</t>
  </si>
  <si>
    <t>Mycobacterium virus Backyardigan</t>
  </si>
  <si>
    <t>Mycobacterium virus BBPiebs31</t>
  </si>
  <si>
    <t>Mycobacterium virus Benedict</t>
  </si>
  <si>
    <t>Mycobacterium virus Bethlehem</t>
  </si>
  <si>
    <t>Mycobacterium virus Billknuckles</t>
  </si>
  <si>
    <t>Mycobacterium virus Bruns</t>
  </si>
  <si>
    <t>Mycobacterium virus Bxb1</t>
  </si>
  <si>
    <t>Mycobacterium virus Bxz2</t>
  </si>
  <si>
    <t>Mycobacterium virus Che12</t>
  </si>
  <si>
    <t>Mycobacterium virus Cuco</t>
  </si>
  <si>
    <t>Mycobacterium virus D29</t>
  </si>
  <si>
    <t>Mycobacterium virus Doom</t>
  </si>
  <si>
    <t>Mycobacterium virus Ericb</t>
  </si>
  <si>
    <t>Mycobacterium virus Euphoria</t>
  </si>
  <si>
    <t>Mycobacterium virus George</t>
  </si>
  <si>
    <t>Mycobacterium virus Gladiator</t>
  </si>
  <si>
    <t>Mycobacterium virus Goose</t>
  </si>
  <si>
    <t>Mycobacterium virus Hammer</t>
  </si>
  <si>
    <t>Mycobacterium virus Heldan</t>
  </si>
  <si>
    <t>Mycobacterium virus Jasper</t>
  </si>
  <si>
    <t>Mycobacterium virus JC27</t>
  </si>
  <si>
    <t>Mycobacterium virus Jeffabunny</t>
  </si>
  <si>
    <t>Mycobacterium virus JHC117</t>
  </si>
  <si>
    <t>Mycobacterium virus KBG</t>
  </si>
  <si>
    <t>Mycobacterium virus Kssjeb</t>
  </si>
  <si>
    <t>Mycobacterium virus Kugel</t>
  </si>
  <si>
    <t>Mycobacterium virus L5</t>
  </si>
  <si>
    <t>Mycobacterium virus Lesedi</t>
  </si>
  <si>
    <t>Mycobacterium virus LHTSCC</t>
  </si>
  <si>
    <t>Mycobacterium virus lockley</t>
  </si>
  <si>
    <t>Mycobacterium virus Marcell</t>
  </si>
  <si>
    <t>Mycobacterium virus Microwolf</t>
  </si>
  <si>
    <t>Mycobacterium virus Mrgordo</t>
  </si>
  <si>
    <t>Mycobacterium virus Museum</t>
  </si>
  <si>
    <t>Mycobacterium virus Nepal</t>
  </si>
  <si>
    <t>Mycobacterium virus Packman</t>
  </si>
  <si>
    <t>Mycobacterium virus Peaches</t>
  </si>
  <si>
    <t>Mycobacterium virus Perseus</t>
  </si>
  <si>
    <t>Mycobacterium virus Pukovnik</t>
  </si>
  <si>
    <t>Mycobacterium virus Rebeuca</t>
  </si>
  <si>
    <t>Mycobacterium virus Redrock</t>
  </si>
  <si>
    <t>Mycobacterium virus Ridgecb</t>
  </si>
  <si>
    <t>Mycobacterium virus Rockstar</t>
  </si>
  <si>
    <t>Mycobacterium virus Saintus</t>
  </si>
  <si>
    <t>Mycobacterium virus Skipole</t>
  </si>
  <si>
    <t>Mycobacterium virus Solon</t>
  </si>
  <si>
    <t>Mycobacterium virus Switzer</t>
  </si>
  <si>
    <t>Mycobacterium virus SWU1</t>
  </si>
  <si>
    <t>Mycobacterium virus Ta17a</t>
  </si>
  <si>
    <t>Mycobacterium virus Tiger</t>
  </si>
  <si>
    <t>Mycobacterium virus Timshel</t>
  </si>
  <si>
    <t>Mycobacterium virus Trixie</t>
  </si>
  <si>
    <t>Mycobacterium virus Turbido</t>
  </si>
  <si>
    <t>Mycobacterium virus Twister</t>
  </si>
  <si>
    <t>Mycobacterium virus U2</t>
  </si>
  <si>
    <t>Mycobacterium virus Violet</t>
  </si>
  <si>
    <t>Mycobacterium virus Wonder</t>
  </si>
  <si>
    <t>Rhodococcus virus RER2</t>
  </si>
  <si>
    <t>Rhodococcus virus RGL3</t>
  </si>
  <si>
    <t>Lambdavirus</t>
  </si>
  <si>
    <t>Escherichia virus HK022</t>
  </si>
  <si>
    <t>Escherichia virus HK97</t>
  </si>
  <si>
    <t>Escherichia virus Lambda</t>
  </si>
  <si>
    <t>Liefievirus</t>
  </si>
  <si>
    <t>Mycobacterium virus Halo</t>
  </si>
  <si>
    <t>Mycobacterium virus Liefie</t>
  </si>
  <si>
    <t>N15virus</t>
  </si>
  <si>
    <t>Escherichia virus N15</t>
  </si>
  <si>
    <t>Nonagvirus</t>
  </si>
  <si>
    <t>Escherichia virus 9g</t>
  </si>
  <si>
    <t>Escherichia virus JenK1</t>
  </si>
  <si>
    <t>Escherichia virus JenP1</t>
  </si>
  <si>
    <t>Escherichia virus JenP2</t>
  </si>
  <si>
    <t>Omegavirus</t>
  </si>
  <si>
    <t>Mycobacterium virus Baka</t>
  </si>
  <si>
    <t>Mycobacterium virus Courthouse</t>
  </si>
  <si>
    <t>Mycobacterium virus Littlee</t>
  </si>
  <si>
    <t>Mycobacterium virus Omega</t>
  </si>
  <si>
    <t>Mycobacterium virus Optimus</t>
  </si>
  <si>
    <t>Mycobacterium virus Thibault</t>
  </si>
  <si>
    <t>P23virus</t>
  </si>
  <si>
    <t>Thermus virus P23-45</t>
  </si>
  <si>
    <t>Thermus virus P74-26</t>
  </si>
  <si>
    <t>P70virus</t>
  </si>
  <si>
    <t>Listeria virus LP26</t>
  </si>
  <si>
    <t>Listeria virus LP37</t>
  </si>
  <si>
    <t>Listeria virus LP110</t>
  </si>
  <si>
    <t>Listeria virus LP114</t>
  </si>
  <si>
    <t>Listeria virus P70</t>
  </si>
  <si>
    <t>Pbi1virus</t>
  </si>
  <si>
    <t>Mycobacterium virus PBI1</t>
  </si>
  <si>
    <t>Pg1virus</t>
  </si>
  <si>
    <t>Mycobacterium virus Acadian</t>
  </si>
  <si>
    <t>Mycobacterium virus Athena</t>
  </si>
  <si>
    <t>Mycobacterium virus Chrisnmich</t>
  </si>
  <si>
    <t>Mycobacterium virus Cooper</t>
  </si>
  <si>
    <t>Mycobacterium virus Gadjet</t>
  </si>
  <si>
    <t>Mycobacterium virus Nigel</t>
  </si>
  <si>
    <t>Mycobacterium virus Oline</t>
  </si>
  <si>
    <t>Mycobacterium virus Pg1</t>
  </si>
  <si>
    <t>Mycobacterium virus Pipefish</t>
  </si>
  <si>
    <t>Mycobacterium virus Rosebush</t>
  </si>
  <si>
    <t>Mycobacterium virus Stinger</t>
  </si>
  <si>
    <t>Mycobacterium virus Zemanar</t>
  </si>
  <si>
    <t>Phic31virus</t>
  </si>
  <si>
    <t>Streptomyces virus phiBT1</t>
  </si>
  <si>
    <t>Streptomyces virus phiC31</t>
  </si>
  <si>
    <t>Streptomyces virus TG1</t>
  </si>
  <si>
    <t>Phicbkvirus</t>
  </si>
  <si>
    <t>Caulobacter virus Karma</t>
  </si>
  <si>
    <t>Caulobacter virus Magneto</t>
  </si>
  <si>
    <t>Caulobacter virus phiCbK</t>
  </si>
  <si>
    <t>Caulobacter virus Rogue</t>
  </si>
  <si>
    <t>Caulobacter virus Swift</t>
  </si>
  <si>
    <t>Phietavirus</t>
  </si>
  <si>
    <t>Staphylococcus virus 11</t>
  </si>
  <si>
    <t>Staphylococcus virus 29</t>
  </si>
  <si>
    <t>Staphylococcus virus 37</t>
  </si>
  <si>
    <t>Staphylococcus virus 53</t>
  </si>
  <si>
    <t>Staphylococcus virus 55</t>
  </si>
  <si>
    <t>Staphylococcus virus 69</t>
  </si>
  <si>
    <t>Staphylococcus virus 71</t>
  </si>
  <si>
    <t>Staphylococcus virus 80</t>
  </si>
  <si>
    <t>Staphylococcus virus 85</t>
  </si>
  <si>
    <t>Staphylococcus virus 88</t>
  </si>
  <si>
    <t>Staphylococcus virus 92</t>
  </si>
  <si>
    <t>Staphylococcus virus 96</t>
  </si>
  <si>
    <t>Staphylococcus virus 187</t>
  </si>
  <si>
    <t>Staphylococcus virus 52a</t>
  </si>
  <si>
    <t>Staphylococcus virus 80alpha</t>
  </si>
  <si>
    <t>Staphylococcus virus CNPH82</t>
  </si>
  <si>
    <t>Staphylococcus virus EW</t>
  </si>
  <si>
    <t>Staphylococcus virus IPLA5</t>
  </si>
  <si>
    <t>Staphylococcus virus IPLA7</t>
  </si>
  <si>
    <t>Staphylococcus virus IPLA88</t>
  </si>
  <si>
    <t>Staphylococcus virus PH15</t>
  </si>
  <si>
    <t>Staphylococcus virus phiETA</t>
  </si>
  <si>
    <t>Staphylococcus virus phiETA2</t>
  </si>
  <si>
    <t>Staphylococcus virus phiETA3</t>
  </si>
  <si>
    <t>Staphylococcus virus phiMR11</t>
  </si>
  <si>
    <t>Staphylococcus virus phiMR25</t>
  </si>
  <si>
    <t>Staphylococcus virus phiNM1</t>
  </si>
  <si>
    <t>Staphylococcus virus phiNM2</t>
  </si>
  <si>
    <t>Staphylococcus virus phiNM4</t>
  </si>
  <si>
    <t>Staphylococcus virus SAP26</t>
  </si>
  <si>
    <t>Staphylococcus virus X2</t>
  </si>
  <si>
    <t>Phifelvirus</t>
  </si>
  <si>
    <t>Enterococcus virus FL1</t>
  </si>
  <si>
    <t>Enterococcus virus FL2</t>
  </si>
  <si>
    <t>Enterococcus virus FL3</t>
  </si>
  <si>
    <t>Phijl1virus</t>
  </si>
  <si>
    <t>Lactobacillus virus ATCC8014</t>
  </si>
  <si>
    <t>Lactobacillus virus phiJL1</t>
  </si>
  <si>
    <t>Pediococcus virus cIP1</t>
  </si>
  <si>
    <t>Psavirus</t>
  </si>
  <si>
    <t>Listeria virus LP302</t>
  </si>
  <si>
    <t>Listeria virus PSA</t>
  </si>
  <si>
    <t>Psimunavirus</t>
  </si>
  <si>
    <t>Methanobacterium virus psiM1</t>
  </si>
  <si>
    <t>Reyvirus</t>
  </si>
  <si>
    <t>Mycobacterium virus Bongo</t>
  </si>
  <si>
    <t>Mycobacterium virus Rey</t>
  </si>
  <si>
    <t>Sap6virus</t>
  </si>
  <si>
    <t>Enterococcus virus BC611</t>
  </si>
  <si>
    <t>Enterococcus virus IMEEF1</t>
  </si>
  <si>
    <t>Enterococcus virus SAP6</t>
  </si>
  <si>
    <t>Enterococcus virus VD13</t>
  </si>
  <si>
    <t>Streptococcus virus SPQS1</t>
  </si>
  <si>
    <t>Septima3virus</t>
  </si>
  <si>
    <t>Burkholderia virus KL1</t>
  </si>
  <si>
    <t>Pseudomonas virus 73</t>
  </si>
  <si>
    <t>Pseudomonas virus Ab26</t>
  </si>
  <si>
    <t>Pseudomonas virus Kakheti25</t>
  </si>
  <si>
    <t>Seuratvirus</t>
  </si>
  <si>
    <t>Escherichia virus Cajan</t>
  </si>
  <si>
    <t>Escherichia virus Seurat</t>
  </si>
  <si>
    <t>Sextaecvirus</t>
  </si>
  <si>
    <t>Staphylococcus virus SEP9</t>
  </si>
  <si>
    <t>Staphylococcus virus Sextaec</t>
  </si>
  <si>
    <t>Sfi11virus</t>
  </si>
  <si>
    <t>Streptococcus virus 858</t>
  </si>
  <si>
    <t>Streptococcus virus 2972</t>
  </si>
  <si>
    <t>Streptococcus virus ALQ132</t>
  </si>
  <si>
    <t>Streptococcus virus O1205</t>
  </si>
  <si>
    <t>Streptococcus virus Sfi11</t>
  </si>
  <si>
    <t>Sfi21dt1virus</t>
  </si>
  <si>
    <t>Streptococcus virus 7201</t>
  </si>
  <si>
    <t>Streptococcus virus DT1</t>
  </si>
  <si>
    <t>Streptococcus virus phiAbc2</t>
  </si>
  <si>
    <t>Streptococcus virus Sfi19</t>
  </si>
  <si>
    <t>Streptococcus virus Sfi21</t>
  </si>
  <si>
    <t>Sitaravirus</t>
  </si>
  <si>
    <t>Paenibacillus virus Diva</t>
  </si>
  <si>
    <t>Paenibacillus virus Hb10c2</t>
  </si>
  <si>
    <t>Paenibacillus virus Rani</t>
  </si>
  <si>
    <t>Paenibacillus virus Shelly</t>
  </si>
  <si>
    <t>Paenibacillus virus Sitara</t>
  </si>
  <si>
    <t>Sk1virus</t>
  </si>
  <si>
    <t>Lactococcus virus 712</t>
  </si>
  <si>
    <t>Lactococcus virus ASCC191</t>
  </si>
  <si>
    <t>Lactococcus virus ASCC273</t>
  </si>
  <si>
    <t>Lactococcus virus ASCC281</t>
  </si>
  <si>
    <t>Lactococcus virus ASCC465</t>
  </si>
  <si>
    <t>Lactococcus virus ASCC532</t>
  </si>
  <si>
    <t>Lactococcus virus Bibb29</t>
  </si>
  <si>
    <t>Lactococcus virus bIL170</t>
  </si>
  <si>
    <t>Lactococcus virus CB13</t>
  </si>
  <si>
    <t>Lactococcus virus CB14</t>
  </si>
  <si>
    <t>Lactococcus virus CB19</t>
  </si>
  <si>
    <t>Lactococcus virus CB20</t>
  </si>
  <si>
    <t>Lactococcus virus jj50</t>
  </si>
  <si>
    <t>Lactococcus virus P2</t>
  </si>
  <si>
    <t>Lactococcus virus P008</t>
  </si>
  <si>
    <t>Lactococcus virus sk1</t>
  </si>
  <si>
    <t>Lactococcus virus Sl4</t>
  </si>
  <si>
    <t>Slashvirus</t>
  </si>
  <si>
    <t>Bacillus virus Slash</t>
  </si>
  <si>
    <t>Bacillus virus Stahl</t>
  </si>
  <si>
    <t>Bacillus virus Staley</t>
  </si>
  <si>
    <t>Bacillus virus Stills</t>
  </si>
  <si>
    <t>Spbetavirus</t>
  </si>
  <si>
    <t>Bacillus virus SPbeta</t>
  </si>
  <si>
    <t>Ssp2virus</t>
  </si>
  <si>
    <t>Vibrio virus MAR10</t>
  </si>
  <si>
    <t>Vibrio virus SSP002</t>
  </si>
  <si>
    <t>T5virus</t>
  </si>
  <si>
    <t>Escherichia virus AKFV33</t>
  </si>
  <si>
    <t>Escherichia virus BF23</t>
  </si>
  <si>
    <t>Escherichia virus DT57C</t>
  </si>
  <si>
    <t>Escherichia virus EPS7</t>
  </si>
  <si>
    <t>Escherichia virus FFH1</t>
  </si>
  <si>
    <t>Escherichia virus H8</t>
  </si>
  <si>
    <t>Escherichia virus T5</t>
  </si>
  <si>
    <t>Salmonella virus Shivani</t>
  </si>
  <si>
    <t>Salmonella virus SPC35</t>
  </si>
  <si>
    <t>Salmonella virus Stitch</t>
  </si>
  <si>
    <t>Tm4virus</t>
  </si>
  <si>
    <t>Mycobacterium virus Anaya</t>
  </si>
  <si>
    <t>Mycobacterium virus Angelica</t>
  </si>
  <si>
    <t>Mycobacterium virus Crimd</t>
  </si>
  <si>
    <t>Mycobacterium virus Jaws</t>
  </si>
  <si>
    <t>Mycobacterium virus Larva</t>
  </si>
  <si>
    <t>Mycobacterium virus Macncheese</t>
  </si>
  <si>
    <t>Mycobacterium virus Pixie</t>
  </si>
  <si>
    <t>Mycobacterium virus TM4</t>
  </si>
  <si>
    <t>Tp21virus</t>
  </si>
  <si>
    <t>Bacillus virus BMBtp2</t>
  </si>
  <si>
    <t>Bacillus virus TP21</t>
  </si>
  <si>
    <t>Triavirus</t>
  </si>
  <si>
    <t>Staphylococcus virus 47</t>
  </si>
  <si>
    <t>Staphylococcus virus 3a</t>
  </si>
  <si>
    <t>Staphylococcus virus 42e</t>
  </si>
  <si>
    <t>Staphylococcus virus IPLA35</t>
  </si>
  <si>
    <t>Staphylococcus virus phi12</t>
  </si>
  <si>
    <t>Staphylococcus virus phiSLT</t>
  </si>
  <si>
    <t>Wbetavirus</t>
  </si>
  <si>
    <t>Bacillus virus Wbeta</t>
  </si>
  <si>
    <t>Xp10virus</t>
  </si>
  <si>
    <t>Xanthomonas virus CP1</t>
  </si>
  <si>
    <t>Xanthomonas virus OP1</t>
  </si>
  <si>
    <t>Xanthomonas virus phil7</t>
  </si>
  <si>
    <t>Xanthomonas virus Xop411</t>
  </si>
  <si>
    <t>Xanthomonas virus Xp10</t>
  </si>
  <si>
    <t>Yuavirus</t>
  </si>
  <si>
    <t>Alphaproteobacteria virus phiJl001</t>
  </si>
  <si>
    <t>Pseudomonas virus M6</t>
  </si>
  <si>
    <t>Pseudomonas virus Yua</t>
  </si>
  <si>
    <t>Gallid alphaherpesvirus 1</t>
  </si>
  <si>
    <t>Psittacid alphaherpesvirus 1</t>
  </si>
  <si>
    <t>Anatid alphaherpesvirus 1</t>
  </si>
  <si>
    <t>Columbid alphaherpesvirus 1</t>
  </si>
  <si>
    <t>Gallid alphaherpesvirus 2</t>
  </si>
  <si>
    <t>Gallid alphaherpesvirus 3</t>
  </si>
  <si>
    <t>Meleagrid alphaherpesvirus 1</t>
  </si>
  <si>
    <t>Chelonid alphaherpesvirus 5</t>
  </si>
  <si>
    <t>Ateline alphaherpesvirus 1</t>
  </si>
  <si>
    <t>Bovine alphaherpesvirus 2</t>
  </si>
  <si>
    <t>Cercopithecine alphaherpesvirus 2</t>
  </si>
  <si>
    <t>Human alphaherpesvirus 1</t>
  </si>
  <si>
    <t>Human alphaherpesvirus 2</t>
  </si>
  <si>
    <t>Leporid alphaherpesvirus 4</t>
  </si>
  <si>
    <t>Macacine alphaherpesvirus 1</t>
  </si>
  <si>
    <t>Macropodid alphaherpesvirus 1</t>
  </si>
  <si>
    <t>Macropodid alphaherpesvirus 2</t>
  </si>
  <si>
    <t>Panine alphaherpesvirus 3</t>
  </si>
  <si>
    <t>Papiine alphaherpesvirus 2</t>
  </si>
  <si>
    <t>Saimiriine alphaherpesvirus 1</t>
  </si>
  <si>
    <t>Chelonid alphaherpesvirus 6</t>
  </si>
  <si>
    <t>Bovine alphaherpesvirus 1</t>
  </si>
  <si>
    <t>Bovine alphaherpesvirus 5</t>
  </si>
  <si>
    <t>Bubaline alphaherpesvirus 1</t>
  </si>
  <si>
    <t>Canid alphaherpesvirus 1</t>
  </si>
  <si>
    <t>Caprine alphaherpesvirus 1</t>
  </si>
  <si>
    <t>Cercopithecine alphaherpesvirus 9</t>
  </si>
  <si>
    <t>Cervid alphaherpesvirus 1</t>
  </si>
  <si>
    <t>Cervid alphaherpesvirus 2</t>
  </si>
  <si>
    <t>Equid alphaherpesvirus 1</t>
  </si>
  <si>
    <t>Equid alphaherpesvirus 3</t>
  </si>
  <si>
    <t>Equid alphaherpesvirus 4</t>
  </si>
  <si>
    <t>Equid alphaherpesvirus 8</t>
  </si>
  <si>
    <t>Equid alphaherpesvirus 9</t>
  </si>
  <si>
    <t>Felid alphaherpesvirus 1</t>
  </si>
  <si>
    <t>Human alphaherpesvirus 3</t>
  </si>
  <si>
    <t>Phocid alphaherpesvirus 1</t>
  </si>
  <si>
    <t>Suid alphaherpesvirus 1</t>
  </si>
  <si>
    <t>Aotine betaherpesvirus 1</t>
  </si>
  <si>
    <t>Cebine betaherpesvirus 1</t>
  </si>
  <si>
    <t>Cercopithecine betaherpesvirus 5</t>
  </si>
  <si>
    <t>Human betaherpesvirus 5</t>
  </si>
  <si>
    <t>Macacine betaherpesvirus 3</t>
  </si>
  <si>
    <t>Panine betaherpesvirus 2</t>
  </si>
  <si>
    <t>Papiine betaherpesvirus 3</t>
  </si>
  <si>
    <t>Saimiriine betaherpesvirus 4</t>
  </si>
  <si>
    <t>Murid betaherpesvirus 1</t>
  </si>
  <si>
    <t>Murid betaherpesvirus 2</t>
  </si>
  <si>
    <t>Murid betaherpesvirus 8</t>
  </si>
  <si>
    <t>Elephantid betaherpesvirus 1</t>
  </si>
  <si>
    <t>Human betaherpesvirus 7</t>
  </si>
  <si>
    <t>Human betaherpesvirus 6A</t>
  </si>
  <si>
    <t>Human betaherpesvirus 6B</t>
  </si>
  <si>
    <t>Caviid betaherpesvirus 2</t>
  </si>
  <si>
    <t>Suid betaherpesvirus 2</t>
  </si>
  <si>
    <t>Tupaiid betaherpesvirus 1</t>
  </si>
  <si>
    <t>Callitrichine gammaherpesvirus 3</t>
  </si>
  <si>
    <t>Cercopithecine gammaherpesvirus 14</t>
  </si>
  <si>
    <t>Gorilline gammaherpesvirus 1</t>
  </si>
  <si>
    <t>Human gammaherpesvirus 4</t>
  </si>
  <si>
    <t>Macacine gammaherpesvirus 4</t>
  </si>
  <si>
    <t>Panine gammaherpesvirus 1</t>
  </si>
  <si>
    <t>Papiine gammaherpesvirus 1</t>
  </si>
  <si>
    <t>Pongine gammaherpesvirus 2</t>
  </si>
  <si>
    <t>Alcelaphine gammaherpesvirus 1</t>
  </si>
  <si>
    <t>Alcelaphine gammaherpesvirus 2</t>
  </si>
  <si>
    <t>Bovine gammaherpesvirus 6</t>
  </si>
  <si>
    <t>Caprine gammaherpesvirus 2</t>
  </si>
  <si>
    <t>Hippotragine gammaherpesvirus 1</t>
  </si>
  <si>
    <t>Ovine gammaherpesvirus 2</t>
  </si>
  <si>
    <t>Suid gammaherpesvirus 3</t>
  </si>
  <si>
    <t>Suid gammaherpesvirus 4</t>
  </si>
  <si>
    <t>Suid gammaherpesvirus 5</t>
  </si>
  <si>
    <t>Equid gammaherpesvirus 2</t>
  </si>
  <si>
    <t>Equid gammaherpesvirus 5</t>
  </si>
  <si>
    <t>Mustelid gammaherpesvirus 1</t>
  </si>
  <si>
    <t>Ateline gammaherpesvirus 2</t>
  </si>
  <si>
    <t>Ateline gammaherpesvirus 3</t>
  </si>
  <si>
    <t>Bovine gammaherpesvirus 4</t>
  </si>
  <si>
    <t>Cricetid gammaherpesvirus 2</t>
  </si>
  <si>
    <t>Human gammaherpesvirus 8</t>
  </si>
  <si>
    <t>Macacine gammaherpesvirus 5</t>
  </si>
  <si>
    <t>Murid gammaherpesvirus 4</t>
  </si>
  <si>
    <t>Murid gammaherpesvirus 7</t>
  </si>
  <si>
    <t>Saimiriine gammaherpesvirus 2</t>
  </si>
  <si>
    <t>Equid gammaherpesvirus 7</t>
  </si>
  <si>
    <t>Phocid gammaherpesvirus 2</t>
  </si>
  <si>
    <t>Saguinine gammaherpesvirus 1</t>
  </si>
  <si>
    <t>Mymonaviridae</t>
  </si>
  <si>
    <t>Sclerotimonavirus</t>
  </si>
  <si>
    <t>Sclerotinia sclerotimonavirus</t>
  </si>
  <si>
    <t>Socyvirus</t>
  </si>
  <si>
    <t>Soybean cyst nematode socyvirus</t>
  </si>
  <si>
    <t>Cedar henipavirus</t>
  </si>
  <si>
    <t>Ghanaian bat henipavirus</t>
  </si>
  <si>
    <t>Mojiang henipavirus</t>
  </si>
  <si>
    <t>Feline morbillivirus</t>
  </si>
  <si>
    <t>Pneumoviridae</t>
  </si>
  <si>
    <t>Orthopneumovirus</t>
  </si>
  <si>
    <t>Alfalfa dwarf cytorhabdovirus</t>
  </si>
  <si>
    <t>Barley yellow striate mosaic cytorhabdovirus</t>
  </si>
  <si>
    <t>Broccoli necrotic yellows cytorhabdovirus</t>
  </si>
  <si>
    <t>Festuca leaf streak cytorhabdovirus</t>
  </si>
  <si>
    <t>Lettuce necrotic yellows cytorhabdovirus</t>
  </si>
  <si>
    <t>Lettuce yellow mottle cytorhabdovirus</t>
  </si>
  <si>
    <t>Northern cereal mosaic cytorhabdovirus</t>
  </si>
  <si>
    <t>Sonchus cytorhabdovirus 1</t>
  </si>
  <si>
    <t>Strawberry crinkle cytorhabdovirus</t>
  </si>
  <si>
    <t>Wheat American striate mosaic cytorhabdovirus</t>
  </si>
  <si>
    <t>Dichorhavirus</t>
  </si>
  <si>
    <t>Coffee ringspot dichorhavirus</t>
  </si>
  <si>
    <t>Orchid fleck dichorhavirus</t>
  </si>
  <si>
    <t>Adelaide River ephemerovirus</t>
  </si>
  <si>
    <t>Berrimah ephemerovirus</t>
  </si>
  <si>
    <t>Bovine fever ephemerovirus</t>
  </si>
  <si>
    <t>Obodhiang ephemerovirus</t>
  </si>
  <si>
    <t>Aravan lyssavirus</t>
  </si>
  <si>
    <t>Duvenhage lyssavirus</t>
  </si>
  <si>
    <t>European bat 1 lyssavirus</t>
  </si>
  <si>
    <t>European bat 2 lyssavirus</t>
  </si>
  <si>
    <t>Irkut lyssavirus</t>
  </si>
  <si>
    <t>Khujand lyssavirus</t>
  </si>
  <si>
    <t>Lagos bat lyssavirus</t>
  </si>
  <si>
    <t>Mokola lyssavirus</t>
  </si>
  <si>
    <t>Rabies lyssavirus</t>
  </si>
  <si>
    <t>Shimoni bat lyssavirus</t>
  </si>
  <si>
    <t>West Caucasian bat lyssavirus</t>
  </si>
  <si>
    <t>Hirame novirhabdovirus</t>
  </si>
  <si>
    <t>Snakehead novirhabdovirus</t>
  </si>
  <si>
    <t>Datura yellow vein nucleorhabdovirus</t>
  </si>
  <si>
    <t>Eggplant mottled dwarf nucleorhabdovirus</t>
  </si>
  <si>
    <t>Maize fine streak nucleorhabdovirus</t>
  </si>
  <si>
    <t>Maize Iranian mosaic nucleorhabdovirus</t>
  </si>
  <si>
    <t>Maize mosaic nucleorhabdovirus</t>
  </si>
  <si>
    <t>Potato yellow dwarf nucleorhabdovirus</t>
  </si>
  <si>
    <t>Rice yellow stunt nucleorhabdovirus</t>
  </si>
  <si>
    <t>Sonchus yellow net nucleorhabdovirus</t>
  </si>
  <si>
    <t>Sowthistle yellow vein nucleorhabdovirus</t>
  </si>
  <si>
    <t>Taro vein chlorosis nucleorhabdovirus</t>
  </si>
  <si>
    <t>Anguillid perhabdovirus</t>
  </si>
  <si>
    <t>Perch perhabdovirus</t>
  </si>
  <si>
    <t>Sea trout perhabdovirus</t>
  </si>
  <si>
    <t>Carp sprivivirus</t>
  </si>
  <si>
    <t>Pike fry sprivivirus</t>
  </si>
  <si>
    <t>Coastal Plains tibrovirus</t>
  </si>
  <si>
    <t>Tibrogargan tibrovirus</t>
  </si>
  <si>
    <t>Durham tupavirus</t>
  </si>
  <si>
    <t>Tupaia tupavirus</t>
  </si>
  <si>
    <t>Lettuce big-vein associated varicosavirus</t>
  </si>
  <si>
    <t>Alagoas vesiculovirus</t>
  </si>
  <si>
    <t>Carajas vesiculovirus</t>
  </si>
  <si>
    <t>Chandipura vesiculovirus</t>
  </si>
  <si>
    <t>Cocal vesiculovirus</t>
  </si>
  <si>
    <t>Indiana vesiculovirus</t>
  </si>
  <si>
    <t>Isfahan vesiculovirus</t>
  </si>
  <si>
    <t>Maraba vesiculovirus</t>
  </si>
  <si>
    <t>New Jersey vesiculovirus</t>
  </si>
  <si>
    <t>Piry vesiculovirus</t>
  </si>
  <si>
    <t>Sunviridae</t>
  </si>
  <si>
    <t>Sunshinevirus</t>
  </si>
  <si>
    <t>Reptile sunshinevirus 1</t>
  </si>
  <si>
    <t>Anphevirus</t>
  </si>
  <si>
    <t>Xincheng anphevirus</t>
  </si>
  <si>
    <t>Arlivirus</t>
  </si>
  <si>
    <t>Lishi arlivirus</t>
  </si>
  <si>
    <t>Crustavirus</t>
  </si>
  <si>
    <t>Wenzhou crustavirus</t>
  </si>
  <si>
    <t>Bat coronavirus CDPHE15</t>
  </si>
  <si>
    <t>Bat coronavirus HKU10</t>
  </si>
  <si>
    <t>Mink coronavirus 1</t>
  </si>
  <si>
    <t>Hedgehog coronavirus 1</t>
  </si>
  <si>
    <t>Middle East respiratory syndrome-related coronavirus</t>
  </si>
  <si>
    <t>Common moorhen coronavirus HKU21</t>
  </si>
  <si>
    <t>Coronavirus HKU15</t>
  </si>
  <si>
    <t>Night heron coronavirus HKU19</t>
  </si>
  <si>
    <t>White-eye coronavirus HKU16</t>
  </si>
  <si>
    <t>Wigeon coronavirus HKU20</t>
  </si>
  <si>
    <t>Fathead minnow nidovirus 1</t>
  </si>
  <si>
    <t>Ball python nidovirus 1</t>
  </si>
  <si>
    <t>Alphamesonivirus 2</t>
  </si>
  <si>
    <t>Alphamesonivirus 3</t>
  </si>
  <si>
    <t>Alphamesonivirus 4</t>
  </si>
  <si>
    <t>Alphamesonivirus 5</t>
  </si>
  <si>
    <t>Triatovirus</t>
  </si>
  <si>
    <t>Antheraea pernyi iflavirus</t>
  </si>
  <si>
    <t>Dinocampus coccinellae paralysis virus</t>
  </si>
  <si>
    <t>Lymantria dispar iflavirus 1</t>
  </si>
  <si>
    <t>Spodoptera exigua iflavirus 1</t>
  </si>
  <si>
    <t>Spodoptera exigua iflavirus 2</t>
  </si>
  <si>
    <t>Limnipivirus</t>
  </si>
  <si>
    <t>Limnipivirus A</t>
  </si>
  <si>
    <t>Limnipivirus B</t>
  </si>
  <si>
    <t>Limnipivirus C</t>
  </si>
  <si>
    <t>Potamipivirus</t>
  </si>
  <si>
    <t>Potamipivirus A</t>
  </si>
  <si>
    <t>Aeonium ringspot virus</t>
  </si>
  <si>
    <t>Mulberry mosaic leaf roll associated virus</t>
  </si>
  <si>
    <t>Carrot torradovirus 1</t>
  </si>
  <si>
    <t>Motherwort yellow mottle virus</t>
  </si>
  <si>
    <t>Platypuvirus</t>
  </si>
  <si>
    <t>Donkey orchid symptomless virus</t>
  </si>
  <si>
    <t>Yam virus X</t>
  </si>
  <si>
    <t>Quinvirinae</t>
  </si>
  <si>
    <t>Gaillardia latent virus</t>
  </si>
  <si>
    <t>Potato virus H</t>
  </si>
  <si>
    <t>Robigovirus</t>
  </si>
  <si>
    <t>Cherry rusty mottle associated virus</t>
  </si>
  <si>
    <t>Cherry twisted leaf associated virus</t>
  </si>
  <si>
    <t>Trivirinae</t>
  </si>
  <si>
    <t>Chordovirus</t>
  </si>
  <si>
    <t>Carrot Ch virus 1</t>
  </si>
  <si>
    <t>Carrot Ch virus 2</t>
  </si>
  <si>
    <t>Divavirus</t>
  </si>
  <si>
    <t>Prunevirus</t>
  </si>
  <si>
    <t>Apricot vein clearing associated virus</t>
  </si>
  <si>
    <t>Caucasus prunus virus</t>
  </si>
  <si>
    <t>Prunus virus T</t>
  </si>
  <si>
    <t>Duck aviadenovirus B</t>
  </si>
  <si>
    <t>Pigeon aviadenovirus A</t>
  </si>
  <si>
    <t>Turkey aviadenovirus C</t>
  </si>
  <si>
    <t>Turkey aviadenovirus D</t>
  </si>
  <si>
    <t>Simian mastadenovirus B</t>
  </si>
  <si>
    <t>Simian mastadenovirus C</t>
  </si>
  <si>
    <t>ssDNA(-)</t>
  </si>
  <si>
    <t>Torque teno sus virus k2a</t>
  </si>
  <si>
    <t>Torque teno sus virus k2b</t>
  </si>
  <si>
    <t>ssRNA(+/-)</t>
  </si>
  <si>
    <t>Gairo mammarenavirus</t>
  </si>
  <si>
    <t>Mariental mammarenavirus</t>
  </si>
  <si>
    <t>Okahandja mammarenavirus</t>
  </si>
  <si>
    <t>Wenzhou mammarenavirus</t>
  </si>
  <si>
    <t>Toursvirus</t>
  </si>
  <si>
    <t>Agrotis segetum nucleopolyhedrovirus A</t>
  </si>
  <si>
    <t>Agrotis segetum nucleopolyhedrovirus B</t>
  </si>
  <si>
    <t>Chrysodeixis includens nucleopolyhedrovirus</t>
  </si>
  <si>
    <t>Sucra jujuba nucleopolyhedrovirus</t>
  </si>
  <si>
    <t>Agrotis segetum granulovirus</t>
  </si>
  <si>
    <t>Erinnyis ello granulovirus</t>
  </si>
  <si>
    <t>Spodoptera frugiperda granulovirus</t>
  </si>
  <si>
    <t>Acara orthobunyavirus</t>
  </si>
  <si>
    <t>Akabane orthobunyavirus</t>
  </si>
  <si>
    <t>Alajuela orthobunyavirus</t>
  </si>
  <si>
    <t>Anopheles A orthobunyavirus</t>
  </si>
  <si>
    <t>Anopheles B orthobunyavirus</t>
  </si>
  <si>
    <t>Bakau orthobunyavirus</t>
  </si>
  <si>
    <t>Batama orthobunyavirus</t>
  </si>
  <si>
    <t>Benevides orthobunyavirus</t>
  </si>
  <si>
    <t>Bertioga orthobunyavirus</t>
  </si>
  <si>
    <t>Bimiti orthobunyavirus</t>
  </si>
  <si>
    <t>Botambi orthobunyavirus</t>
  </si>
  <si>
    <t>Bunyamwera orthobunyavirus</t>
  </si>
  <si>
    <t>Bushbush orthobunyavirus</t>
  </si>
  <si>
    <t>Bwamba orthobunyavirus</t>
  </si>
  <si>
    <t>California encephalitis orthobunyavirus</t>
  </si>
  <si>
    <t>Capim orthobunyavirus</t>
  </si>
  <si>
    <t>Caraparu orthobunyavirus</t>
  </si>
  <si>
    <t>Catu orthobunyavirus</t>
  </si>
  <si>
    <t>Estero Real orthobunyavirus</t>
  </si>
  <si>
    <t>Gamboa orthobunyavirus</t>
  </si>
  <si>
    <t>Guajara orthobunyavirus</t>
  </si>
  <si>
    <t>Guama orthobunyavirus</t>
  </si>
  <si>
    <t>Guaroa orthobunyavirus</t>
  </si>
  <si>
    <t>Kaeng Khoi orthobunyavirus</t>
  </si>
  <si>
    <t>Kairi orthobunyavirus</t>
  </si>
  <si>
    <t>Koongol orthobunyavirus</t>
  </si>
  <si>
    <t>Madrid orthobunyavirus</t>
  </si>
  <si>
    <t>Main Drain orthobunyavirus</t>
  </si>
  <si>
    <t>Manzanilla orthobunyavirus</t>
  </si>
  <si>
    <t>Marituba orthobunyavirus</t>
  </si>
  <si>
    <t>Minatitlan orthobunyavirus</t>
  </si>
  <si>
    <t>MPoko orthobunyavirus</t>
  </si>
  <si>
    <t>Nyando orthobunyavirus</t>
  </si>
  <si>
    <t>Olifantsvlei orthobunyavirus</t>
  </si>
  <si>
    <t>Oriboca orthobunyavirus</t>
  </si>
  <si>
    <t>Oropouche orthobunyavirus</t>
  </si>
  <si>
    <t>Patois orthobunyavirus</t>
  </si>
  <si>
    <t>Sathuperi orthobunyavirus</t>
  </si>
  <si>
    <t>Shamonda orthobunyavirus</t>
  </si>
  <si>
    <t>Shuni orthobunyavirus</t>
  </si>
  <si>
    <t>Simbu orthobunyavirus</t>
  </si>
  <si>
    <t>Tacaiuma orthobunyavirus</t>
  </si>
  <si>
    <t>Tete orthobunyavirus</t>
  </si>
  <si>
    <t>Thimiri orthobunyavirus</t>
  </si>
  <si>
    <t>Timboteua orthobunyavirus</t>
  </si>
  <si>
    <t>Turlock orthobunyavirus</t>
  </si>
  <si>
    <t>Wyeomyia orthobunyavirus</t>
  </si>
  <si>
    <t>Zegla orthobunyavirus</t>
  </si>
  <si>
    <t>Bujaru phlebovirus</t>
  </si>
  <si>
    <t>Candiru phlebovirus</t>
  </si>
  <si>
    <t>Chilibre phlebovirus</t>
  </si>
  <si>
    <t>Frijoles phlebovirus</t>
  </si>
  <si>
    <t>Punta Toro phlebovirus</t>
  </si>
  <si>
    <t>Rift Valley fever phlebovirus</t>
  </si>
  <si>
    <t>Salehabad phlebovirus</t>
  </si>
  <si>
    <t>Sandfly fever Naples phlebovirus</t>
  </si>
  <si>
    <t>Uukuniemi phlebovirus</t>
  </si>
  <si>
    <t>dsDNA-RT</t>
  </si>
  <si>
    <t>Cacao swollen shoot CD virus</t>
  </si>
  <si>
    <t>Cacao swollen shoot Togo A virus</t>
  </si>
  <si>
    <t>Grapevine Roditis leaf discoloration-associated virus</t>
  </si>
  <si>
    <t>Sugarcane bacilliform Guadeloupe A virus</t>
  </si>
  <si>
    <t>Sugarcane bacilliform Guadeloupe D virus</t>
  </si>
  <si>
    <t>Barbel circovirus</t>
  </si>
  <si>
    <t>ssDNA(+/-)</t>
  </si>
  <si>
    <t>Canine circovirus</t>
  </si>
  <si>
    <t>European catfish circovirus</t>
  </si>
  <si>
    <t>Mink circovirus</t>
  </si>
  <si>
    <t>Porcine circovirus 1</t>
  </si>
  <si>
    <t>Porcine circovirus 2</t>
  </si>
  <si>
    <t>Raven circovirus</t>
  </si>
  <si>
    <t>Zebra finch circovirus</t>
  </si>
  <si>
    <t>Cyclovirus</t>
  </si>
  <si>
    <t>Blackberry vein banding-associated virus</t>
  </si>
  <si>
    <t>Blueberry virus A</t>
  </si>
  <si>
    <t>Cordyline virus 2</t>
  </si>
  <si>
    <t>Cordyline virus 3</t>
  </si>
  <si>
    <t>Cordyline virus 4</t>
  </si>
  <si>
    <t>Pseudoalteromonas virus PM2</t>
  </si>
  <si>
    <t>Pseudomonas virus phi6</t>
  </si>
  <si>
    <t>Abutilon golden mosaic virus</t>
  </si>
  <si>
    <t>Capraria yellow spot virus</t>
  </si>
  <si>
    <t>Cassava mosaic Madagascar virus</t>
  </si>
  <si>
    <t>Catharanthus yellow mosaic virus</t>
  </si>
  <si>
    <t>Chenopodium leaf curl virus</t>
  </si>
  <si>
    <t>Chilli leaf curl India virus</t>
  </si>
  <si>
    <t>Chilli leaf curl Kanpur virus</t>
  </si>
  <si>
    <t>Chilli leaf curl Vellanad virus</t>
  </si>
  <si>
    <t>Clerodendron yellow mosaic virus</t>
  </si>
  <si>
    <t>Clerodendrum golden mosaic China virus</t>
  </si>
  <si>
    <t>Clerodendrum golden mosaic Jiangsu virus</t>
  </si>
  <si>
    <t>Corchorus yellow vein mosaic virus</t>
  </si>
  <si>
    <t>Cotton chlorotic spot virus</t>
  </si>
  <si>
    <t>Crassocephalum yellow vein virus</t>
  </si>
  <si>
    <t>Emilia yellow vein virus</t>
  </si>
  <si>
    <t>French bean leaf curl virus</t>
  </si>
  <si>
    <t>Hedyotis uncinella yellow mosaic virus</t>
  </si>
  <si>
    <t>Hemidesmus yellow mosaic virus</t>
  </si>
  <si>
    <t>Jatropha leaf curl virus</t>
  </si>
  <si>
    <t>Jatropha mosaic Nigeria virus</t>
  </si>
  <si>
    <t>Jatropha mosaic virus</t>
  </si>
  <si>
    <t>Jatropha yellow mosaic virus</t>
  </si>
  <si>
    <t>Malvastrum leaf curl Philippines virus</t>
  </si>
  <si>
    <t>Mesta yellow vein mosaic Bahraich virus</t>
  </si>
  <si>
    <t>Pepper yellow leaf curl virus</t>
  </si>
  <si>
    <t>Pouzolzia golden mosaic virus</t>
  </si>
  <si>
    <t>Pouzolzia mosaic Guangdong virus</t>
  </si>
  <si>
    <t>Premna leaf curl virus</t>
  </si>
  <si>
    <t>Rhynchosia yellow mosaic India virus</t>
  </si>
  <si>
    <t>Sauropus leaf curl virus</t>
  </si>
  <si>
    <t>Sida ciliaris golden mosaic virus</t>
  </si>
  <si>
    <t>Sida common mosaic virus</t>
  </si>
  <si>
    <t>Sida golden mosaic Brazil virus</t>
  </si>
  <si>
    <t>Sida golden mosaic Lara virus</t>
  </si>
  <si>
    <t>Sida yellow leaf curl virus</t>
  </si>
  <si>
    <t>Sidastrum golden leaf spot virus</t>
  </si>
  <si>
    <t>Soybean chlorotic blotch virus</t>
  </si>
  <si>
    <t>Spinach yellow vein virus</t>
  </si>
  <si>
    <t>Sunn hemp leaf distortion virus</t>
  </si>
  <si>
    <t>Sweet potato leaf curl Henan virus</t>
  </si>
  <si>
    <t>Sweet potato leaf curl Sichuan virus 1</t>
  </si>
  <si>
    <t>Sweet potato leaf curl Sichuan virus 2</t>
  </si>
  <si>
    <t>Tobacco leaf curl Comoros virus</t>
  </si>
  <si>
    <t>Tomato bright yellow mosaic virus</t>
  </si>
  <si>
    <t>Tomato bright yellow mottle virus</t>
  </si>
  <si>
    <t>Tomato golden leaf distortion virus</t>
  </si>
  <si>
    <t>Tomato interveinal chlorosis virus</t>
  </si>
  <si>
    <t>Tomato leaf curl Liwa virus</t>
  </si>
  <si>
    <t>Tomato leaf curl New Delhi virus 2</t>
  </si>
  <si>
    <t>Tomato leaf curl New Delhi virus 4</t>
  </si>
  <si>
    <t>Tomato leaf curl Palampur virus</t>
  </si>
  <si>
    <t>Tomato leaf curl Patna virus</t>
  </si>
  <si>
    <t>Tomato leaf curl Rajasthan virus</t>
  </si>
  <si>
    <t>Tomato leaf curl Sulawesi virus</t>
  </si>
  <si>
    <t>Velvet bean severe mosaic virus</t>
  </si>
  <si>
    <t>Vigna yellow mosaic virus</t>
  </si>
  <si>
    <t>Axonopus compressus streak virus</t>
  </si>
  <si>
    <t>Sugarcane white streak virus</t>
  </si>
  <si>
    <t>Switchgrass mosaic-associated virus</t>
  </si>
  <si>
    <t>Genomoviridae</t>
  </si>
  <si>
    <t>Gemycircularvirus</t>
  </si>
  <si>
    <t>Sclerotinia gemycircularvirus 1</t>
  </si>
  <si>
    <t>Long-fingered bat hepatitis B virus</t>
  </si>
  <si>
    <t>Roundleaf bat hepatitis B virus</t>
  </si>
  <si>
    <t>Tent-making bat hepatitis B virus</t>
  </si>
  <si>
    <t>ssDNA(+)</t>
  </si>
  <si>
    <t>Escherichia virus I22</t>
  </si>
  <si>
    <t>Escherichia virus If1</t>
  </si>
  <si>
    <t>Escherichia virus M13</t>
  </si>
  <si>
    <t>Pseudomonas virus Pf1</t>
  </si>
  <si>
    <t>Pseudomonas virus Pf3</t>
  </si>
  <si>
    <t>Salmonella virus IKe</t>
  </si>
  <si>
    <t>Vibrio virus CTXphi</t>
  </si>
  <si>
    <t>Vibrio virus fs1</t>
  </si>
  <si>
    <t>Vibrio virus fs2</t>
  </si>
  <si>
    <t>Vibrio virus Vf33</t>
  </si>
  <si>
    <t>Xanthomonas virus Cf1c</t>
  </si>
  <si>
    <t>Spiroplasma virus C74</t>
  </si>
  <si>
    <t>Spiroplasma virus R8A2B</t>
  </si>
  <si>
    <t>Lavidaviridae</t>
  </si>
  <si>
    <t>Mavirus</t>
  </si>
  <si>
    <t>Cafeteriavirus-dependent mavirus</t>
  </si>
  <si>
    <t>Sputnikvirus</t>
  </si>
  <si>
    <t>Mimivirus-dependent virus Sputnik</t>
  </si>
  <si>
    <t>Mimivirus-dependent virus Zamilon</t>
  </si>
  <si>
    <t>Escherichia virus FI</t>
  </si>
  <si>
    <t>Escherichia virus Qbeta</t>
  </si>
  <si>
    <t>Escherichia virus BZ13</t>
  </si>
  <si>
    <t>Escherichia virus MS2</t>
  </si>
  <si>
    <t>Bullavirinae</t>
  </si>
  <si>
    <t>Alpha3microvirus</t>
  </si>
  <si>
    <t>Escherichia virus alpha3</t>
  </si>
  <si>
    <t>Escherichia virus ID21</t>
  </si>
  <si>
    <t>Escherichia virus ID32</t>
  </si>
  <si>
    <t>Escherichia virus ID62</t>
  </si>
  <si>
    <t>Escherichia virus NC28</t>
  </si>
  <si>
    <t>Escherichia virus NC29</t>
  </si>
  <si>
    <t>Escherichia virus NC35</t>
  </si>
  <si>
    <t>Escherichia virus phiK</t>
  </si>
  <si>
    <t>Escherichia virus St1</t>
  </si>
  <si>
    <t>Escherichia virus WA45</t>
  </si>
  <si>
    <t>G4microvirus</t>
  </si>
  <si>
    <t>Escherichia virus G4</t>
  </si>
  <si>
    <t>Escherichia virus ID52</t>
  </si>
  <si>
    <t>Escherichia virus Talmos</t>
  </si>
  <si>
    <t>Phix174microvirus</t>
  </si>
  <si>
    <t>Escherichia virus phiX174</t>
  </si>
  <si>
    <t>Bdellovibrio virus MAC1</t>
  </si>
  <si>
    <t>Bdellovibrio virus MH2K</t>
  </si>
  <si>
    <t>Chlamydia virus Chp1</t>
  </si>
  <si>
    <t>Chlamydia virus Chp2</t>
  </si>
  <si>
    <t>Chlamydia virus CPAR39</t>
  </si>
  <si>
    <t>Chlamydia virus CPG1</t>
  </si>
  <si>
    <t>Spiroplasma virus SpV4</t>
  </si>
  <si>
    <t>Black medic leaf roll virus</t>
  </si>
  <si>
    <t>Pea yellow stunt virus</t>
  </si>
  <si>
    <t>Dyochipapillomavirus</t>
  </si>
  <si>
    <t>Dyochipapillomavirus 1</t>
  </si>
  <si>
    <t>Dyokappapapillomavirus 2</t>
  </si>
  <si>
    <t>Dyoomegapapillomavirus 1</t>
  </si>
  <si>
    <t>Dyophipapillomavirus</t>
  </si>
  <si>
    <t>Dyophipapillomavirus 1</t>
  </si>
  <si>
    <t>Dyopsipapillomavirus</t>
  </si>
  <si>
    <t>Dyopsipapillomavirus 1</t>
  </si>
  <si>
    <t>Dyotaupapillomavirus</t>
  </si>
  <si>
    <t>Dyotaupapillomavirus 1</t>
  </si>
  <si>
    <t>Dyoupsilonpapillomavirus</t>
  </si>
  <si>
    <t>Dyoupsilonpapillomavirus 1</t>
  </si>
  <si>
    <t>Gammapapillomavirus 21</t>
  </si>
  <si>
    <t>Gammapapillomavirus 22</t>
  </si>
  <si>
    <t>Gammapapillomavirus 23</t>
  </si>
  <si>
    <t>Gammapapillomavirus 24</t>
  </si>
  <si>
    <t>Gammapapillomavirus 25</t>
  </si>
  <si>
    <t>Gammapapillomavirus 26</t>
  </si>
  <si>
    <t>Mupapillomavirus 3</t>
  </si>
  <si>
    <t>Rhopapillomavirus 2</t>
  </si>
  <si>
    <t>Taupapillomavirus 3</t>
  </si>
  <si>
    <t>Treisdeltapapillomavirus</t>
  </si>
  <si>
    <t>Treisdeltapapillomavirus 1</t>
  </si>
  <si>
    <t>Treisepsilonpapillomavirus</t>
  </si>
  <si>
    <t>Treisepsilonpapillomavirus 1</t>
  </si>
  <si>
    <t>Treisetapapillomavirus</t>
  </si>
  <si>
    <t>Treisetapapillomavirus 1</t>
  </si>
  <si>
    <t>Treiszetapapillomavirus</t>
  </si>
  <si>
    <t>Treiszetapapillomavirus 1</t>
  </si>
  <si>
    <t>Xipapillomavirus 3</t>
  </si>
  <si>
    <t>Heterobasidion partitivirus 12</t>
  </si>
  <si>
    <t>Heterobasidion partitivirus 13</t>
  </si>
  <si>
    <t>Heterobasidion partitivirus 15</t>
  </si>
  <si>
    <t>Heterobasidion partitivirus 7</t>
  </si>
  <si>
    <t>Acholeplasma virus L2</t>
  </si>
  <si>
    <t>Pleolipoviridae</t>
  </si>
  <si>
    <t>Alphapleolipovirus</t>
  </si>
  <si>
    <t>Betapleolipovirus</t>
  </si>
  <si>
    <t>Gammapleolipovirus</t>
  </si>
  <si>
    <t>Haloarcula virus His2</t>
  </si>
  <si>
    <t>Alphapolyomavirus</t>
  </si>
  <si>
    <t>Acerodon celebensis polyomavirus 1</t>
  </si>
  <si>
    <t>Artibeus planirostris polyomavirus 2</t>
  </si>
  <si>
    <t>Artibeus planirostris polyomavirus 3</t>
  </si>
  <si>
    <t>Ateles paniscus polyomavirus 1</t>
  </si>
  <si>
    <t>Cardioderma cor polyomavirus 1</t>
  </si>
  <si>
    <t>Carollia perspicillata polyomavirus 1</t>
  </si>
  <si>
    <t>Chlorocebus pygerythrus polyomavirus 1</t>
  </si>
  <si>
    <t>Chlorocebus pygerythrus polyomavirus 3</t>
  </si>
  <si>
    <t>Dobsonia moluccensis polyomavirus 1</t>
  </si>
  <si>
    <t>Eidolon helvum polyomavirus 1</t>
  </si>
  <si>
    <t>Gorilla gorilla polyomavirus 1</t>
  </si>
  <si>
    <t>Human polyomavirus 5</t>
  </si>
  <si>
    <t>Human polyomavirus 8</t>
  </si>
  <si>
    <t>Human polyomavirus 9</t>
  </si>
  <si>
    <t>Human polyomavirus 12</t>
  </si>
  <si>
    <t>Human polyomavirus 13</t>
  </si>
  <si>
    <t>Macaca fascicularis polyomavirus 1</t>
  </si>
  <si>
    <t>Mesocricetus auratus polyomavirus 1</t>
  </si>
  <si>
    <t>Molossus molossus polyomavirus 1</t>
  </si>
  <si>
    <t>Mus musculus polyomavirus 1</t>
  </si>
  <si>
    <t>Otomops martiensseni polyomavirus 1</t>
  </si>
  <si>
    <t>Otomops martiensseni polyomavirus 2</t>
  </si>
  <si>
    <t>Pan troglodytes polyomavirus 1</t>
  </si>
  <si>
    <t>Pan troglodytes polyomavirus 2</t>
  </si>
  <si>
    <t>Pan troglodytes polyomavirus 3</t>
  </si>
  <si>
    <t>Pan troglodytes polyomavirus 4</t>
  </si>
  <si>
    <t>Pan troglodytes polyomavirus 5</t>
  </si>
  <si>
    <t>Pan troglodytes polyomavirus 6</t>
  </si>
  <si>
    <t>Pan troglodytes polyomavirus 7</t>
  </si>
  <si>
    <t>Papio cynocephalus polyomavirus 1</t>
  </si>
  <si>
    <t>Piliocolobus rufomitratus polyomavirus 1</t>
  </si>
  <si>
    <t>Pongo abelii polyomavirus 1</t>
  </si>
  <si>
    <t>Pongo pygmaeus polyomavirus 1</t>
  </si>
  <si>
    <t>Procyon lotor polyomavirus 1</t>
  </si>
  <si>
    <t>Pteropus vampyrus polyomavirus 1</t>
  </si>
  <si>
    <t>Sturnira lilium polyomavirus 1</t>
  </si>
  <si>
    <t>Betapolyomavirus</t>
  </si>
  <si>
    <t>Acerodon celebensis polyomavirus 2</t>
  </si>
  <si>
    <t>Artibeus planirostris polyomavirus 1</t>
  </si>
  <si>
    <t>Cebus albifrons polyomavirus 1</t>
  </si>
  <si>
    <t>Cercopithecus erythrotis polyomavirus 1</t>
  </si>
  <si>
    <t>Chlorocebus pygerythrus polyomavirus 2</t>
  </si>
  <si>
    <t>Desmodus rotundus polyomavirus 1</t>
  </si>
  <si>
    <t>Dobsonia moluccensis polyomavirus 2</t>
  </si>
  <si>
    <t>Dobsonia moluccensis polyomavirus 3</t>
  </si>
  <si>
    <t>Equus caballus polyomavirus 1</t>
  </si>
  <si>
    <t>Human polyomavirus 1</t>
  </si>
  <si>
    <t>Human polyomavirus 2</t>
  </si>
  <si>
    <t>Human polyomavirus 3</t>
  </si>
  <si>
    <t>Human polyomavirus 4</t>
  </si>
  <si>
    <t>Loxodonta africana polyomavirus 1</t>
  </si>
  <si>
    <t>Macaca mulatta polyomavirus 1</t>
  </si>
  <si>
    <t>Mastomys natalensis polyomavirus 1</t>
  </si>
  <si>
    <t>Meles meles polyomavirus 1</t>
  </si>
  <si>
    <t>Miniopterus africanus polyomavirus 1</t>
  </si>
  <si>
    <t>Mus musculus polyomavirus 2</t>
  </si>
  <si>
    <t>Myotis lucifugus polyomavirus 1</t>
  </si>
  <si>
    <t>Papio cynocephalus polyomavirus 2</t>
  </si>
  <si>
    <t>Pteronotus davyi polyomavirus 1</t>
  </si>
  <si>
    <t>Pteronotus parnellii polyomavirus 1</t>
  </si>
  <si>
    <t>Saimiri boliviensis polyomavirus 1</t>
  </si>
  <si>
    <t>Saimiri sciureus polyomavirus 1</t>
  </si>
  <si>
    <t>Zalophus californianus polyomavirus 1</t>
  </si>
  <si>
    <t>Deltapolyomavirus</t>
  </si>
  <si>
    <t>Human polyomavirus 6</t>
  </si>
  <si>
    <t>Human polyomavirus 7</t>
  </si>
  <si>
    <t>Human polyomavirus 10</t>
  </si>
  <si>
    <t>Human polyomavirus 11</t>
  </si>
  <si>
    <t>Gammapolyomavirus</t>
  </si>
  <si>
    <t>Anser anser polyomavirus 1</t>
  </si>
  <si>
    <t>Aves polyomavirus 1</t>
  </si>
  <si>
    <t>Corvus monedula polyomavirus 1</t>
  </si>
  <si>
    <t>Cracticus torquatus polyomavirus 1</t>
  </si>
  <si>
    <t>Pygoscelis adeliae polyomavirus 1</t>
  </si>
  <si>
    <t>Pyrrhula pyrrhula polyomavirus 1</t>
  </si>
  <si>
    <t>Serinus canaria polyomavirus 1</t>
  </si>
  <si>
    <t>Bos taurus polyomavirus 1</t>
  </si>
  <si>
    <t>Centropristis striata polyomavirus 1</t>
  </si>
  <si>
    <t>Delphinus delphis polyomavirus 1</t>
  </si>
  <si>
    <t>Caladenia virus A</t>
  </si>
  <si>
    <t>Catharanthus mosaic virus</t>
  </si>
  <si>
    <t>Donkey orchid virus A</t>
  </si>
  <si>
    <t>Sunflower mild mosaic virus</t>
  </si>
  <si>
    <t>Tamarillo leaf malformation virus</t>
  </si>
  <si>
    <t>Vanilla distortion mosaic virus</t>
  </si>
  <si>
    <t>Southern rice black-streaked dwarf virus</t>
  </si>
  <si>
    <t>Piscine orthoreovirus</t>
  </si>
  <si>
    <t>Sarthroviridae</t>
  </si>
  <si>
    <t>Macronovirus</t>
  </si>
  <si>
    <t>Macrobrachium satellite virus 1</t>
  </si>
  <si>
    <t>Thermus virus IN93</t>
  </si>
  <si>
    <t>Thermus virus P23-77</t>
  </si>
  <si>
    <t>Bacillus virus AP50</t>
  </si>
  <si>
    <t>Bacillus virus Bam35</t>
  </si>
  <si>
    <t>Alphacarmovirus</t>
  </si>
  <si>
    <t>Yam spherical virus</t>
  </si>
  <si>
    <t>Betacarmovirus</t>
  </si>
  <si>
    <t>Gammacarmovirus</t>
  </si>
  <si>
    <t>Pelarspovirus</t>
  </si>
  <si>
    <t>Albetovirus</t>
  </si>
  <si>
    <t>Tobacco albetovirus 1</t>
  </si>
  <si>
    <t>Tobacco albetovirus 2</t>
  </si>
  <si>
    <t>Tobacco albetovirus 3</t>
  </si>
  <si>
    <t>Aumaivirus</t>
  </si>
  <si>
    <t>Maize aumaivirus 1</t>
  </si>
  <si>
    <t>Botybirnavirus</t>
  </si>
  <si>
    <t>Botrytis porri botybirnavirus 1</t>
  </si>
  <si>
    <t>Papanivirus</t>
  </si>
  <si>
    <t>Panicum papanivirus 1</t>
  </si>
  <si>
    <t>Sinaivirus</t>
  </si>
  <si>
    <t>Lake Sinai virus 1</t>
  </si>
  <si>
    <t>Lake Sinai virus 2</t>
  </si>
  <si>
    <t>Artemisia virus A</t>
  </si>
  <si>
    <t>Cymbidium chlorotic mosaic virus</t>
  </si>
  <si>
    <t>Papaya lethal yellowing virus</t>
  </si>
  <si>
    <t>Rottboellia yellow mottle virus</t>
  </si>
  <si>
    <t>Soybean yellow common mosaic virus</t>
  </si>
  <si>
    <t>Virtovirus</t>
  </si>
  <si>
    <t>Tobacco virtovirus 1</t>
  </si>
  <si>
    <t>Goravirus</t>
  </si>
  <si>
    <t>Drakaea virus A</t>
  </si>
  <si>
    <t>Gentian ovary ringspot virus</t>
  </si>
  <si>
    <t>Metapneumovirus</t>
  </si>
  <si>
    <t>Kotonkan ephemerovirus</t>
  </si>
  <si>
    <t>Dyoomegapapillomavirus</t>
  </si>
  <si>
    <t>Spreadsheet Column Name</t>
  </si>
  <si>
    <t>Definition</t>
  </si>
  <si>
    <t>One 'Type Species' is chosen for each Genus to serve as an example of a well characterized species for that Genus. If the value in this column is '1', this indicates that this species has been chosen as the type species for its genus.</t>
  </si>
  <si>
    <t>The last change made to each virus species across the entire history of the taxon. Possible changes include a combination of the following:
- Abolished
- Merged
- Moved
- New
- Promoted
- Renamed
- Split
- Assigned as Type Species</t>
  </si>
  <si>
    <t>The web url link that provides the complete taxonomic history of the species. The proposal indicated above can be downloaded from the link provided by the last changed entry in the history.</t>
  </si>
  <si>
    <t>MSL of Last Change</t>
  </si>
  <si>
    <t>European mountain ash ringspot-associated emaravirus</t>
  </si>
  <si>
    <t>Fig mosaic emaravirus</t>
  </si>
  <si>
    <t>High Plains wheat mosaic emaravirus</t>
  </si>
  <si>
    <t>Pigeonpea sterility mosaic emaravirus 1</t>
  </si>
  <si>
    <t>Raspberry leaf blotch emaravirus</t>
  </si>
  <si>
    <t>Rose rosette emaravirus</t>
  </si>
  <si>
    <t>Andes orthohantavirus</t>
  </si>
  <si>
    <t>Bayou orthohantavirus</t>
  </si>
  <si>
    <t>Black Creek Canal orthohantavirus</t>
  </si>
  <si>
    <t>Cano Delgadito orthohantavirus</t>
  </si>
  <si>
    <t>Dobrava-Belgrade orthohantavirus</t>
  </si>
  <si>
    <t>El Moro Canyon orthohantavirus</t>
  </si>
  <si>
    <t>Hantaan orthohantavirus</t>
  </si>
  <si>
    <t>Khabarovsk orthohantavirus</t>
  </si>
  <si>
    <t>Laguna Negra orthohantavirus</t>
  </si>
  <si>
    <t>Prospect Hill orthohantavirus</t>
  </si>
  <si>
    <t>Puumala orthohantavirus</t>
  </si>
  <si>
    <t>Sangassou orthohantavirus</t>
  </si>
  <si>
    <t>Seoul orthohantavirus</t>
  </si>
  <si>
    <t>Sin Nombre orthohantavirus</t>
  </si>
  <si>
    <t>Thailand orthohantavirus</t>
  </si>
  <si>
    <t>Tula orthohantavirus</t>
  </si>
  <si>
    <t>Crimean-Congo hemorrhagic fever orthonairovirus</t>
  </si>
  <si>
    <t>Dera Ghazi Khan orthonairovirus</t>
  </si>
  <si>
    <t>Dugbe orthonairovirus</t>
  </si>
  <si>
    <t>Hughes orthonairovirus</t>
  </si>
  <si>
    <t>Qalyub orthonairovirus</t>
  </si>
  <si>
    <t>Sakhalin orthonairovirus</t>
  </si>
  <si>
    <t>Thiafora orthonairovirus</t>
  </si>
  <si>
    <t>Echinochloa hoja blanca tenuivirus</t>
  </si>
  <si>
    <t>Iranian wheat stripe tenuivirus</t>
  </si>
  <si>
    <t>Maize stripe tenuivirus</t>
  </si>
  <si>
    <t>Rice grassy stunt tenuivirus</t>
  </si>
  <si>
    <t>Rice hoja blanca tenuivirus</t>
  </si>
  <si>
    <t>Rice stripe tenuivirus</t>
  </si>
  <si>
    <t>Urochloa hoja blanca tenuivirus</t>
  </si>
  <si>
    <t>Bcep22virus</t>
  </si>
  <si>
    <t>Alphaendornavirus</t>
  </si>
  <si>
    <t>Basella alba alphaendornavirus 1</t>
  </si>
  <si>
    <t>Bell pepper alphaendornavirus</t>
  </si>
  <si>
    <t>Helicobasidium mompa alphaendornavirus 1</t>
  </si>
  <si>
    <t>Oryza rufipogon alphaendornavirus</t>
  </si>
  <si>
    <t>Oryza sativa alphaendornavirus</t>
  </si>
  <si>
    <t>Persea americana alphaendornavirus 1</t>
  </si>
  <si>
    <t>Phaseolus vulgaris alphaendornavirus 1</t>
  </si>
  <si>
    <t>Phaseolus vulgaris alphaendornavirus 2</t>
  </si>
  <si>
    <t>Phytophthora alphaendornavirus 1</t>
  </si>
  <si>
    <t>Vicia faba alphaendornavirus</t>
  </si>
  <si>
    <t>Yerba mate alphaendornavirus</t>
  </si>
  <si>
    <t>Bunyavirales</t>
  </si>
  <si>
    <t>Fimoviridae</t>
  </si>
  <si>
    <t>Hantaviridae</t>
  </si>
  <si>
    <t>Orthohantavirus</t>
  </si>
  <si>
    <t>Nairoviridae</t>
  </si>
  <si>
    <t>Orthonairovirus</t>
  </si>
  <si>
    <t>Peribunyaviridae</t>
  </si>
  <si>
    <t>Phenuiviridae</t>
  </si>
  <si>
    <t>Ounavirinae</t>
  </si>
  <si>
    <t>Ea214virus</t>
  </si>
  <si>
    <t>Elvirus</t>
  </si>
  <si>
    <t>Cp1virus</t>
  </si>
  <si>
    <t>Bclasvirinae</t>
  </si>
  <si>
    <t>Acadianvirus</t>
  </si>
  <si>
    <t>Coopervirus</t>
  </si>
  <si>
    <t>Pipefishvirus</t>
  </si>
  <si>
    <t>Rosebushvirus</t>
  </si>
  <si>
    <t>Salmonella virus f18SE</t>
  </si>
  <si>
    <t>Mclasvirinae</t>
  </si>
  <si>
    <t>Bongovirus</t>
  </si>
  <si>
    <t>Pclasvirinae</t>
  </si>
  <si>
    <t>Fishburnevirus</t>
  </si>
  <si>
    <t>Patiencevirus</t>
  </si>
  <si>
    <t>Rer2virus</t>
  </si>
  <si>
    <t>Hapavirus</t>
  </si>
  <si>
    <t>Flanders hapavirus</t>
  </si>
  <si>
    <t>Ngaingan hapavirus</t>
  </si>
  <si>
    <t>Wongabel hapavirus</t>
  </si>
  <si>
    <t>Betaendornavirus</t>
  </si>
  <si>
    <t>Sclerotinia sclerotiorum betaendornavirus 1</t>
  </si>
  <si>
    <t>Fibrovirus</t>
  </si>
  <si>
    <t>Lineavirus</t>
  </si>
  <si>
    <t>Saetivirus</t>
  </si>
  <si>
    <t>Vespertiliovirus</t>
  </si>
  <si>
    <t>Alphairidovirinae</t>
  </si>
  <si>
    <t>Betairidovirinae</t>
  </si>
  <si>
    <t>Tristromaviridae</t>
  </si>
  <si>
    <t>Alphatristromavirus</t>
  </si>
  <si>
    <t>Actinidia chlorotic ringspot-associated emaravirus</t>
  </si>
  <si>
    <t>Pigeonpea sterility mosaic emaravirus 2</t>
  </si>
  <si>
    <t>Redbud yellow ringspot-associated emaravirus</t>
  </si>
  <si>
    <t>Amga orthohantavirus</t>
  </si>
  <si>
    <t>Asama orthohantavirus</t>
  </si>
  <si>
    <t>Asikkala orthohantavirus</t>
  </si>
  <si>
    <t>Bowe orthohantavirus</t>
  </si>
  <si>
    <t>Bruges orthohantavirus</t>
  </si>
  <si>
    <t>Cao Bang orthohantavirus</t>
  </si>
  <si>
    <t>Choclo orthohantavirus</t>
  </si>
  <si>
    <t>Dabieshan orthohantavirus</t>
  </si>
  <si>
    <t>Fugong orthohantavirus</t>
  </si>
  <si>
    <t>Fusong orthohantavirus</t>
  </si>
  <si>
    <t>Jeju orthohantavirus</t>
  </si>
  <si>
    <t>Kenkeme orthohantavirus</t>
  </si>
  <si>
    <t>Luxi orthohantavirus</t>
  </si>
  <si>
    <t>Maporal orthohantavirus</t>
  </si>
  <si>
    <t>Montano orthohantavirus</t>
  </si>
  <si>
    <t>Necocli orthohantavirus</t>
  </si>
  <si>
    <t>Oxbow orthohantavirus</t>
  </si>
  <si>
    <t>Rockport orthohantavirus</t>
  </si>
  <si>
    <t>Yakeshi orthohantavirus</t>
  </si>
  <si>
    <t>Herbevirus</t>
  </si>
  <si>
    <t>Herbert herbevirus</t>
  </si>
  <si>
    <t>Kibale herbevirus</t>
  </si>
  <si>
    <t>Tai herbevirus</t>
  </si>
  <si>
    <t>Hazara orthonairovirus</t>
  </si>
  <si>
    <t>Kasokero orthonairovirus</t>
  </si>
  <si>
    <t>Keterah orthonairovirus</t>
  </si>
  <si>
    <t>Nairobi sheep disease orthonairovirus</t>
  </si>
  <si>
    <t>Phasmaviridae</t>
  </si>
  <si>
    <t>Orthophasmavirus</t>
  </si>
  <si>
    <t>Kigluaik phantom orthophasmavirus</t>
  </si>
  <si>
    <t>Nome phantom orthophasmavirus</t>
  </si>
  <si>
    <t>Wuchang cockroach orthophasmavirus 1</t>
  </si>
  <si>
    <t>Wuhan mosquito orthophasmavirus 1</t>
  </si>
  <si>
    <t>Wuhan mosquito orthophasmavirus 2</t>
  </si>
  <si>
    <t>Goukovirus</t>
  </si>
  <si>
    <t>Cumuto goukovirus</t>
  </si>
  <si>
    <t>Gouleako goukovirus</t>
  </si>
  <si>
    <t>Yichang insect goukovirus</t>
  </si>
  <si>
    <t>Phasivirus</t>
  </si>
  <si>
    <t>Badu phasivirus</t>
  </si>
  <si>
    <t>Phasi Charoen-like phasivirus</t>
  </si>
  <si>
    <t>Wuhan fly phasivirus</t>
  </si>
  <si>
    <t>Wutai mosquito phasivirus</t>
  </si>
  <si>
    <t>Campylobacter virus CP30A</t>
  </si>
  <si>
    <t>Erwinia virus M7</t>
  </si>
  <si>
    <t>Escherichia virus HY02</t>
  </si>
  <si>
    <t>Escherichia virus TP1</t>
  </si>
  <si>
    <t>Mooglevirus</t>
  </si>
  <si>
    <t>Citrobacter virus Moogle</t>
  </si>
  <si>
    <t>Citrobacter virus Mordin</t>
  </si>
  <si>
    <t>Suspvirus</t>
  </si>
  <si>
    <t>Escherichia virus SUSP1</t>
  </si>
  <si>
    <t>Escherichia virus SUSP2</t>
  </si>
  <si>
    <t>Staphylococcus virus Rodi</t>
  </si>
  <si>
    <t>Staphylococcus virus S25-4</t>
  </si>
  <si>
    <t>Staphylococcus virus Stau2</t>
  </si>
  <si>
    <t>Bacillus virus Camphawk</t>
  </si>
  <si>
    <t>Tsarbombavirus</t>
  </si>
  <si>
    <t>Bacillus virus BCP78</t>
  </si>
  <si>
    <t>Bacillus virus TsarBomba</t>
  </si>
  <si>
    <t>Jd18virus</t>
  </si>
  <si>
    <t>Klebsiella virus JD18</t>
  </si>
  <si>
    <t>Klebsiella virus PKO111</t>
  </si>
  <si>
    <t>Escherichia virus QL01</t>
  </si>
  <si>
    <t>Kp15virus</t>
  </si>
  <si>
    <t>Enterobacter virus Eap3</t>
  </si>
  <si>
    <t>Klebsiella virus KP15</t>
  </si>
  <si>
    <t>Klebsiella virus KP27</t>
  </si>
  <si>
    <t>Klebsiella virus Matisse</t>
  </si>
  <si>
    <t>Klebsiella virus Miro</t>
  </si>
  <si>
    <t>Moonvirus</t>
  </si>
  <si>
    <t>Citrobacter virus Merlin</t>
  </si>
  <si>
    <t>Citrobacter virus Moon</t>
  </si>
  <si>
    <t>Escherichia virus JSE</t>
  </si>
  <si>
    <t>Escherichia virus HY01</t>
  </si>
  <si>
    <t>Cronobacter virus PBES02</t>
  </si>
  <si>
    <t>Pectobacterium virus phiTE</t>
  </si>
  <si>
    <t>Abouovirus</t>
  </si>
  <si>
    <t>Brevibacillus virus Abouo</t>
  </si>
  <si>
    <t>Brevibacillus virus Davies</t>
  </si>
  <si>
    <t>Agrican357virus</t>
  </si>
  <si>
    <t>Erwinia virus Deimos</t>
  </si>
  <si>
    <t>Erwinia virus Ea35-70</t>
  </si>
  <si>
    <t>Erwinia virus RAY</t>
  </si>
  <si>
    <t>Erwinia virus Simmy50</t>
  </si>
  <si>
    <t>Erwinia virus SpecialG</t>
  </si>
  <si>
    <t>Arv1virus</t>
  </si>
  <si>
    <t>Arthrobacter virus ArV1</t>
  </si>
  <si>
    <t>Arthrobacter virus Trina</t>
  </si>
  <si>
    <t>Bacillus virus AvesoBmore</t>
  </si>
  <si>
    <t>Bacillus virus BM15</t>
  </si>
  <si>
    <t>Bacillus virus Deepblue</t>
  </si>
  <si>
    <t>Mycobacterium virus Alice</t>
  </si>
  <si>
    <t>Mycobacterium virus Bxz1</t>
  </si>
  <si>
    <t>Mycobacterium virus Dandelion</t>
  </si>
  <si>
    <t>Mycobacterium virus HyRo</t>
  </si>
  <si>
    <t>Mycobacterium virus Nappy</t>
  </si>
  <si>
    <t>Mycobacterium virus Sebata</t>
  </si>
  <si>
    <t>Jimmervirus</t>
  </si>
  <si>
    <t>Brevibacillus virus Jimmer</t>
  </si>
  <si>
    <t>Brevibacillus virus Osiris</t>
  </si>
  <si>
    <t>M12virus</t>
  </si>
  <si>
    <t>Sinorhizobium virus M7</t>
  </si>
  <si>
    <t>Sinorhizobium virus M12</t>
  </si>
  <si>
    <t>Sinorhizobium virus N3</t>
  </si>
  <si>
    <t>Marthavirus</t>
  </si>
  <si>
    <t>Arthrobacter virus Brent</t>
  </si>
  <si>
    <t>Arthrobacter virus Jawnski</t>
  </si>
  <si>
    <t>Arthrobacter virus Martha</t>
  </si>
  <si>
    <t>Arthrobacter virus Sonny</t>
  </si>
  <si>
    <t>Msw3virus</t>
  </si>
  <si>
    <t>Edwardsiella virus MSW3</t>
  </si>
  <si>
    <t>Edwardsiella virus PEi21</t>
  </si>
  <si>
    <t>Shigella virus SfMu</t>
  </si>
  <si>
    <t>Pseudomonas virus PA7</t>
  </si>
  <si>
    <t>Rsl2virus</t>
  </si>
  <si>
    <t>Ralstonia virus RSF1</t>
  </si>
  <si>
    <t>Ralstonia virus RSL2</t>
  </si>
  <si>
    <t>Rslunavirus</t>
  </si>
  <si>
    <t>Ralstonia virus RSL1</t>
  </si>
  <si>
    <t>Sep1virus</t>
  </si>
  <si>
    <t>Staphylococcus virus IPLAC1C</t>
  </si>
  <si>
    <t>Staphylococcus virus SEP1</t>
  </si>
  <si>
    <t>Spn3virus</t>
  </si>
  <si>
    <t>Salmonella virus SPN3US</t>
  </si>
  <si>
    <t>Bacillus virus BPS13</t>
  </si>
  <si>
    <t>Bacillus virus Hakuna</t>
  </si>
  <si>
    <t>Bacillus virus Megatron</t>
  </si>
  <si>
    <t>Fri1virus</t>
  </si>
  <si>
    <t>Acinetobacter virus AB3</t>
  </si>
  <si>
    <t>Acinetobacter virus Abp1</t>
  </si>
  <si>
    <t>Acinetobacter virus Fri1</t>
  </si>
  <si>
    <t>Acinetobacter virus IME200</t>
  </si>
  <si>
    <t>Acinetobacter virus PD6A3</t>
  </si>
  <si>
    <t>Acinetobacter virus PDAB9</t>
  </si>
  <si>
    <t>Acinetobacter virus phiAB1</t>
  </si>
  <si>
    <t>Kp32virus</t>
  </si>
  <si>
    <t>Escherichia virus K30</t>
  </si>
  <si>
    <t>Klebsiella virus K5</t>
  </si>
  <si>
    <t>Klebsiella virus K11</t>
  </si>
  <si>
    <t>Klebsiella virus Kp1</t>
  </si>
  <si>
    <t>Klebsiella virus KP32</t>
  </si>
  <si>
    <t>Klebsiella virus KpV289</t>
  </si>
  <si>
    <t>Klebsiella virus Kp2</t>
  </si>
  <si>
    <t>Klebsiella virus KpV41</t>
  </si>
  <si>
    <t>Klebsiella virus KpV71</t>
  </si>
  <si>
    <t>Klebsiella virus KpV475</t>
  </si>
  <si>
    <t>Pradovirus</t>
  </si>
  <si>
    <t>Xanthomonas virus f20</t>
  </si>
  <si>
    <t>Xanthomonas virus f30</t>
  </si>
  <si>
    <t>Xylella virus Prado</t>
  </si>
  <si>
    <t>Streptococcus virus Cp7</t>
  </si>
  <si>
    <t>Sepvirinae</t>
  </si>
  <si>
    <t>Nona33virus</t>
  </si>
  <si>
    <t>Escherichia virus 24B</t>
  </si>
  <si>
    <t>Escherichia virus 933W</t>
  </si>
  <si>
    <t>Escherichia virus Min27</t>
  </si>
  <si>
    <t>Escherichia virus PA28</t>
  </si>
  <si>
    <t>Escherichia virus Stx2 II</t>
  </si>
  <si>
    <t>Pocjvirus</t>
  </si>
  <si>
    <t>Shigella virus 7502Stx</t>
  </si>
  <si>
    <t>Shigella virus POCJ13</t>
  </si>
  <si>
    <t>Tl2011virus</t>
  </si>
  <si>
    <t>Escherichia virus 191</t>
  </si>
  <si>
    <t>Escherichia virus PA2</t>
  </si>
  <si>
    <t>Escherichia virus TL2011</t>
  </si>
  <si>
    <t>Shigella virus VASD</t>
  </si>
  <si>
    <t>Ea92virus</t>
  </si>
  <si>
    <t>Erwinia virus Ea9-2</t>
  </si>
  <si>
    <t>Erwinia virus Frozen</t>
  </si>
  <si>
    <t>Salmonella virus SPN1S</t>
  </si>
  <si>
    <t>Kf1virus</t>
  </si>
  <si>
    <t>Edwardsiella virus KF1</t>
  </si>
  <si>
    <t>Kpp25virus</t>
  </si>
  <si>
    <t>Pseudomonas virus KPP25</t>
  </si>
  <si>
    <t>Pseudomonas virus R18</t>
  </si>
  <si>
    <t>Luz7virus</t>
  </si>
  <si>
    <t>Pseudomonas virus KPP21</t>
  </si>
  <si>
    <t>Pseudomonas virus LUZ7</t>
  </si>
  <si>
    <t>Escherichia virus 172-1</t>
  </si>
  <si>
    <t>Prtbvirus</t>
  </si>
  <si>
    <t>Brucella virus Pr</t>
  </si>
  <si>
    <t>Brucella virus Tb</t>
  </si>
  <si>
    <t>Una961virus</t>
  </si>
  <si>
    <t>Helicobacter virus 1961P</t>
  </si>
  <si>
    <t>Helicobacter virus KHP30</t>
  </si>
  <si>
    <t>Helicobacter virus KHP40</t>
  </si>
  <si>
    <t>Arquatrovirinae</t>
  </si>
  <si>
    <t>Camvirus</t>
  </si>
  <si>
    <t>Streptomyces virus Amela</t>
  </si>
  <si>
    <t>Streptomyces virus phiCAM</t>
  </si>
  <si>
    <t>Likavirus</t>
  </si>
  <si>
    <t>Streptomyces virus Aaronocolus</t>
  </si>
  <si>
    <t>Streptomyces virus Caliburn</t>
  </si>
  <si>
    <t>Streptomyces virus Danzina</t>
  </si>
  <si>
    <t>Streptomyces virus Hydra</t>
  </si>
  <si>
    <t>Streptomyces virus Izzy</t>
  </si>
  <si>
    <t>Streptomyces virus Lannister</t>
  </si>
  <si>
    <t>Streptomyces virus Lika</t>
  </si>
  <si>
    <t>Streptomyces virus Sujidade</t>
  </si>
  <si>
    <t>Streptomyces virus Zemlya</t>
  </si>
  <si>
    <t>R4virus</t>
  </si>
  <si>
    <t>Streptomyces virus ELB20</t>
  </si>
  <si>
    <t>Streptomyces virus R4</t>
  </si>
  <si>
    <t>Streptomyces virus phiHau3</t>
  </si>
  <si>
    <t>Mycobacterium virus Baee</t>
  </si>
  <si>
    <t>Mycobacterium virus Reprobate</t>
  </si>
  <si>
    <t>Mycobacterium virus Adawi</t>
  </si>
  <si>
    <t>Mycobacterium virus Bane1</t>
  </si>
  <si>
    <t>Mycobacterium virus BrownCNA</t>
  </si>
  <si>
    <t>Mycobacterium virus JAMaL</t>
  </si>
  <si>
    <t>Mycobacterium virus Vincenzo</t>
  </si>
  <si>
    <t>Mycobacterium virus Apizium</t>
  </si>
  <si>
    <t>Mycobacterium virus Manad</t>
  </si>
  <si>
    <t>Mycobacterium virus Osmaximus</t>
  </si>
  <si>
    <t>Mycobacterium virus Soto</t>
  </si>
  <si>
    <t>Mycobacterium virus Suffolk</t>
  </si>
  <si>
    <t>Mycobacterium virus Bernardo</t>
  </si>
  <si>
    <t>Mycobacterium virus Godines</t>
  </si>
  <si>
    <t>Mycobacterium virus Brusacoram</t>
  </si>
  <si>
    <t>Mycobacterium virus Donovan</t>
  </si>
  <si>
    <t>Mycobacterium virus Fishburne</t>
  </si>
  <si>
    <t>Mycobacterium virus Malithi</t>
  </si>
  <si>
    <t>Phayoncevirus</t>
  </si>
  <si>
    <t>Mycobacterium virus Phayonce</t>
  </si>
  <si>
    <t>Klebsiella virus KLPN1</t>
  </si>
  <si>
    <t>Klebsiella virus PKP126</t>
  </si>
  <si>
    <t>Klebsiella virus Sushi</t>
  </si>
  <si>
    <t>Escherichia virus C119</t>
  </si>
  <si>
    <t>Escherichia virus JMPW1</t>
  </si>
  <si>
    <t>Escherichia virus JMPW2</t>
  </si>
  <si>
    <t>Ab18virus</t>
  </si>
  <si>
    <t>Pseudomonas virus Ab18</t>
  </si>
  <si>
    <t>Pseudomonas virus Ab19</t>
  </si>
  <si>
    <t>Pseudomonas virus PaMx11</t>
  </si>
  <si>
    <t>Amigovirus</t>
  </si>
  <si>
    <t>Arthrobacter virus Amigo</t>
  </si>
  <si>
    <t>Bernal13virus</t>
  </si>
  <si>
    <t>Mycobacterium virus Bernal13</t>
  </si>
  <si>
    <t>Lactobacillus virus Ld3</t>
  </si>
  <si>
    <t>Lactobacillus virus Ld17</t>
  </si>
  <si>
    <t>Lactobacillus virus Ld25A</t>
  </si>
  <si>
    <t>Lactobacillus virus phiLdb</t>
  </si>
  <si>
    <t>Cronusvirus</t>
  </si>
  <si>
    <t>Rhodobacter virus RcCronus</t>
  </si>
  <si>
    <t>Decurrovirus</t>
  </si>
  <si>
    <t>Arthrobacter virus Decurro</t>
  </si>
  <si>
    <t>Demosthenesvirus</t>
  </si>
  <si>
    <t>Gordonia virus Demosthenes</t>
  </si>
  <si>
    <t>Gordonia virus Katyusha</t>
  </si>
  <si>
    <t>Gordonia virus Kvothe</t>
  </si>
  <si>
    <t>Eiauvirus</t>
  </si>
  <si>
    <t>Edwardsiella virus eiAU</t>
  </si>
  <si>
    <t>Gaiavirus</t>
  </si>
  <si>
    <t>Mycobacterium virus Gaia</t>
  </si>
  <si>
    <t>Gilesvirus</t>
  </si>
  <si>
    <t>Mycobacterium virus Giles</t>
  </si>
  <si>
    <t>Gordonvirus</t>
  </si>
  <si>
    <t>Arthrobacter virus Captnmurica</t>
  </si>
  <si>
    <t>Arthrobacter virus Gordon</t>
  </si>
  <si>
    <t>Gordtnkvirus</t>
  </si>
  <si>
    <t>Gordonia virus GordTnk2</t>
  </si>
  <si>
    <t>Harrisonvirus</t>
  </si>
  <si>
    <t>Paenibacillus virus Harrison</t>
  </si>
  <si>
    <t>Escherichia virus EK99P1</t>
  </si>
  <si>
    <t>Escherichia virus YD2008s</t>
  </si>
  <si>
    <t>Jenstvirus</t>
  </si>
  <si>
    <t>Brevibacillus virus Jenst</t>
  </si>
  <si>
    <t>Jwxvirus</t>
  </si>
  <si>
    <t>Achromobacter virus 83-24</t>
  </si>
  <si>
    <t>Achromobacter virus JWX</t>
  </si>
  <si>
    <t>Kelleziovirus</t>
  </si>
  <si>
    <t>Arthrobacter virus Kellezzio</t>
  </si>
  <si>
    <t>Arthrobacter virus Kitkat</t>
  </si>
  <si>
    <t>Korravirus</t>
  </si>
  <si>
    <t>Arthrobacter virus Bennie</t>
  </si>
  <si>
    <t>Arthrobacter virus DrRobert</t>
  </si>
  <si>
    <t>Arthrobacter virus Glenn</t>
  </si>
  <si>
    <t>Arthrobacter virus HunterDalle</t>
  </si>
  <si>
    <t>Arthrobacter virus Joann</t>
  </si>
  <si>
    <t>Arthrobacter virus Korra</t>
  </si>
  <si>
    <t>Arthrobacter virus Preamble</t>
  </si>
  <si>
    <t>Arthrobacter virus Pumancara</t>
  </si>
  <si>
    <t>Arthrobacter virus Wayne</t>
  </si>
  <si>
    <t>Laroyevirus</t>
  </si>
  <si>
    <t>Arthrobacter virus Laroye</t>
  </si>
  <si>
    <t>Marvinvirus</t>
  </si>
  <si>
    <t>Mycobacterium virus Marvin</t>
  </si>
  <si>
    <t>Mycobacterium virus Mosmoris</t>
  </si>
  <si>
    <t>Mudcatvirus</t>
  </si>
  <si>
    <t>Arthrobacter virus Circum</t>
  </si>
  <si>
    <t>Arthrobacter virus Mudcat</t>
  </si>
  <si>
    <t>Np1virus</t>
  </si>
  <si>
    <t>Pseudomonas virus NP1</t>
  </si>
  <si>
    <t>Pseudomonas virus PaMx25</t>
  </si>
  <si>
    <t>P12002virus</t>
  </si>
  <si>
    <t>Polaribacter virus P12002L</t>
  </si>
  <si>
    <t>Polaribacter virus P12002S</t>
  </si>
  <si>
    <t>P12024virus</t>
  </si>
  <si>
    <t>Nonlabens virus P12024L</t>
  </si>
  <si>
    <t>Nonlabens virus P12024S</t>
  </si>
  <si>
    <t>Pa6virus</t>
  </si>
  <si>
    <t>Propionibacterium virus ATCC29399BC</t>
  </si>
  <si>
    <t>Propionibacterium virus ATCC29399BT</t>
  </si>
  <si>
    <t>Propionibacterium virus Attacne</t>
  </si>
  <si>
    <t>Propionibacterium virus Keiki</t>
  </si>
  <si>
    <t>Propionibacterium virus Kubed</t>
  </si>
  <si>
    <t>Propionibacterium virus Lauchelly</t>
  </si>
  <si>
    <t>Propionibacterium virus MrAK</t>
  </si>
  <si>
    <t>Propionibacterium virus Ouroboros</t>
  </si>
  <si>
    <t>Propionibacterium virus P91</t>
  </si>
  <si>
    <t>Propionibacterium virus P105</t>
  </si>
  <si>
    <t>Propionibacterium virus P144</t>
  </si>
  <si>
    <t>Propionibacterium virus P1001</t>
  </si>
  <si>
    <t>Propionibacterium virus P1.1</t>
  </si>
  <si>
    <t>Propionibacterium virus P100A</t>
  </si>
  <si>
    <t>Propionibacterium virus P100D</t>
  </si>
  <si>
    <t>Propionibacterium virus P101A</t>
  </si>
  <si>
    <t>Propionibacterium virus P104A</t>
  </si>
  <si>
    <t>Propionibacterium virus PA6</t>
  </si>
  <si>
    <t>Propionibacterium virus Pacnes201215</t>
  </si>
  <si>
    <t>Propionibacterium virus PAD20</t>
  </si>
  <si>
    <t>Propionibacterium virus PAS50</t>
  </si>
  <si>
    <t>Propionibacterium virus PHL009M11</t>
  </si>
  <si>
    <t>Propionibacterium virus PHL025M00</t>
  </si>
  <si>
    <t>Propionibacterium virus PHL037M02</t>
  </si>
  <si>
    <t>Propionibacterium virus PHL041M10</t>
  </si>
  <si>
    <t>Propionibacterium virus PHL060L00</t>
  </si>
  <si>
    <t>Propionibacterium virus PHL067M01</t>
  </si>
  <si>
    <t>Propionibacterium virus PHL070N00</t>
  </si>
  <si>
    <t>Propionibacterium virus PHL071N05</t>
  </si>
  <si>
    <t>Propionibacterium virus PHL082M03</t>
  </si>
  <si>
    <t>Propionibacterium virus PHL092M00</t>
  </si>
  <si>
    <t>Propionibacterium virus PHL095N00</t>
  </si>
  <si>
    <t>Propionibacterium virus PHL111M01</t>
  </si>
  <si>
    <t>Propionibacterium virus PHL112N00</t>
  </si>
  <si>
    <t>Propionibacterium virus PHL113M01</t>
  </si>
  <si>
    <t>Propionibacterium virus PHL114L00</t>
  </si>
  <si>
    <t>Propionibacterium virus PHL116M00</t>
  </si>
  <si>
    <t>Propionibacterium virus PHL117M00</t>
  </si>
  <si>
    <t>Propionibacterium virus PHL117M01</t>
  </si>
  <si>
    <t>Propionibacterium virus PHL132N00</t>
  </si>
  <si>
    <t>Propionibacterium virus PHL141N00</t>
  </si>
  <si>
    <t>Propionibacterium virus PHL151M00</t>
  </si>
  <si>
    <t>Propionibacterium virus PHL151N00</t>
  </si>
  <si>
    <t>Propionibacterium virus PHL152M00</t>
  </si>
  <si>
    <t>Propionibacterium virus PHL163M00</t>
  </si>
  <si>
    <t>Propionibacterium virus PHL171M01</t>
  </si>
  <si>
    <t>Propionibacterium virus PHL179M00</t>
  </si>
  <si>
    <t>Propionibacterium virus PHL194M00</t>
  </si>
  <si>
    <t>Propionibacterium virus PHL199M00</t>
  </si>
  <si>
    <t>Propionibacterium virus PHL301M00</t>
  </si>
  <si>
    <t>Propionibacterium virus PHL308M00</t>
  </si>
  <si>
    <t>Propionibacterium virus Pirate</t>
  </si>
  <si>
    <t>Propionibacterium virus Procrass1</t>
  </si>
  <si>
    <t>Propionibacterium virus SKKY</t>
  </si>
  <si>
    <t>Propionibacterium virus Solid</t>
  </si>
  <si>
    <t>Propionibacterium virus Stormborn</t>
  </si>
  <si>
    <t>Propionibacterium virus Wizzo</t>
  </si>
  <si>
    <t>Pamx74virus</t>
  </si>
  <si>
    <t>Pseudomonas virus PaMx28</t>
  </si>
  <si>
    <t>Pseudomonas virus PaMx74</t>
  </si>
  <si>
    <t>Pepy6virus</t>
  </si>
  <si>
    <t>Rhodococcus virus Pepy6</t>
  </si>
  <si>
    <t>Rhodococcus virus Poco6</t>
  </si>
  <si>
    <t>Pis4avirus</t>
  </si>
  <si>
    <t>Aeromonas virus pIS4A</t>
  </si>
  <si>
    <t>Rdjlvirus</t>
  </si>
  <si>
    <t>Roseobacter virus RDJL1</t>
  </si>
  <si>
    <t>Roseobacter virus RDJL2</t>
  </si>
  <si>
    <t>Send513virus</t>
  </si>
  <si>
    <t>Mycobacterium virus Papyrus</t>
  </si>
  <si>
    <t>Mycobacterium virus Send513</t>
  </si>
  <si>
    <t>Paenibacillus virus Willow</t>
  </si>
  <si>
    <t>Smoothievirus</t>
  </si>
  <si>
    <t>Gordonia virus Bachita</t>
  </si>
  <si>
    <t>Gordonia virus ClubL</t>
  </si>
  <si>
    <t>Gordonia virus OneUp</t>
  </si>
  <si>
    <t>Gordonia virus Smoothie</t>
  </si>
  <si>
    <t>Soupsvirus</t>
  </si>
  <si>
    <t>Gordonia virus Soups</t>
  </si>
  <si>
    <t>Escherichia virus slur09</t>
  </si>
  <si>
    <t>Salmonella virus 118970sal2</t>
  </si>
  <si>
    <t>Tankvirus</t>
  </si>
  <si>
    <t>Arthrobacter virus Tank</t>
  </si>
  <si>
    <t>Tin2virus</t>
  </si>
  <si>
    <t>Tsukamurella virus TIN2</t>
  </si>
  <si>
    <t>Tsukamurella virus TIN3</t>
  </si>
  <si>
    <t>Tsukamurella virus TIN4</t>
  </si>
  <si>
    <t>Titanvirus</t>
  </si>
  <si>
    <t>Rhodobacter virus RcSpartan</t>
  </si>
  <si>
    <t>Rhodobacter virus RcTitan</t>
  </si>
  <si>
    <t>Vegasvirus</t>
  </si>
  <si>
    <t>Paenibacillus virus Vegas</t>
  </si>
  <si>
    <t>Vendettavirus</t>
  </si>
  <si>
    <t>Gordonia virus Vendetta</t>
  </si>
  <si>
    <t>Wildcatvirus</t>
  </si>
  <si>
    <t>Mycobacterium virus Wildcat</t>
  </si>
  <si>
    <t>Woesvirus</t>
  </si>
  <si>
    <t>Gordonia virus Hotorobo</t>
  </si>
  <si>
    <t>Gordonia virus Monty</t>
  </si>
  <si>
    <t>Gordonia virus Woes</t>
  </si>
  <si>
    <t>Ydn12virus</t>
  </si>
  <si>
    <t>Streptomyces virus TP1604</t>
  </si>
  <si>
    <t>Streptomyces virus YDN12</t>
  </si>
  <si>
    <t>Pseudomonas virus LKO4</t>
  </si>
  <si>
    <t>Pseudomonas virus MP1412</t>
  </si>
  <si>
    <t>Pseudomonas virus PAE1</t>
  </si>
  <si>
    <t>Peropuvirus</t>
  </si>
  <si>
    <t>Pteromalus puparum peropuvirus</t>
  </si>
  <si>
    <t>Avian avulavirus 13</t>
  </si>
  <si>
    <t>Achimota rubulavirus 1</t>
  </si>
  <si>
    <t>Achimota rubulavirus 2</t>
  </si>
  <si>
    <t>Bat mumps rubulavirus</t>
  </si>
  <si>
    <t>Menangle rubulavirus</t>
  </si>
  <si>
    <t>Sosuga rubulavirus</t>
  </si>
  <si>
    <t>Teviot rubulavirus</t>
  </si>
  <si>
    <t>Tioman rubulavirus</t>
  </si>
  <si>
    <t>Tuhoko rubulavirus 1</t>
  </si>
  <si>
    <t>Tuhoko rubulavirus 2</t>
  </si>
  <si>
    <t>Tuhoko rubulavirus 3</t>
  </si>
  <si>
    <t>Almendravirus</t>
  </si>
  <si>
    <t>Arboretum almendravirus</t>
  </si>
  <si>
    <t>Balsa almendravirus</t>
  </si>
  <si>
    <t>Coot Bay almendravirus</t>
  </si>
  <si>
    <t>Puerto Almendras almendravirus</t>
  </si>
  <si>
    <t>Rio Chico almendravirus</t>
  </si>
  <si>
    <t>Curiovirus</t>
  </si>
  <si>
    <t>Curionopolis curiovirus</t>
  </si>
  <si>
    <t>Iriri curiovirus</t>
  </si>
  <si>
    <t>Itacaiunas curiovirus</t>
  </si>
  <si>
    <t>Rochambeau curiovirus</t>
  </si>
  <si>
    <t>Colocasia bobone disease-associated cytorhabdovirus</t>
  </si>
  <si>
    <t>Kimberley ephemerovirus</t>
  </si>
  <si>
    <t>Koolpinyah ephemerovirus</t>
  </si>
  <si>
    <t>Yata ephemerovirus</t>
  </si>
  <si>
    <t>Gray Lodge hapavirus</t>
  </si>
  <si>
    <t>Hart Park hapavirus</t>
  </si>
  <si>
    <t>Joinjakaka hapavirus</t>
  </si>
  <si>
    <t>Kamese hapavirus</t>
  </si>
  <si>
    <t>La Joya hapavirus</t>
  </si>
  <si>
    <t>Landjia hapavirus</t>
  </si>
  <si>
    <t>Manitoba hapavirus</t>
  </si>
  <si>
    <t>Marco hapavirus</t>
  </si>
  <si>
    <t>Mosqueiro hapavirus</t>
  </si>
  <si>
    <t>Mossuril hapavirus</t>
  </si>
  <si>
    <t>Ord River hapavirus</t>
  </si>
  <si>
    <t>Parry Creek hapavirus</t>
  </si>
  <si>
    <t>Ledantevirus</t>
  </si>
  <si>
    <t>Barur ledantevirus</t>
  </si>
  <si>
    <t>Fikirini ledantevirus</t>
  </si>
  <si>
    <t>Fukuoka ledantevirus</t>
  </si>
  <si>
    <t>Kern Canyon ledantevirus</t>
  </si>
  <si>
    <t>Keuraliba ledantevirus</t>
  </si>
  <si>
    <t>Kolente ledantevirus</t>
  </si>
  <si>
    <t>Kumasi ledantevirus</t>
  </si>
  <si>
    <t>Le Dantec ledantevirus</t>
  </si>
  <si>
    <t>Mount Elgon bat ledantevirus</t>
  </si>
  <si>
    <t>Nishimuro ledantevirus</t>
  </si>
  <si>
    <t>Nkolbisson ledantevirus</t>
  </si>
  <si>
    <t>Oita ledantevirus</t>
  </si>
  <si>
    <t>Wuhan ledantevirus</t>
  </si>
  <si>
    <t>Yongjia ledantevirus</t>
  </si>
  <si>
    <t>Sripuvirus</t>
  </si>
  <si>
    <t>Almpiwar sripuvirus</t>
  </si>
  <si>
    <t>Chaco sripuvirus</t>
  </si>
  <si>
    <t>Niakha sripuvirus</t>
  </si>
  <si>
    <t>Sena Madureira sripuvirus</t>
  </si>
  <si>
    <t>Sripur sripuvirus</t>
  </si>
  <si>
    <t>Bas-Congo tibrovirus</t>
  </si>
  <si>
    <t>Ekpoma 1 tibrovirus</t>
  </si>
  <si>
    <t>Ekpoma 2 tibrovirus</t>
  </si>
  <si>
    <t>Sweetwater Branch tibrovirus</t>
  </si>
  <si>
    <t>Klamath tupavirus</t>
  </si>
  <si>
    <t>American bat vesiculovirus</t>
  </si>
  <si>
    <t>Jurona vesiculovirus</t>
  </si>
  <si>
    <t>Malpais Spring vesiculovirus</t>
  </si>
  <si>
    <t>Morreton vesiculovirus</t>
  </si>
  <si>
    <t>Perinet vesiculovirus</t>
  </si>
  <si>
    <t>Radi vesiculovirus</t>
  </si>
  <si>
    <t>Yug Bogdanovac vesiculovirus</t>
  </si>
  <si>
    <t>Bovine nidovirus 1</t>
  </si>
  <si>
    <t>Chinook salmon nidovirus 1</t>
  </si>
  <si>
    <t>Brevicoryne brassicae virus</t>
  </si>
  <si>
    <t>Ampivirus</t>
  </si>
  <si>
    <t>Ampivirus A</t>
  </si>
  <si>
    <t>Avisivirus B</t>
  </si>
  <si>
    <t>Avisivirus C</t>
  </si>
  <si>
    <t>Cosavirus B</t>
  </si>
  <si>
    <t>Cosavirus D</t>
  </si>
  <si>
    <t>Cosavirus E</t>
  </si>
  <si>
    <t>Cosavirus F</t>
  </si>
  <si>
    <t>Enterovirus I</t>
  </si>
  <si>
    <t>Harkavirus</t>
  </si>
  <si>
    <t>Harkavirus A</t>
  </si>
  <si>
    <t>Hepatovirus B</t>
  </si>
  <si>
    <t>Hepatovirus C</t>
  </si>
  <si>
    <t>Hepatovirus D</t>
  </si>
  <si>
    <t>Hepatovirus E</t>
  </si>
  <si>
    <t>Hepatovirus F</t>
  </si>
  <si>
    <t>Hepatovirus G</t>
  </si>
  <si>
    <t>Hepatovirus H</t>
  </si>
  <si>
    <t>Hepatovirus I</t>
  </si>
  <si>
    <t>Aichivirus D</t>
  </si>
  <si>
    <t>Aichivirus E</t>
  </si>
  <si>
    <t>Aichivirus F</t>
  </si>
  <si>
    <t>Mischivirus B</t>
  </si>
  <si>
    <t>Mischivirus C</t>
  </si>
  <si>
    <t>Parechovirus C</t>
  </si>
  <si>
    <t>Parechovirus D</t>
  </si>
  <si>
    <t>Rabovirus</t>
  </si>
  <si>
    <t>Rabovirus A</t>
  </si>
  <si>
    <t>Torchivirus</t>
  </si>
  <si>
    <t>Torchivirus A</t>
  </si>
  <si>
    <t>Currant latent virus</t>
  </si>
  <si>
    <t>Squash chlorotic leaf spot virus</t>
  </si>
  <si>
    <t>Chocolate lily virus A</t>
  </si>
  <si>
    <t>Bellflower vein chlorosis virus</t>
  </si>
  <si>
    <t>Nectarine marafivirus M</t>
  </si>
  <si>
    <t>Tomato blistering mosaic tymovirus</t>
  </si>
  <si>
    <t>Lizard atadenovirus A</t>
  </si>
  <si>
    <t>Psittacine atadenovirus A</t>
  </si>
  <si>
    <t>Dolphin mastadenovirus A</t>
  </si>
  <si>
    <t>Platyrrhini mastadenovirus A</t>
  </si>
  <si>
    <t>Sea lion mastadenovirus A</t>
  </si>
  <si>
    <t>Simian mastadenovirus D</t>
  </si>
  <si>
    <t>Simian mastadenovirus E</t>
  </si>
  <si>
    <t>Simian mastadenovirus F</t>
  </si>
  <si>
    <t>Simian mastadenovirus G</t>
  </si>
  <si>
    <t>Simian mastadenovirus H</t>
  </si>
  <si>
    <t>Skunk mastadenovirus A</t>
  </si>
  <si>
    <t>Penguin siadenovirus A</t>
  </si>
  <si>
    <t>Loei River mammarenavirus</t>
  </si>
  <si>
    <t>Solwezi mammarenavirus</t>
  </si>
  <si>
    <t>Catopsilia pomona nucleopolyhedrovirus</t>
  </si>
  <si>
    <t>Choristoneura murinana nucleopolyhedrovirus</t>
  </si>
  <si>
    <t>Lambdina fiscellaria nucleopolyhedrovirus</t>
  </si>
  <si>
    <t>Lymantria xylina nucleopolyhedrovirus</t>
  </si>
  <si>
    <t>Orgyia leucostigma nucleopolyhedrovirus</t>
  </si>
  <si>
    <t>Clostera anachoreta granulovirus</t>
  </si>
  <si>
    <t>Clostera anastomosis granulovirus A</t>
  </si>
  <si>
    <t>Clostera anastomosis granulovirus B</t>
  </si>
  <si>
    <t>Diatraea saccharalis granulovirus</t>
  </si>
  <si>
    <t>Epinotia aporema granulovirus</t>
  </si>
  <si>
    <t>Spodoptera litura granulovirus</t>
  </si>
  <si>
    <t>Mulberry badnavirus 1</t>
  </si>
  <si>
    <t>Taro bacilliform CH virus</t>
  </si>
  <si>
    <t>Yacon necrotic mottle virus</t>
  </si>
  <si>
    <t>Atractylodes mild mottle virus</t>
  </si>
  <si>
    <t>Bat associated circovirus 4</t>
  </si>
  <si>
    <t>Bat associated circovirus 5</t>
  </si>
  <si>
    <t>Bat associated circovirus 6</t>
  </si>
  <si>
    <t>Bat associated circovirus 7</t>
  </si>
  <si>
    <t>Bat associated circovirus 8</t>
  </si>
  <si>
    <t>Bat associated cyclovirus 6</t>
  </si>
  <si>
    <t>Bat associated cyclovirus 7</t>
  </si>
  <si>
    <t>Bat associated cyclovirus 8</t>
  </si>
  <si>
    <t>Bat associated cyclovirus 9</t>
  </si>
  <si>
    <t>Bat associated cyclovirus 10</t>
  </si>
  <si>
    <t>Bat associated cyclovirus 11</t>
  </si>
  <si>
    <t>Bat associated cyclovirus 12</t>
  </si>
  <si>
    <t>Bat associated cyclovirus 13</t>
  </si>
  <si>
    <t>Bat associated cyclovirus 14</t>
  </si>
  <si>
    <t>Bat associated cyclovirus 15</t>
  </si>
  <si>
    <t>Bat associated cyclovirus 16</t>
  </si>
  <si>
    <t>Feline associated cyclovirus 1</t>
  </si>
  <si>
    <t>Horse associated cyclovirus 1</t>
  </si>
  <si>
    <t>Human associated cyclovirus 11</t>
  </si>
  <si>
    <t>Squirrel associated cyclovirus 1</t>
  </si>
  <si>
    <t>Rose leaf rosette-associated virus</t>
  </si>
  <si>
    <t>Tobacco virus 1</t>
  </si>
  <si>
    <t>Tetterwort vein chlorosis virus</t>
  </si>
  <si>
    <t>Persimmon virus B</t>
  </si>
  <si>
    <t>Areca palm velarivirus 1</t>
  </si>
  <si>
    <t>Cucumis melo alphaendornavirus</t>
  </si>
  <si>
    <t>Erysiphe cichoracearum alphaendornavirus</t>
  </si>
  <si>
    <t>Grapevine endophyte alphaendornavirus</t>
  </si>
  <si>
    <t>Hordeum vulgare alphaendornavirus</t>
  </si>
  <si>
    <t>Hot pepper alphaendornavirus</t>
  </si>
  <si>
    <t>Lagenaria siceraria alphaendornavirus</t>
  </si>
  <si>
    <t>Rhizoctonia cerealis alphaendornavirus 1</t>
  </si>
  <si>
    <t>Alternaria brassicicola betaendornavirus 1</t>
  </si>
  <si>
    <t>Gremmeniella abietina betaendornavirus 1</t>
  </si>
  <si>
    <t>Tuber aestivum betaendornavirus</t>
  </si>
  <si>
    <t>Hepacivirus A</t>
  </si>
  <si>
    <t>Hepacivirus B</t>
  </si>
  <si>
    <t>Hepacivirus D</t>
  </si>
  <si>
    <t>Hepacivirus E</t>
  </si>
  <si>
    <t>Hepacivirus F</t>
  </si>
  <si>
    <t>Hepacivirus G</t>
  </si>
  <si>
    <t>Hepacivirus H</t>
  </si>
  <si>
    <t>Hepacivirus I</t>
  </si>
  <si>
    <t>Hepacivirus J</t>
  </si>
  <si>
    <t>Hepacivirus K</t>
  </si>
  <si>
    <t>Hepacivirus L</t>
  </si>
  <si>
    <t>Hepacivirus M</t>
  </si>
  <si>
    <t>Hepacivirus N</t>
  </si>
  <si>
    <t>Pegivirus C</t>
  </si>
  <si>
    <t>Pegivirus D</t>
  </si>
  <si>
    <t>Pegivirus E</t>
  </si>
  <si>
    <t>Pegivirus F</t>
  </si>
  <si>
    <t>Pegivirus G</t>
  </si>
  <si>
    <t>Pegivirus H</t>
  </si>
  <si>
    <t>Pegivirus I</t>
  </si>
  <si>
    <t>Pegivirus J</t>
  </si>
  <si>
    <t>Pegivirus K</t>
  </si>
  <si>
    <t>Capulavirus</t>
  </si>
  <si>
    <t>Alfalfa leaf curl virus</t>
  </si>
  <si>
    <t>Euphorbia caput-medusae latent virus</t>
  </si>
  <si>
    <t>French bean severe leaf curl virus</t>
  </si>
  <si>
    <t>Plantago lanceolata latent virus</t>
  </si>
  <si>
    <t>Grablovirus</t>
  </si>
  <si>
    <t>Grapevine red blotch virus</t>
  </si>
  <si>
    <t>Citrus chlorotic dwarf associated virus</t>
  </si>
  <si>
    <t>Mulberry mosaic dwarf associated virus</t>
  </si>
  <si>
    <t>Blackbird associated gemycircularvirus 1</t>
  </si>
  <si>
    <t>Bovine associated gemycircularvirus 1</t>
  </si>
  <si>
    <t>Bromus associated gemycircularvirus 1</t>
  </si>
  <si>
    <t>Cassava associated gemycircularvirus 1</t>
  </si>
  <si>
    <t>Chickadee associated gemycircularvirus 1</t>
  </si>
  <si>
    <t>Chicken associated gemycircularvirus 1</t>
  </si>
  <si>
    <t>Chicken associated gemycircularvirus 2</t>
  </si>
  <si>
    <t>Dragonfly associated gemycircularvirus 1</t>
  </si>
  <si>
    <t>Equine associated gemycircularvirus 1</t>
  </si>
  <si>
    <t>Fur seal associated gemycircularvirus 1</t>
  </si>
  <si>
    <t>Gerygone associated gemycircularvirus 1</t>
  </si>
  <si>
    <t>Gerygone associated gemycircularvirus 2</t>
  </si>
  <si>
    <t>Gerygone associated gemycircularvirus 3</t>
  </si>
  <si>
    <t>Hypericum associated gemycircularvirus 1</t>
  </si>
  <si>
    <t>Lama associated gemycircularvirus 1</t>
  </si>
  <si>
    <t>Mallard associated gemycircularvirus 1</t>
  </si>
  <si>
    <t>Miniopterus associated gemycircularvirus 1</t>
  </si>
  <si>
    <t>Mongoose associated gemycircularvirus 1</t>
  </si>
  <si>
    <t>Mosquito associated gemycircularvirus 1</t>
  </si>
  <si>
    <t>Odonata associated gemycircularvirus 1</t>
  </si>
  <si>
    <t>Odonata associated gemycircularvirus 2</t>
  </si>
  <si>
    <t>Poaceae associated gemycircularvirus 1</t>
  </si>
  <si>
    <t>Porcine associated gemycircularvirus 1</t>
  </si>
  <si>
    <t>Porcine associated gemycircularvirus 2</t>
  </si>
  <si>
    <t>Pteropus associated gemycircularvirus 1</t>
  </si>
  <si>
    <t>Pteropus associated gemycircularvirus 2</t>
  </si>
  <si>
    <t>Pteropus associated gemycircularvirus 3</t>
  </si>
  <si>
    <t>Pteropus associated gemycircularvirus 4</t>
  </si>
  <si>
    <t>Pteropus associated gemycircularvirus 5</t>
  </si>
  <si>
    <t>Pteropus associated gemycircularvirus 6</t>
  </si>
  <si>
    <t>Pteropus associated gemycircularvirus 7</t>
  </si>
  <si>
    <t>Pteropus associated gemycircularvirus 8</t>
  </si>
  <si>
    <t>Pteropus associated gemycircularvirus 9</t>
  </si>
  <si>
    <t>Pteropus associated gemycircularvirus 10</t>
  </si>
  <si>
    <t>Rat associated gemycircularvirus 1</t>
  </si>
  <si>
    <t>Sewage derived gemycircularvirus 1</t>
  </si>
  <si>
    <t>Sewage derived gemycircularvirus 2</t>
  </si>
  <si>
    <t>Sewage derived gemycircularvirus 3</t>
  </si>
  <si>
    <t>Sewage derived gemycircularvirus 4</t>
  </si>
  <si>
    <t>Sewage derived gemycircularvirus 5</t>
  </si>
  <si>
    <t>Sheep associated gemycircularvirus 1</t>
  </si>
  <si>
    <t>Soybean associated gemycircularvirus 1</t>
  </si>
  <si>
    <t>Gemyduguivirus</t>
  </si>
  <si>
    <t>Dragonfly associated gemyduguivirus 1</t>
  </si>
  <si>
    <t>Gemygorvirus</t>
  </si>
  <si>
    <t>Canine associated gemygorvirus 1</t>
  </si>
  <si>
    <t>Mallard associated gemygorvirus 1</t>
  </si>
  <si>
    <t>Pteropus associated gemygorvirus 1</t>
  </si>
  <si>
    <t>Sewage derived gemygorvirus 1</t>
  </si>
  <si>
    <t>Starling associated gemygorvirus 1</t>
  </si>
  <si>
    <t>Gemykibivirus</t>
  </si>
  <si>
    <t>Badger associated gemykibivirus 1</t>
  </si>
  <si>
    <t>Black robin associated gemykibivirus 1</t>
  </si>
  <si>
    <t>Blackbird associated gemykibivirus 1</t>
  </si>
  <si>
    <t>Bovine associated gemykibivirus 1</t>
  </si>
  <si>
    <t>Dragonfly associated gemykibivirus 1</t>
  </si>
  <si>
    <t>Human associated gemykibivirus 1</t>
  </si>
  <si>
    <t>Human associated gemykibivirus 2</t>
  </si>
  <si>
    <t>Human associated gemykibivirus 3</t>
  </si>
  <si>
    <t>Human associated gemykibivirus 4</t>
  </si>
  <si>
    <t>Human associated gemykibivirus 5</t>
  </si>
  <si>
    <t>Mongoose associated gemykibivirus 1</t>
  </si>
  <si>
    <t>Pteropus associated gemykibivirus 1</t>
  </si>
  <si>
    <t>Rhinolophus associated gemykibivirus 1</t>
  </si>
  <si>
    <t>Rhinolophus associated gemykibivirus 2</t>
  </si>
  <si>
    <t>Sewage derived gemykibivirus 1</t>
  </si>
  <si>
    <t>Sewage derived gemykibivirus 2</t>
  </si>
  <si>
    <t>Gemykolovirus</t>
  </si>
  <si>
    <t>Pteropus associated gemykolovirus 1</t>
  </si>
  <si>
    <t>Pteropus associated gemykolovirus 2</t>
  </si>
  <si>
    <t>Gemykrogvirus</t>
  </si>
  <si>
    <t>Bovine associated gemykrogvirus 1</t>
  </si>
  <si>
    <t>Caribou associated gemykrogvirus 1</t>
  </si>
  <si>
    <t>Sewage derived gemykrogvirus 1</t>
  </si>
  <si>
    <t>Gemykroznavirus</t>
  </si>
  <si>
    <t>Rabbit associated gemykroznavirus 1</t>
  </si>
  <si>
    <t>Gemytondvirus</t>
  </si>
  <si>
    <t>Ostrich associated gemytondvirus 1</t>
  </si>
  <si>
    <t>Gemyvongvirus</t>
  </si>
  <si>
    <t>Human associated gemyvongvirus 1</t>
  </si>
  <si>
    <t>Parrot hepatitis B virus</t>
  </si>
  <si>
    <t>Pomona bat hepatitis B virus</t>
  </si>
  <si>
    <t>White sucker hepatitis B virus</t>
  </si>
  <si>
    <t>Vibrio virus VGJ</t>
  </si>
  <si>
    <t>Habenivirus</t>
  </si>
  <si>
    <t>Ralstonia virus RS603</t>
  </si>
  <si>
    <t>Ralstonia virus RSM1</t>
  </si>
  <si>
    <t>Ralstonia virus RSM3</t>
  </si>
  <si>
    <t>Vibrio virus VFJ</t>
  </si>
  <si>
    <t>Propionibacterium virus B5</t>
  </si>
  <si>
    <t>Ralstonia virus PE226</t>
  </si>
  <si>
    <t>Ralstonia virus RSS1</t>
  </si>
  <si>
    <t>Spiroplasma virus SVTS2</t>
  </si>
  <si>
    <t>Stenotrophomonas virus PSH1</t>
  </si>
  <si>
    <t>Stenotrophomonas virus SMA6</t>
  </si>
  <si>
    <t>Stenotrophomonas virus SMA7</t>
  </si>
  <si>
    <t>Stenotrophomonas virus SMA9</t>
  </si>
  <si>
    <t>Vibrio virus KSF1</t>
  </si>
  <si>
    <t>Vibrio virus VCY</t>
  </si>
  <si>
    <t>Vibrio virus VfO3K6</t>
  </si>
  <si>
    <t>Spiroplasma virus SkV1CR23x</t>
  </si>
  <si>
    <t>Singapore grouper iridovirus</t>
  </si>
  <si>
    <t>Alfalfa enamovirus 1</t>
  </si>
  <si>
    <t>Influenza D virus</t>
  </si>
  <si>
    <t>Asteroid ambidensovirus 1</t>
  </si>
  <si>
    <t>Decapod ambidensovirus 1</t>
  </si>
  <si>
    <t>Hemipteran ambidensovirus 2</t>
  </si>
  <si>
    <t>Hemipteran ambidensovirus 3</t>
  </si>
  <si>
    <t>Hymenopteran ambidensovirus 1</t>
  </si>
  <si>
    <t>Orthopteran densovirus 1</t>
  </si>
  <si>
    <t>Rattus norvegicus polyomavirus 1</t>
  </si>
  <si>
    <t>Microtus arvalis polyomavirus 1</t>
  </si>
  <si>
    <t>Myodes glareolus polyomavirus 1</t>
  </si>
  <si>
    <t>Pan troglodytes polyomavirus 8</t>
  </si>
  <si>
    <t>Broad-leafed dock virus A</t>
  </si>
  <si>
    <t>Yam chlorotic mosaic virus</t>
  </si>
  <si>
    <t>Jasmine virus T</t>
  </si>
  <si>
    <t>Lettuce Italian necrotic virus</t>
  </si>
  <si>
    <t>Zucchini shoestring virus</t>
  </si>
  <si>
    <t>Centapoxvirus</t>
  </si>
  <si>
    <t>Yokapox virus</t>
  </si>
  <si>
    <t>Pteropox virus</t>
  </si>
  <si>
    <t>Rotavirus I</t>
  </si>
  <si>
    <t>Koala retrovirus</t>
  </si>
  <si>
    <t>Jembrana disease virus</t>
  </si>
  <si>
    <t>Solinviviridae</t>
  </si>
  <si>
    <t>Invictavirus</t>
  </si>
  <si>
    <t>Solenopsis invicta virus 3</t>
  </si>
  <si>
    <t>Nyfulvavirus</t>
  </si>
  <si>
    <t>Nylanderia fulva virus 1</t>
  </si>
  <si>
    <t>Haloarcula virus HCIV1</t>
  </si>
  <si>
    <t>Tolecusatellitidae</t>
  </si>
  <si>
    <t>Betasatellite</t>
  </si>
  <si>
    <t>Ageratum leaf curl Buea betasatellite</t>
  </si>
  <si>
    <t>Ageratum leaf curl Cameroon betasatellite</t>
  </si>
  <si>
    <t>Ageratum yellow leaf curl betasatellite</t>
  </si>
  <si>
    <t>Ageratum yellow vein betasatellite</t>
  </si>
  <si>
    <t>Ageratum yellow vein India betasatellite</t>
  </si>
  <si>
    <t>Ageratum yellow vein Sri Lanka betasatellite</t>
  </si>
  <si>
    <t>Alternanthera yellow vein betasatellite</t>
  </si>
  <si>
    <t>Andrographis yellow vein leaf curl betasatellite</t>
  </si>
  <si>
    <t>Bhendi yellow vein mosaic betasatellite</t>
  </si>
  <si>
    <t>Cardiospermum yellow leaf curl betasatellite</t>
  </si>
  <si>
    <t>Chili leaf curl betasatellite</t>
  </si>
  <si>
    <t>Chili leaf curl Jaunpur betasatellite</t>
  </si>
  <si>
    <t>Chili leaf curl Sri Lanka betasatellite</t>
  </si>
  <si>
    <t>Cotton leaf curl Gezira betasatellite</t>
  </si>
  <si>
    <t>Cotton leaf curl Multan betasatellite</t>
  </si>
  <si>
    <t>Croton yellow vein mosaic betasatellite</t>
  </si>
  <si>
    <t>Eupatorium yellow vein betasatellite</t>
  </si>
  <si>
    <t>Eupatorium yellow vein mosaic betasatellite</t>
  </si>
  <si>
    <t>French bean leaf curl betasatellite</t>
  </si>
  <si>
    <t>Hedyotis yellow mosaic betasatellite</t>
  </si>
  <si>
    <t>Honeysuckle yellow vein betasatellite</t>
  </si>
  <si>
    <t>Honeysuckle yellow vein mosaic betasatellite</t>
  </si>
  <si>
    <t>Malvastrum leaf curl betasatellite</t>
  </si>
  <si>
    <t>Malvastrum leaf curl Guangdong betasatellite</t>
  </si>
  <si>
    <t>Mirabilis leaf curl betasatellite</t>
  </si>
  <si>
    <t>Momordica yellow mosaic betasatellite</t>
  </si>
  <si>
    <t>Mungbean yellow mosaic betasatellite</t>
  </si>
  <si>
    <t>Okra leaf curl Oman betasatellite</t>
  </si>
  <si>
    <t>Papaya leaf curl betasatellite</t>
  </si>
  <si>
    <t>Papaya leaf curl China betasatellite</t>
  </si>
  <si>
    <t>Papaya leaf curl India betasatellite</t>
  </si>
  <si>
    <t>Rhynchosia yellow mosaic betasatellite</t>
  </si>
  <si>
    <t>Rose leaf curl betasatellite</t>
  </si>
  <si>
    <t>Siegesbeckia yellow vein betasatellite</t>
  </si>
  <si>
    <t>Tobacco curly shoot betasatellite</t>
  </si>
  <si>
    <t>Tobacco leaf curl betasatellite</t>
  </si>
  <si>
    <t>Tobacco leaf curl Japan betasatellite</t>
  </si>
  <si>
    <t>Tobacco leaf curl Patna betasatellite</t>
  </si>
  <si>
    <t>Tomato leaf curl Bangalore betasatellite</t>
  </si>
  <si>
    <t>Tomato leaf curl Bangladesh betasatellite</t>
  </si>
  <si>
    <t>Tomato leaf curl betasatellite</t>
  </si>
  <si>
    <t>Tomato leaf curl China betasatellite</t>
  </si>
  <si>
    <t>Tomato leaf curl Gandhinagar betasatellite</t>
  </si>
  <si>
    <t>Tomato leaf curl Joydebpur betasatellite</t>
  </si>
  <si>
    <t>Tomato leaf curl Laguna betasatellite</t>
  </si>
  <si>
    <t>Tomato leaf curl Laos betasatellite</t>
  </si>
  <si>
    <t>Tomato leaf curl Malaysia betasatellite</t>
  </si>
  <si>
    <t>Tomato leaf curl Nepal betasatellite</t>
  </si>
  <si>
    <t>Tomato leaf curl Patna betasatellite</t>
  </si>
  <si>
    <t>Tomato leaf curl Philippine betasatellite</t>
  </si>
  <si>
    <t>Tomato leaf curl Sri Lanka betasatellite</t>
  </si>
  <si>
    <t>Tomato leaf curl Yemen betasatellite</t>
  </si>
  <si>
    <t>Tomato yellow leaf curl China betasatellite</t>
  </si>
  <si>
    <t>Tomato yellow leaf curl Rajasthan betasatellite</t>
  </si>
  <si>
    <t>Tomato yellow leaf curl Shandong betasatellite</t>
  </si>
  <si>
    <t>Tomato yellow leaf curl Thailand betasatellite</t>
  </si>
  <si>
    <t>Tomato yellow leaf curl Vietnam betasatellite</t>
  </si>
  <si>
    <t>Tomato yellow leaf curl Yunnan betasatellite</t>
  </si>
  <si>
    <t>Vernonia yellow vein betasatellite</t>
  </si>
  <si>
    <t>Vernonia yellow vein Fujian betasatellite</t>
  </si>
  <si>
    <t>Deltasatellite</t>
  </si>
  <si>
    <t>Croton yellow vein deltasatellite</t>
  </si>
  <si>
    <t>Malvastrum leaf curl deltasatellite</t>
  </si>
  <si>
    <t>Sida golden yellow vein deltasatellite 1</t>
  </si>
  <si>
    <t>Sida golden yellow vein deltasatellite 2</t>
  </si>
  <si>
    <t>Sida golden yellow vein deltasatellite 3</t>
  </si>
  <si>
    <t>Sweet potato leaf curl deltasatellite 1</t>
  </si>
  <si>
    <t>Sweet potato leaf curl deltasatellite 2</t>
  </si>
  <si>
    <t>Sweet potato leaf curl deltasatellite 3</t>
  </si>
  <si>
    <t>Tomato leaf curl deltasatellite</t>
  </si>
  <si>
    <t>Tomato yellow leaf distortion deltasatellite 1</t>
  </si>
  <si>
    <t>Tomato yellow leaf distortion deltasatellite 2</t>
  </si>
  <si>
    <t>Ethiopian tobacco bushy top virus</t>
  </si>
  <si>
    <t>Opium poppy mosaic virus</t>
  </si>
  <si>
    <t>Pyrobaculum filamentous virus 1</t>
  </si>
  <si>
    <t>Blunervirus</t>
  </si>
  <si>
    <t>Blueberry necrotic ring blotch virus</t>
  </si>
  <si>
    <t>Citrus leprosis virus C2</t>
  </si>
  <si>
    <t>Tilapinevirus</t>
  </si>
  <si>
    <t>Tilapia tilapinevirus</t>
  </si>
  <si>
    <t>Colombian potato soil-borne virus</t>
  </si>
  <si>
    <t>Plumeria mosaic virus</t>
  </si>
  <si>
    <t>Tomato brown rugose fruit virus</t>
  </si>
  <si>
    <t>Campylobacter virus CP21</t>
  </si>
  <si>
    <t>New,</t>
  </si>
  <si>
    <t>Renamed,Moved,</t>
  </si>
  <si>
    <t>Moved,</t>
  </si>
  <si>
    <t>Renamed,</t>
  </si>
  <si>
    <t>Merged,Moved,</t>
  </si>
  <si>
    <t>New,Assigned as Type Species,</t>
  </si>
  <si>
    <t>Moved,Assigned as Type Species,</t>
  </si>
  <si>
    <t>Renamed,Moved,Assigned as Type Species,</t>
  </si>
  <si>
    <t>Merged,</t>
  </si>
  <si>
    <t>Merged,Moved,Assigned as Type Species,</t>
  </si>
  <si>
    <t>Split,Moved,</t>
  </si>
  <si>
    <t>Merged,Renamed,</t>
  </si>
  <si>
    <t>Merged,Assigned as Type Species,</t>
  </si>
  <si>
    <t>Mannheimia virus PHL101</t>
  </si>
  <si>
    <t>Lactobacillus virus Lb338-1</t>
  </si>
  <si>
    <t>Escherichia virus CC31</t>
  </si>
  <si>
    <t>Salmonella virus L13</t>
  </si>
  <si>
    <t>Salmonella virus LSPA1</t>
  </si>
  <si>
    <t>Mycobacterium virus Fionnbarth</t>
  </si>
  <si>
    <t>Salmon aquaparamyxovirus</t>
  </si>
  <si>
    <t>Avian avulavirus 1</t>
  </si>
  <si>
    <t>Avian avulavirus 2</t>
  </si>
  <si>
    <t>Avian avulavirus 3</t>
  </si>
  <si>
    <t>Avian avulavirus 4</t>
  </si>
  <si>
    <t>Avian avulavirus 5</t>
  </si>
  <si>
    <t>Avian avulavirus 6</t>
  </si>
  <si>
    <t>Avian avulavirus 7</t>
  </si>
  <si>
    <t>Avian avulavirus 8</t>
  </si>
  <si>
    <t>Avian avulavirus 9</t>
  </si>
  <si>
    <t>Avian avulavirus 10</t>
  </si>
  <si>
    <t>Avian avulavirus 11</t>
  </si>
  <si>
    <t>Avian avulavirus 12</t>
  </si>
  <si>
    <t>Reptilian ferlavirus</t>
  </si>
  <si>
    <t>Hendra henipavirus</t>
  </si>
  <si>
    <t>Nipah henipavirus</t>
  </si>
  <si>
    <t>Canine morbillivirus</t>
  </si>
  <si>
    <t>Measles morbillivirus</t>
  </si>
  <si>
    <t>Phocine morbillivirus</t>
  </si>
  <si>
    <t>Rinderpest morbillivirus</t>
  </si>
  <si>
    <t>Small ruminant morbillivirus</t>
  </si>
  <si>
    <t>Bovine respirovirus 3</t>
  </si>
  <si>
    <t>Human respirovirus 1</t>
  </si>
  <si>
    <t>Human respirovirus 3</t>
  </si>
  <si>
    <t>Murine respirovirus</t>
  </si>
  <si>
    <t>Porcine respirovirus 1</t>
  </si>
  <si>
    <t>Human rubulavirus 2</t>
  </si>
  <si>
    <t>Human rubulavirus 4</t>
  </si>
  <si>
    <t>Mammalian rubulavirus 5</t>
  </si>
  <si>
    <t>Mapuera rubulavirus</t>
  </si>
  <si>
    <t>Mumps rubulavirus</t>
  </si>
  <si>
    <t>Simian rubulavirus</t>
  </si>
  <si>
    <t>Bovine orthopneumovirus</t>
  </si>
  <si>
    <t>Human orthopneumovirus</t>
  </si>
  <si>
    <t>Murine orthopneumovirus</t>
  </si>
  <si>
    <t>Piscine novirhabdovirus</t>
  </si>
  <si>
    <t>Salmonid novirhabdovirus</t>
  </si>
  <si>
    <t>Diadromus pulchellus toursvirus</t>
  </si>
  <si>
    <t>Bat associated circovirus 1</t>
  </si>
  <si>
    <t>Bat associated circovirus 2</t>
  </si>
  <si>
    <t>Bat associated circovirus 3</t>
  </si>
  <si>
    <t>Chimpanzee associated circovirus 1</t>
  </si>
  <si>
    <t>Human associated circovirus 1</t>
  </si>
  <si>
    <t>Bat associated cyclovirus 1</t>
  </si>
  <si>
    <t>Bat associated cyclovirus 2</t>
  </si>
  <si>
    <t>Bat associated cyclovirus 3</t>
  </si>
  <si>
    <t>Bat associated cyclovirus 4</t>
  </si>
  <si>
    <t>Bat associated cyclovirus 5</t>
  </si>
  <si>
    <t>Bovine associated cyclovirus 1</t>
  </si>
  <si>
    <t>Chicken associated cyclovirus 1</t>
  </si>
  <si>
    <t>Chimpanzee associated cyclovirus 1</t>
  </si>
  <si>
    <t>Cockroach associated cyclovirus 1</t>
  </si>
  <si>
    <t>Dragonfly associated cyclovirus 1</t>
  </si>
  <si>
    <t>Dragonfly associated cyclovirus 2</t>
  </si>
  <si>
    <t>Dragonfly associated cyclovirus 3</t>
  </si>
  <si>
    <t>Dragonfly associated cyclovirus 4</t>
  </si>
  <si>
    <t>Dragonfly associated cyclovirus 5</t>
  </si>
  <si>
    <t>Dragonfly associated cyclovirus 6</t>
  </si>
  <si>
    <t>Dragonfly associated cyclovirus 7</t>
  </si>
  <si>
    <t>Dragonfly associated cyclovirus 8</t>
  </si>
  <si>
    <t>Goat associated cyclovirus 1</t>
  </si>
  <si>
    <t>Human associated cyclovirus 1</t>
  </si>
  <si>
    <t>Human associated cyclovirus 2</t>
  </si>
  <si>
    <t>Human associated cyclovirus 3</t>
  </si>
  <si>
    <t>Human associated cyclovirus 4</t>
  </si>
  <si>
    <t>Human associated cyclovirus 5</t>
  </si>
  <si>
    <t>Human associated cyclovirus 6</t>
  </si>
  <si>
    <t>Human associated cyclovirus 7</t>
  </si>
  <si>
    <t>Human associated cyclovirus 8</t>
  </si>
  <si>
    <t>Human associated cyclovirus 9</t>
  </si>
  <si>
    <t>Human associated cyclovirus 10</t>
  </si>
  <si>
    <t>Hepacivirus C</t>
  </si>
  <si>
    <t>Haloarcula virus HHPV1</t>
  </si>
  <si>
    <t>dsDNA; ssDNA</t>
  </si>
  <si>
    <t>Haloarcula virus HHPV2</t>
  </si>
  <si>
    <t>Halorubrum virus HRPV1</t>
  </si>
  <si>
    <t>Halorubrum virus HRPV2</t>
  </si>
  <si>
    <t>Halorubrum virus HRPV6</t>
  </si>
  <si>
    <t>Halogeometricum virus HGPV1</t>
  </si>
  <si>
    <t>Halorubrum virus HRPV3</t>
  </si>
  <si>
    <t>Artashat orthonairovirus</t>
  </si>
  <si>
    <t>Chim orthonairovirus</t>
  </si>
  <si>
    <t>Tamdy orthonairovirus</t>
  </si>
  <si>
    <t>Wolkberg orthobunyavirus</t>
  </si>
  <si>
    <t>Ackermannviridae</t>
  </si>
  <si>
    <t>Aglimvirinae</t>
  </si>
  <si>
    <t>Ag3virus</t>
  </si>
  <si>
    <t>Salmonella virus SKML39</t>
  </si>
  <si>
    <t>2017.001B.A.v3.Ackermannviridae.zip</t>
  </si>
  <si>
    <t>Limestonevirus</t>
  </si>
  <si>
    <t>Dickeya virus RC2014</t>
  </si>
  <si>
    <t>Cvivirinae</t>
  </si>
  <si>
    <t>Cba120virus</t>
  </si>
  <si>
    <t>Salmonella virus 38</t>
  </si>
  <si>
    <t>Salmonella virus GG32</t>
  </si>
  <si>
    <t>Salmonella virus PM10</t>
  </si>
  <si>
    <t>Erwinia virus Ea2809</t>
  </si>
  <si>
    <t>Klebsiella virus 0507KN21</t>
  </si>
  <si>
    <t>Serratia virus IME250</t>
  </si>
  <si>
    <t>Serratia virus MAM1</t>
  </si>
  <si>
    <t>2015.025aB.A.v4.phagesp_ren.pdf</t>
  </si>
  <si>
    <t>2016.069a-wB.A.v5.Caudovirales_38sp.pdf</t>
  </si>
  <si>
    <t>2016.031a-rB.A.v2.Ounavirinae.pdf</t>
  </si>
  <si>
    <t>2016.076aB.A.v2.1genus13sp_ren.pdf</t>
  </si>
  <si>
    <t>2015.005a-gB.A.v3.Kayvirus.pdf</t>
  </si>
  <si>
    <t>2015.012a-dB.A.v2.P100virus.pdf</t>
  </si>
  <si>
    <t>2015.018a-dB.A.v2.Silviavirus.pdf</t>
  </si>
  <si>
    <t>2016.051a-dB.A.v1.Tsarbombavirus.pdf</t>
  </si>
  <si>
    <t>2015.020a-aeB.A.v4.Tevenvirinae.pdf</t>
  </si>
  <si>
    <t>2016.071a-dB.A.v1.Jd18virus.pdf</t>
  </si>
  <si>
    <t>2016.022a-dB.A.v1.Kp15virus.pdf</t>
  </si>
  <si>
    <t>2016.029a-dB.A.v1.Moonvirus.pdf</t>
  </si>
  <si>
    <t>2015.052aB.A.v3.Schizot4virus_sp.pdf</t>
  </si>
  <si>
    <t>2015.023a-oB.A.v2.Vequintavirinae.pdf</t>
  </si>
  <si>
    <t>2016.002a-dB.A.v1.Abouovirus.pdf</t>
  </si>
  <si>
    <t>2015.032a-dB.A.v2.Agatevirus.pdf</t>
  </si>
  <si>
    <t>2016.066a-dB.A.v1.Agrican357virus.pdf</t>
  </si>
  <si>
    <t>2015.043a-dB.A.v2.Ap22virus.pdf</t>
  </si>
  <si>
    <t>2016.004a-dB.A.v1.Arv1virus.pdf</t>
  </si>
  <si>
    <t>2015.033a-dB.A.v2.B4virus.pdf</t>
  </si>
  <si>
    <t>2015.034a-dB.A.v2.Bastillevirus.pdf</t>
  </si>
  <si>
    <t>2015.035a-dB.A.v2.Bc431virus.pdf</t>
  </si>
  <si>
    <t>2016.008aB.A.v3.Bxz1virus_6sp.pdf</t>
  </si>
  <si>
    <t>2015.036a-dBA.v2.Cp51virus.pdf</t>
  </si>
  <si>
    <t>2015.049a-dB.A.v2.Cvm10virus.pdf</t>
  </si>
  <si>
    <t>Eah2virus</t>
  </si>
  <si>
    <t>Erwinia virus Asesino</t>
  </si>
  <si>
    <t>2017.021B.A.v1.Eah2virus.zip</t>
  </si>
  <si>
    <t>Erwinia virus EaH2</t>
  </si>
  <si>
    <t>2016.038a-gB.A.v1.Elvirus.pdf</t>
  </si>
  <si>
    <t>2016.019a-dB.A.v1.Jimmervirus.pdf</t>
  </si>
  <si>
    <t>2015.028a-dB.A.v2.Kpp10virus.pdf</t>
  </si>
  <si>
    <t>2016.025a-dB.A.v1.M12virus.pdf</t>
  </si>
  <si>
    <t>Machinavirus</t>
  </si>
  <si>
    <t>Erwinia virus Machina</t>
  </si>
  <si>
    <t>2017.024B.A.v1.Machinavirus.zip</t>
  </si>
  <si>
    <t>2016.026a-dB.A.v1.Marthavirus.pdf</t>
  </si>
  <si>
    <t>2016.030a-dB.A.v1.Msw3virus.pdf</t>
  </si>
  <si>
    <t>2015.038a-dB.A.v3.Nit1virus.pdf</t>
  </si>
  <si>
    <t>2015.029a-dB.A.v2.Pakpunavirus.pdf</t>
  </si>
  <si>
    <t>2015.030aB.A.v3.Pbunalikevirus_5sp.pdf</t>
  </si>
  <si>
    <t>2015.045a-dB.A.v2.Rheph4virus.pdf</t>
  </si>
  <si>
    <t>2016.042a-dB.A.v1.Rsl2virus.pdf</t>
  </si>
  <si>
    <t>2016.043a-dB.A.v1.Rslunavirus.pdf</t>
  </si>
  <si>
    <t>2015.016a-dB.A.v3.Secunda5virus.pdf</t>
  </si>
  <si>
    <t>2016.060a-dB.A.v1.Sep1virus.pdf</t>
  </si>
  <si>
    <t>2016.047a-dB.A.v2.Spn3virus.pdf</t>
  </si>
  <si>
    <t>Svunavirus</t>
  </si>
  <si>
    <t>Bacillus virus 1</t>
  </si>
  <si>
    <t>2017.019B.A.v1.Svunavirus.zip</t>
  </si>
  <si>
    <t>Geobacillus virus GBSV1</t>
  </si>
  <si>
    <t>2015.022a-dB.A.v2.Tg1virus.pdf</t>
  </si>
  <si>
    <t>2015.024a-dB.A.v2.Vhmlvirus.pdf</t>
  </si>
  <si>
    <t>2016.055aB.A.v1.Wphvirus_3sp.pdf</t>
  </si>
  <si>
    <t>2015.041a-dB.A.v2.Wphvirus.pdf</t>
  </si>
  <si>
    <t>2016.013a-dB.A.v1.Fri1virus.pdf</t>
  </si>
  <si>
    <t>2016.023a-dB.A.v1.Kp32virus.pdf</t>
  </si>
  <si>
    <t>2015.007a-dB.A.v1.Kp34virus.pdf</t>
  </si>
  <si>
    <t>2016.079a-dB.A.v1.Pradovirus.pdf</t>
  </si>
  <si>
    <t>2016.009a-fB.A.v1Cp1virus.pdf</t>
  </si>
  <si>
    <t>2016.045a-oB.A.v1.Sepvirinae.pdf</t>
  </si>
  <si>
    <t>2015.001a-dB.A.v2.Cba41virus.pdf</t>
  </si>
  <si>
    <t>Dfl12virus</t>
  </si>
  <si>
    <t>Dinoroseobacter virus DFL12</t>
  </si>
  <si>
    <t>2017.017B.A.v1.Dfl12virus.zip</t>
  </si>
  <si>
    <t>2016.078a-dB.A.v1.Ea92virus.pdf</t>
  </si>
  <si>
    <t>2016.068aB.A.v2.Epsilon15virus_sp.pdf</t>
  </si>
  <si>
    <t>2015.050a-dB.A.v2.G7cvirus.pdf</t>
  </si>
  <si>
    <t>Jwalphavirus</t>
  </si>
  <si>
    <t>Achromobacter virus Axp3</t>
  </si>
  <si>
    <t>2017.022B.A.v2.Jwalphavirus.zip</t>
  </si>
  <si>
    <t>Achromobacter virus JWAlpha</t>
  </si>
  <si>
    <t>2016.021a-dB.A.v2.Kf1virus.pdf</t>
  </si>
  <si>
    <t>2016.057a-dB.A.v1.Kpp25virus.pdf</t>
  </si>
  <si>
    <t>2015.008a-dB.A.v3.Lit1virus.pdf</t>
  </si>
  <si>
    <t>2015.009aB.A.v3.Luz24virus_5sp.pdf</t>
  </si>
  <si>
    <t>2016.024a-dB.A.v2.Luz7virus.pdf</t>
  </si>
  <si>
    <t>2015.010a-dB.A.v2.Nonanavirus.pdf</t>
  </si>
  <si>
    <t>Salmonella virus BTP1</t>
  </si>
  <si>
    <t>2017.023B.A.v1.P22virus_sp.zip</t>
  </si>
  <si>
    <t>2015.039a-dB.A.v2.Pagevirus.pdf</t>
  </si>
  <si>
    <t>2015.014aB.A.v3.Phieco32virus_4sp.pdf</t>
  </si>
  <si>
    <t>2016.039a-dB.A.v2.Prtbvirus.pdf</t>
  </si>
  <si>
    <t>Sp58virus</t>
  </si>
  <si>
    <t>Escherichia virus Pollock</t>
  </si>
  <si>
    <t>2017.018B.A.v1.Sp58virus.zip</t>
  </si>
  <si>
    <t>Salmonella virus FSL SP-058</t>
  </si>
  <si>
    <t>Salmonella virus FSL SP-076</t>
  </si>
  <si>
    <t>2016.081a-dB.A.v1.Una961virus.pdf</t>
  </si>
  <si>
    <t>2015.031a-dB.A.v1.Vp5virus.pdf</t>
  </si>
  <si>
    <t>2016.077a-pB.A.v4.Arquatrovirinae.pdf</t>
  </si>
  <si>
    <t>2016.005a-yB.A.v2.Bclasvirinae.pdf</t>
  </si>
  <si>
    <t>Chebruvirinae</t>
  </si>
  <si>
    <t>Brujitavirus</t>
  </si>
  <si>
    <t>2017.004B.A.v1.Chebruvirinae.zip</t>
  </si>
  <si>
    <t>Mycobacterium virus Sbash</t>
  </si>
  <si>
    <t>Dclasvirinae</t>
  </si>
  <si>
    <t>Hawkeyevirus</t>
  </si>
  <si>
    <t>Mycobacterium virus Hawkeye</t>
  </si>
  <si>
    <t>2017.007B.A.v1.Dclasvirinae.zip</t>
  </si>
  <si>
    <t>Plotvirus</t>
  </si>
  <si>
    <t>Mycobacterium virus Plot</t>
  </si>
  <si>
    <t>2015.044a-nB.A.v1.Guernseyvirinae.pdf</t>
  </si>
  <si>
    <t>2015.006aB.A.v2.Phage_Genera_ren.pdf</t>
  </si>
  <si>
    <t>Mccleskeyvirinae</t>
  </si>
  <si>
    <t>Lmd1virus</t>
  </si>
  <si>
    <t>Leuconostoc virus Lmd1</t>
  </si>
  <si>
    <t>2017.009B.A.v1.Mccleskeyvirinae.zip</t>
  </si>
  <si>
    <t>Leuconostoc virus LN03</t>
  </si>
  <si>
    <t>Leuconostoc virus LN04</t>
  </si>
  <si>
    <t>Leuconostoc virus LN12</t>
  </si>
  <si>
    <t>Leuconostoc virus LN6B</t>
  </si>
  <si>
    <t>Leuconostoc virus P793</t>
  </si>
  <si>
    <t>Una4virus</t>
  </si>
  <si>
    <t>Leuconostoc virus 1A4</t>
  </si>
  <si>
    <t>Leuconostoc virus Ln8</t>
  </si>
  <si>
    <t>Leuconostoc virus Ln9</t>
  </si>
  <si>
    <t>Leuconostoc virus LN25</t>
  </si>
  <si>
    <t>Leuconostoc virus LN34</t>
  </si>
  <si>
    <t>Leuconostoc virus LNTR3</t>
  </si>
  <si>
    <t>2016.028a-jB.A.v2.Mclasvirinae.pdf</t>
  </si>
  <si>
    <t>Nclasvirinae</t>
  </si>
  <si>
    <t>Buttersvirus</t>
  </si>
  <si>
    <t>Mycobacterium virus Butters</t>
  </si>
  <si>
    <t>2017.010B.A.v2.Nclasvirinae.zip</t>
  </si>
  <si>
    <t>Mycobacterium virus Michelle</t>
  </si>
  <si>
    <t>Mycobacterium virus Pipsqueaks</t>
  </si>
  <si>
    <t>Mycobacterium virus Xeno</t>
  </si>
  <si>
    <t>Redivirus</t>
  </si>
  <si>
    <t>Mycobacterium virus Panchino</t>
  </si>
  <si>
    <t>Mycobacterium virus Phrann</t>
  </si>
  <si>
    <t>Mycobacterium virus Skinnyp</t>
  </si>
  <si>
    <t>Nymbaxtervirinae</t>
  </si>
  <si>
    <t>Baxtervirus</t>
  </si>
  <si>
    <t>Gordonia virus BaxterFox</t>
  </si>
  <si>
    <t>2017.011B.A.v1.Nymbaxtervirinae.zip</t>
  </si>
  <si>
    <t>Gordonia virus Yeezy</t>
  </si>
  <si>
    <t>Nymphadoravirus</t>
  </si>
  <si>
    <t>Gordonia virus Kita</t>
  </si>
  <si>
    <t>Gordonia virus Zirinka</t>
  </si>
  <si>
    <t>Gorrdonia virus Nymphadora</t>
  </si>
  <si>
    <t>2016.037a-mB.A.v1.Pclasvirinae.pdf</t>
  </si>
  <si>
    <t>2015.019a-abB.A.v3.Tunavirinae.pdf</t>
  </si>
  <si>
    <t>2016.001a-dB.A.v1.Ab18virus.pdf</t>
  </si>
  <si>
    <t>2016.003a-dB.A.v1.Amigovirus.pdf</t>
  </si>
  <si>
    <t>Anatolevirus</t>
  </si>
  <si>
    <t>Propionibacterium virus Anatole</t>
  </si>
  <si>
    <t>2017.003B.A.v1.Anetolevirus.zip</t>
  </si>
  <si>
    <t>Propionibacterium virus B3</t>
  </si>
  <si>
    <t>Attisvirus</t>
  </si>
  <si>
    <t>Gordonia virus Attis</t>
  </si>
  <si>
    <t>2017.005B.A.v1.Attisvirus.zip</t>
  </si>
  <si>
    <t>2016.007a-dB.A.v1.Bernal13virus.pdf</t>
  </si>
  <si>
    <t>2015.002a-dB.A.v2.Cba181virus.pdf</t>
  </si>
  <si>
    <t>2015.003a-dB.A.v2.Cbastvirus.pdf</t>
  </si>
  <si>
    <t>2016.056a-dB.A.v1.Cronusvirus.pdf</t>
  </si>
  <si>
    <t>2016.010a-dB.A.v1.Decurrovirus.pdf</t>
  </si>
  <si>
    <t>2016.011a-dB.A.v1.Demosthenesvirus.pdf</t>
  </si>
  <si>
    <t>Doucettevirus</t>
  </si>
  <si>
    <t>Propionibacterium virus B22</t>
  </si>
  <si>
    <t>2017.006B.A.v1.Doucettevirus.zip</t>
  </si>
  <si>
    <t>Propionibacterium virus Doucette</t>
  </si>
  <si>
    <t>Propionibacterium virus E6</t>
  </si>
  <si>
    <t>Propionibacterium virus G4</t>
  </si>
  <si>
    <t>2016.012a-dB.A.v1.Eiauvirus.pdf</t>
  </si>
  <si>
    <t>2015.004a-dB.A.v2.Ff47virus.pdf</t>
  </si>
  <si>
    <t>2016.014a-dB.A.v1.Gaiavirus.pdf</t>
  </si>
  <si>
    <t>2016.015a-dB.A.v1.Gilesvirus.pdf</t>
  </si>
  <si>
    <t>2016.070a-dB.A.v1.Gordonvirus.pdf</t>
  </si>
  <si>
    <t>2016.016a-dB.A.v1.Gordtnkvirus.pdf</t>
  </si>
  <si>
    <t>2016.017a-dB.A.v1.Harrisonvirus.pdf</t>
  </si>
  <si>
    <t>Hk97virus</t>
  </si>
  <si>
    <t>2017.008B.A.v1.Hk97virus.zip</t>
  </si>
  <si>
    <t>Escherichia virus HK75</t>
  </si>
  <si>
    <t>Escherichia virus HK106</t>
  </si>
  <si>
    <t>Escherichia virus HK446</t>
  </si>
  <si>
    <t>Escherichia virus HK542</t>
  </si>
  <si>
    <t>Escherichia virus HK544</t>
  </si>
  <si>
    <t>Escherichia virus HK633</t>
  </si>
  <si>
    <t>Escherichia virus mEp234</t>
  </si>
  <si>
    <t>Escherichia virus mEpX1</t>
  </si>
  <si>
    <t>Escherichia virus mEpX2</t>
  </si>
  <si>
    <t>2016.018a-dB.A.v1.Jenstvirus.pdf</t>
  </si>
  <si>
    <t>2016.020a-dB.A.v1.Jwxvirus.pdf</t>
  </si>
  <si>
    <t>2016.072a-dB.A.v1.Kelleziovirus.pdf</t>
  </si>
  <si>
    <t>2016.006a-dB.A.v2.Korravirus.pdf</t>
  </si>
  <si>
    <t>Escherichia virus DE3</t>
  </si>
  <si>
    <t>2017.028B.A.v1.Lambdavirus_3sp.zip</t>
  </si>
  <si>
    <t>Escherichia virus HK629</t>
  </si>
  <si>
    <t>Escherichia virus HK630</t>
  </si>
  <si>
    <t>2016.073a-dB.A.v2.Laroyevirus.pdf</t>
  </si>
  <si>
    <t>2016.027a-dB.A.v1.Marvinvirus.pdf</t>
  </si>
  <si>
    <t>2016.074a-dB.A.v1.Mudcatvirus.pdf</t>
  </si>
  <si>
    <t>2015.051a-dB.A.v2.Nonagvirus.pdf</t>
  </si>
  <si>
    <t>2016.058a-dB.A.v1.Np1virus.pdf</t>
  </si>
  <si>
    <t>2016.032a-dB.A.v1.P12002virus.pdf</t>
  </si>
  <si>
    <t>2016.033a-dB.A.v1.P12024virus.pdf</t>
  </si>
  <si>
    <t>2015.011a-dB.A.v2.P70virus.pdf</t>
  </si>
  <si>
    <t>2016.034a-dB.A.v1.Pa6virus.pdf</t>
  </si>
  <si>
    <t>2016.035a-dB.A.v1.Pamx74virus.pdf</t>
  </si>
  <si>
    <t>2016.036a-eB.A.v1.Patiencevirus.pdf</t>
  </si>
  <si>
    <t>2016.059a-dB.A.v1.Pepy6virus.pdf</t>
  </si>
  <si>
    <t>Pfr1virus</t>
  </si>
  <si>
    <t>Propionibacterium virus PFR1</t>
  </si>
  <si>
    <t>2017.027B.A.v1.Pfr1virus.zip</t>
  </si>
  <si>
    <t>2016.075a-dB.A.v1.Pis4avirus.pdf</t>
  </si>
  <si>
    <t>2015.015a-dB.A.v2.Psavirus.pdf</t>
  </si>
  <si>
    <t>2016.040a-dB.A.v3.Rdjlvirus.pdf</t>
  </si>
  <si>
    <t>2016.041a-fB.A.v3.Rer2virus.pdf</t>
  </si>
  <si>
    <t>2016.044a-dB.A.v1.Send513virus.pdf</t>
  </si>
  <si>
    <t>2015.054a-dB.A.v3.Septima3virus.pdf</t>
  </si>
  <si>
    <t>2015.053a-dB.A.v2.Seuratvirus.pdf</t>
  </si>
  <si>
    <t>2015.017a-dB.A.v3.Sextaecvirus.pdf</t>
  </si>
  <si>
    <t>2015.037a-dB.A.v3.Sitaravirus.pdf</t>
  </si>
  <si>
    <t>2015.040a-dB.A.v2.Slashvirus.pdf</t>
  </si>
  <si>
    <t>2016.046a-dB.A.v1.Smoothievirus.pdf</t>
  </si>
  <si>
    <t>2016.061a-dB.A.v1.Soupsvirus.pdf</t>
  </si>
  <si>
    <t>2015.048a-dB.A.v2.Ssp2virus.pdf</t>
  </si>
  <si>
    <t>2015.021a,bB.A.v2.T5virus_4sp1rem.pdf</t>
  </si>
  <si>
    <t>2016.048a-dB.A.v2.Tankvirus.pdf</t>
  </si>
  <si>
    <t>2016.049a-dB.A.v1.Tin2virus.pdf</t>
  </si>
  <si>
    <t>2016.050a-dB.A.v1.Titanvirus.pdf</t>
  </si>
  <si>
    <t>Tp84virus</t>
  </si>
  <si>
    <t>Geobacillus virus Tp84</t>
  </si>
  <si>
    <t>2017.020B.A.v1.Tp84virus.zip</t>
  </si>
  <si>
    <t>Trigintaduovirus</t>
  </si>
  <si>
    <t>Mycobacterium virus 32HC</t>
  </si>
  <si>
    <t>2017.026B.A.v2.Trigintaduovirus.zip</t>
  </si>
  <si>
    <t>2016.052a-dB.A.v1.Vegasvirus.pdf</t>
  </si>
  <si>
    <t>2016.062a-dB.A.v1.Vendettavirus.pdf</t>
  </si>
  <si>
    <t>2016.053a-dB.A.v1.Wildcatvirus.pdf</t>
  </si>
  <si>
    <t>Wizardvirus</t>
  </si>
  <si>
    <t>Gordonia virus Twister6</t>
  </si>
  <si>
    <t>2017.012B.A.v1.Wizardvirus.zip</t>
  </si>
  <si>
    <t>Gordonia virus Wizard</t>
  </si>
  <si>
    <t>2016.054a-dB.A.v1.Woesvirus.pdf</t>
  </si>
  <si>
    <t>2016.065a-dB.A.v1.Ydn12virus.pdf</t>
  </si>
  <si>
    <t>2008.018-022V.v1.Batrachovirus.pdf</t>
  </si>
  <si>
    <t>Ranid herpesvirus 3</t>
  </si>
  <si>
    <t>2017.012D.A.v1.Batrachovirus_sp.zip</t>
  </si>
  <si>
    <t>2010.015aV.A.v1.Cyprinivirus-sp.pdf</t>
  </si>
  <si>
    <t>2008.023-027V.v1.Cyprinivirus.pdf</t>
  </si>
  <si>
    <t>2009.016aV.v3.Ictalurivirus-2Sp.pdf</t>
  </si>
  <si>
    <t>2005.020-72.04.Herpes.pdf</t>
  </si>
  <si>
    <t>2008.028-032V.v2.Salmonivirus.pdf</t>
  </si>
  <si>
    <t>2015.010aD.A.v2.Herpesvirales_spren.pdf</t>
  </si>
  <si>
    <t>2015.006aD.A.v2.Simplexvirus_sp.pdf</t>
  </si>
  <si>
    <t>2011.022a-dV.A.v1.Aurivirus.pdf</t>
  </si>
  <si>
    <t>2011.008a-cB.A.v2.Ligamenvirales.pdf</t>
  </si>
  <si>
    <t>Carbovirus</t>
  </si>
  <si>
    <t>Queensland carbovirus</t>
  </si>
  <si>
    <t>Southwest carbovirus</t>
  </si>
  <si>
    <t>Orthobornavirus</t>
  </si>
  <si>
    <t>Elapid 1 orthobornavirus</t>
  </si>
  <si>
    <t>Mammalian 1 orthobornavirus</t>
  </si>
  <si>
    <t>Mammalian 2 orthobornavirus</t>
  </si>
  <si>
    <t>Passeriform 1 orthobornavirus</t>
  </si>
  <si>
    <t>Passeriform 2 orthobornavirus</t>
  </si>
  <si>
    <t>Psittaciform 1 orthobornavirus</t>
  </si>
  <si>
    <t>Psittaciform 2 orthobornavirus</t>
  </si>
  <si>
    <t>Waterbird 1 orthobornavirus</t>
  </si>
  <si>
    <t>Tai Forest ebolavirus</t>
  </si>
  <si>
    <t>2017.001G.A.v2.43spren.zip</t>
  </si>
  <si>
    <t>Avian avulavirus 14</t>
  </si>
  <si>
    <t>Avian avulavirus 15</t>
  </si>
  <si>
    <t>Avian avulavirus 16</t>
  </si>
  <si>
    <t>Avian avulavirus 17</t>
  </si>
  <si>
    <t>Avian avulavirus 18</t>
  </si>
  <si>
    <t>Avian avulavirus 19</t>
  </si>
  <si>
    <t>Kanyawara ledantevirus</t>
  </si>
  <si>
    <t>ICTV 7th Report.pdf</t>
  </si>
  <si>
    <t>Gannoruwa bat lyssavirus</t>
  </si>
  <si>
    <t>Lleida bat lyssavirus</t>
  </si>
  <si>
    <t>Beatrice Hill tibrovirus</t>
  </si>
  <si>
    <t>Ratification_2002a.pdf</t>
  </si>
  <si>
    <t>Ortervirales</t>
  </si>
  <si>
    <t>Belpaoviridae</t>
  </si>
  <si>
    <t>2017.001D.A.v1.Belpaoviridae.zip</t>
  </si>
  <si>
    <t>Antheraea semotivirus Tamy</t>
  </si>
  <si>
    <t>Drosophila semotivirus Max</t>
  </si>
  <si>
    <t>Schistosoma semotivirus Sinbad</t>
  </si>
  <si>
    <t>Takifugu rubripes Suzu virus</t>
  </si>
  <si>
    <t>2017.013D.A.v1.Ortervirales.zip</t>
  </si>
  <si>
    <t>Cacao mild mosaic virus</t>
  </si>
  <si>
    <t>2017.017P.A.v2.Badnavirus_6sp.zip</t>
  </si>
  <si>
    <t>Cacao yellow vein banding virus</t>
  </si>
  <si>
    <t>Dioscorea bacilliform RT virus 1</t>
  </si>
  <si>
    <t>Dioscorea bacilliform RT virus 2</t>
  </si>
  <si>
    <t>Dioscorea bacilliform TR virus</t>
  </si>
  <si>
    <t>Kalanchoe top-spotting virus</t>
  </si>
  <si>
    <t>Wisteria badnavirus 1</t>
  </si>
  <si>
    <t>Drosophila melanogaster 17-6 virus</t>
  </si>
  <si>
    <t xml:space="preserve">Proposal for Last Change </t>
  </si>
  <si>
    <t>Triticum aestivum WIS2 virus</t>
  </si>
  <si>
    <t>Zea mays Sto4 virus</t>
  </si>
  <si>
    <t>Zea mays Opie2 virus</t>
  </si>
  <si>
    <t>Zea mays Prem2 virus</t>
  </si>
  <si>
    <t>Visna-maedi virus</t>
  </si>
  <si>
    <t>Bovispumavirus</t>
  </si>
  <si>
    <t>2017.006D.A.v2.Spumaretrovirinae_4gen.zip</t>
  </si>
  <si>
    <t>Equispumavirus</t>
  </si>
  <si>
    <t>Felispumavirus</t>
  </si>
  <si>
    <t>Puma feline foamy virus</t>
  </si>
  <si>
    <t>Prosimiispumavirus</t>
  </si>
  <si>
    <t>Brown greater galago prosimian foamy virus</t>
  </si>
  <si>
    <t>Simiispumavirus</t>
  </si>
  <si>
    <t>Bornean orangutan simian foamy virus</t>
  </si>
  <si>
    <t>Central cimpanzee simian foamy virus</t>
  </si>
  <si>
    <t>Eastern chimpanzee simian foamy virus</t>
  </si>
  <si>
    <t>Grivet simian foamy virus</t>
  </si>
  <si>
    <t>Guenon simian foamy virus</t>
  </si>
  <si>
    <t>Japanese macaque simian foamy virus</t>
  </si>
  <si>
    <t>Rhesus macaque simian foamy virus</t>
  </si>
  <si>
    <t>Spider monkey simian foamy virus</t>
  </si>
  <si>
    <t>Squirrel monkey simian foamy virus</t>
  </si>
  <si>
    <t>Taiwanese macaque simian foamy virus</t>
  </si>
  <si>
    <t>Western chimpanzee simian foamy virus</t>
  </si>
  <si>
    <t>Western lowland gorilla simian foamy virus</t>
  </si>
  <si>
    <t>White-tufted-ear marmoset simian foamy virus</t>
  </si>
  <si>
    <t>Yellow-breasted capuchin simian foamy virus</t>
  </si>
  <si>
    <t>2008.001-004,6I.A.v3.Aparavirus.pdf</t>
  </si>
  <si>
    <t>2011.004aI.A.v1.Aparavirus-Sp.pdf</t>
  </si>
  <si>
    <t>Solenopsis invicta virus 1</t>
  </si>
  <si>
    <t>2005.200-2G.04.Picornavirales.pdf</t>
  </si>
  <si>
    <t>2015.006a-eS.A.v3.Triatovirus.pdf</t>
  </si>
  <si>
    <t>Homalodisca coagulata virus 1</t>
  </si>
  <si>
    <t>2015.009aS.A.v2.Iflavirus_sp.pdf</t>
  </si>
  <si>
    <t>2016.003aS.A.v2.Iflavirus_sp.pdf</t>
  </si>
  <si>
    <t>2005.120I.04.Ifla.pdf</t>
  </si>
  <si>
    <t>2015.010aS.A.v2.Iflavirus_sp.pdf</t>
  </si>
  <si>
    <t>2006.029-31I.04.Iflaviridae.pdf</t>
  </si>
  <si>
    <t>2013.001aI.A.v2.Iflavirus_2sp.pdf</t>
  </si>
  <si>
    <t>2015.011aS.A.v2.Iflavirus_sp.pdf</t>
  </si>
  <si>
    <t>2011.005aI.A.v1.Iflavirus-Sp.pdf</t>
  </si>
  <si>
    <t>2015.012aS.A.v2.Iflavirus_sp.pdf</t>
  </si>
  <si>
    <t>2015.013aS.A.v2.Iflavirus_sp.pdf</t>
  </si>
  <si>
    <t>Varroa destructor virus 1</t>
  </si>
  <si>
    <t>Aalivirus</t>
  </si>
  <si>
    <t>Aalivirus A</t>
  </si>
  <si>
    <t>2017.002S.A.v1.Aalivirus.zip</t>
  </si>
  <si>
    <t>2016.007a-dS.A.v1.Ampivirus.pdf</t>
  </si>
  <si>
    <t>2011.016aV.A.v2.Aphthovirus-Sp.pdf</t>
  </si>
  <si>
    <t>2008.083V.BRBV-Sp.pdf</t>
  </si>
  <si>
    <t>2014.016aV.A.v1.Picornaviridae_spren.pdf</t>
  </si>
  <si>
    <t>2011.015a-dV.A.v1.Aquamavirus.pdf</t>
  </si>
  <si>
    <t>2013.009a-dV.A.v1.Avisivirus.pdf</t>
  </si>
  <si>
    <t>2016.002aS.A.v1.Avisivirus_2sp.pdf</t>
  </si>
  <si>
    <t>Bopivirus</t>
  </si>
  <si>
    <t>Bopivirus A</t>
  </si>
  <si>
    <t>2017.003S.A.v1.Bopivirus.zip</t>
  </si>
  <si>
    <t>2014.014aV.A.v2.Cardiovirus_sp.pdf</t>
  </si>
  <si>
    <t>2011.017a-dV.A.v1.Cosavirus.pdf</t>
  </si>
  <si>
    <t>2016.004aS.A.v1.Cosavirus_4sp.pdf</t>
  </si>
  <si>
    <t>Crohivirus</t>
  </si>
  <si>
    <t>Crohivirus A</t>
  </si>
  <si>
    <t>2017.004S.A.v2.Crohivirus.zip</t>
  </si>
  <si>
    <t>Crohivirus B</t>
  </si>
  <si>
    <t>2012.013a-dV.A.v1.Dicipivirus.pdf</t>
  </si>
  <si>
    <t>2011.018a,bV.A.v2.Enterovirus-Sp,Ren.pdf</t>
  </si>
  <si>
    <t>2016.005aS.A.v1.Enterovirus_sp.pdf</t>
  </si>
  <si>
    <t>Enterovirus K</t>
  </si>
  <si>
    <t>2017.005S.A.v1.Enterovirus_2sp.zip</t>
  </si>
  <si>
    <t>Enterovirus L</t>
  </si>
  <si>
    <t>2013.007a-dV.A.v1.Gallivirus.pdf</t>
  </si>
  <si>
    <t>2016.008a-dS.A.v1.Harkavirus.pdf</t>
  </si>
  <si>
    <t>2016.009aS.A.v2.Hepatovirus_8sp.pdf</t>
  </si>
  <si>
    <t>2013.008a-dV.A.v2.Hunnivirus.pdf</t>
  </si>
  <si>
    <t>2012.014aV.A.v1.Kobuvirus-Sp,Ren.pdf</t>
  </si>
  <si>
    <t>2011.020aV.A.v2.Kobuvirus-Sp.pdf</t>
  </si>
  <si>
    <t>2016.001aS.A.v2.Kobuvirus_3sp.pdf</t>
  </si>
  <si>
    <t>2014.015a-dV.A.v3.Kunsagivirus.pdf</t>
  </si>
  <si>
    <t>Kunsagivirus B</t>
  </si>
  <si>
    <t>2017.006S.A.v2.Kunsagivirus_2sp.zip</t>
  </si>
  <si>
    <t>Kunsagivirus C</t>
  </si>
  <si>
    <t>2015.007a-dS.A.v4.Limnipivirus.pdf</t>
  </si>
  <si>
    <t>Megrivirus A</t>
  </si>
  <si>
    <t>2017.007S.A.v2.Megrivirus_4sp.zip</t>
  </si>
  <si>
    <t>Megrivirus B</t>
  </si>
  <si>
    <t>Megrivirus C</t>
  </si>
  <si>
    <t>Megrivirus D</t>
  </si>
  <si>
    <t>Megrivirus E</t>
  </si>
  <si>
    <t>2013.010a-dV.A.v1.Mischivirus.pdf</t>
  </si>
  <si>
    <t>2016.012aS.A.v2.Mischivirus_2sp.pdf</t>
  </si>
  <si>
    <t>2013.011a-dV.A.v1.Mosavirus.pdf</t>
  </si>
  <si>
    <t>Orivirus</t>
  </si>
  <si>
    <t>Orivirus A</t>
  </si>
  <si>
    <t>2017.008S.A.v1.Orivirus.zip</t>
  </si>
  <si>
    <t>2013.012a-dV.A.v2.Oscivirus.pdf</t>
  </si>
  <si>
    <t>2016.014aS.A.v2.Parechovirus_2sp.pdf</t>
  </si>
  <si>
    <t>2013.013a-dV.A.v1.Pasivirus.pdf</t>
  </si>
  <si>
    <t>2013.015a-dV.A.v2.Passerivirus.pdf</t>
  </si>
  <si>
    <t>2015.008a-dS.A.v4.Potamipivirus.pdf</t>
  </si>
  <si>
    <t>2016.015a-dS.A.v1.Rabovirus.pdf</t>
  </si>
  <si>
    <t>2013.014a-dV.A.v1.Rosavirus.pdf</t>
  </si>
  <si>
    <t>2014.017a-dV.A.v3.Sakobuvirus.pdf</t>
  </si>
  <si>
    <t>2011.021a-dV.A.v1.Salivirus.pdf</t>
  </si>
  <si>
    <t>2007.103-6V.v3.Sapelovirus.pdf</t>
  </si>
  <si>
    <t>Shanbavirus</t>
  </si>
  <si>
    <t>Shanbavirus A</t>
  </si>
  <si>
    <t>2017.009S.A.v1.Shanbavirus.zip</t>
  </si>
  <si>
    <t>2014.018a-dV.A.v3.Sicinivirus.pdf</t>
  </si>
  <si>
    <t>2016.018a-dS.A.v1.Torchivirus.pdf</t>
  </si>
  <si>
    <t>Polycipiviridae</t>
  </si>
  <si>
    <t>Chipolycivirus</t>
  </si>
  <si>
    <t>Chironomus riparius virus 1</t>
  </si>
  <si>
    <t>2017.011S.A.v2.Polycipiviridae.zip</t>
  </si>
  <si>
    <t>Hubei chipolycivirus</t>
  </si>
  <si>
    <t>Hupolycivirus</t>
  </si>
  <si>
    <t>Hubei hupolycivirus</t>
  </si>
  <si>
    <t>Sopolycivirus</t>
  </si>
  <si>
    <t>Formica exsecta virus 3</t>
  </si>
  <si>
    <t>Lasius neglectus virus 1</t>
  </si>
  <si>
    <t>Lasius neglectus virus 2</t>
  </si>
  <si>
    <t>Lasius niger virus 1</t>
  </si>
  <si>
    <t>Linepithema humile virus 2</t>
  </si>
  <si>
    <t>Monomorium pharaonis virus 1</t>
  </si>
  <si>
    <t>Monomorium pharaonis virus 2</t>
  </si>
  <si>
    <t>Myrmica scabrinodis virus 1</t>
  </si>
  <si>
    <t>Shuangao insect virus 8</t>
  </si>
  <si>
    <t>Solenopsis invicta virus 2</t>
  </si>
  <si>
    <t>Solenopsis invicta virus 4</t>
  </si>
  <si>
    <t>2007.060-2P.Comovirinae.pdf</t>
  </si>
  <si>
    <t>2012.006aP.A.v2.Fabavirus-sp.pdf</t>
  </si>
  <si>
    <t>Grapevine fabavirus</t>
  </si>
  <si>
    <t>2017.005P.A.v2.Secoviridae_5sp.zip</t>
  </si>
  <si>
    <t>Prunus virus F</t>
  </si>
  <si>
    <t>2015.005aP.A.v3.Nepovirus_2sp.pdf</t>
  </si>
  <si>
    <t>2012.005aP.A.v1.Nepovirus-sp.pdf</t>
  </si>
  <si>
    <t>2011.003aP.A.v1.Nepovirus_1sp.pdf</t>
  </si>
  <si>
    <t>Potato virus B</t>
  </si>
  <si>
    <t>Soybean latent spherical virus</t>
  </si>
  <si>
    <t>2007.057-9P.Secoviridae.pdf</t>
  </si>
  <si>
    <t>2013.004aP.A.v1.Cheravirus_sp.pdf</t>
  </si>
  <si>
    <t>2016.003aP.A.v2.Cheravirus_sp.pdf</t>
  </si>
  <si>
    <t>2009.007a-hP.v2.Secoviridae_changes.pdf</t>
  </si>
  <si>
    <t>2015.006aP.A.v2.Torradovirus_2sp.pdf</t>
  </si>
  <si>
    <t>2014.004aP.A.v2.Torradovirus_sp.pdf</t>
  </si>
  <si>
    <t>2016.004a-cP.A.v3.Secoviridae_3sp.pdf</t>
  </si>
  <si>
    <t>2007.039-42P.v2.Torradovirus.pdf</t>
  </si>
  <si>
    <t>Dioscorea mosaic associated virus</t>
  </si>
  <si>
    <t>Chaetoceros socialis forma radians RNA virus 1</t>
  </si>
  <si>
    <t>2009.015a-kP.A.v6.Bacillarnavirus.pdf</t>
  </si>
  <si>
    <t>2009.012a-fP.A.v6.Labyrnavirus.pdf</t>
  </si>
  <si>
    <t>Alfalfa virus S</t>
  </si>
  <si>
    <t>2017.021P.A.v3.Alpha-Betaflexiviridae_14sp.zip</t>
  </si>
  <si>
    <t>Arachis pintoi virus</t>
  </si>
  <si>
    <t>2007.018-20P.v2.Alphaflexiviridae.pdf</t>
  </si>
  <si>
    <t>Vanilla latent virus</t>
  </si>
  <si>
    <t>2007.014-017P.Botrexvirus.pdf</t>
  </si>
  <si>
    <t>2008.008-011bP.v3.Lolavirus.pdf</t>
  </si>
  <si>
    <t>2013.003aP.A.v1.Mandarivirus_sp.pdf</t>
  </si>
  <si>
    <t>2015.012a-dP.A.v4.Platypuvirus.pdf</t>
  </si>
  <si>
    <t>Actinidia virus X</t>
  </si>
  <si>
    <t>2012.017a,bP.A.v2.Alphaflexiviridae-3sp.pdf</t>
  </si>
  <si>
    <t>2009.005a,bP.v1.Potexvirus-Sp.pdf</t>
  </si>
  <si>
    <t>2008.006P.v2.Potexvirus-2Sp.pdf</t>
  </si>
  <si>
    <t>Pitaya virus X</t>
  </si>
  <si>
    <t>Vanilla virus X</t>
  </si>
  <si>
    <t>2015.013aP.A.v3.Potexvirus_sp.pdf</t>
  </si>
  <si>
    <t>2007.010-013P.Sclerodarnavirus.pdf</t>
  </si>
  <si>
    <t>2015.011a-adP.A.v2.Betaflexiviridae_rev.pdf</t>
  </si>
  <si>
    <t>Atractylodes mottle virus</t>
  </si>
  <si>
    <t>Kalanchoe latent virus</t>
  </si>
  <si>
    <t>Ligustrum virus A</t>
  </si>
  <si>
    <t>Sambucus virus C</t>
  </si>
  <si>
    <t>Sambucus virus D</t>
  </si>
  <si>
    <t>Sambucus virus E</t>
  </si>
  <si>
    <t>Sint-Jan onion latent virus</t>
  </si>
  <si>
    <t>Yam latent virus</t>
  </si>
  <si>
    <t>Asian prunus virus 2</t>
  </si>
  <si>
    <t>Arracacha virus V</t>
  </si>
  <si>
    <t>Deltaflexiviridae</t>
  </si>
  <si>
    <t>Deltaflexivirus</t>
  </si>
  <si>
    <t>Fusarium deltaflexivirus 1</t>
  </si>
  <si>
    <t>2017.020P.A.v1.Deltaflexiviridae.zip</t>
  </si>
  <si>
    <t>Sclerotinia deltaflexivirus 1</t>
  </si>
  <si>
    <t>Soybean-associated deltaflexivirus 1</t>
  </si>
  <si>
    <t>2007.006-009P.Mycoflexivirus.pdf</t>
  </si>
  <si>
    <t>2007.027a-fP.v2.Tymovirales.pdf</t>
  </si>
  <si>
    <t>2010.007aP.A.v1.Marafivirus-sp_BlVS.pdf</t>
  </si>
  <si>
    <t>Grapevine asteroid mosaic associated virus</t>
  </si>
  <si>
    <t>2017.019P.A.v1.Marafivirus_2sp.zip</t>
  </si>
  <si>
    <t>2010.008aP.A.v1.Marafivirus-sp_GSyV-1.pdf</t>
  </si>
  <si>
    <t>2016.022a,bP.A.v1.Tymoviridae_2sp.pdf</t>
  </si>
  <si>
    <t>2011.014aP.A.v1.Marafivirus_1sp.pdf</t>
  </si>
  <si>
    <t>Peach marafivirus D</t>
  </si>
  <si>
    <t>2013.013aP.A.v2.Tymovirus_sp.pdf</t>
  </si>
  <si>
    <t>2010.019aP.A.v1.Tymovirus_1sp.pdf</t>
  </si>
  <si>
    <t>2010.006aP.A.v2.Tymoviridae-sp.pdf</t>
  </si>
  <si>
    <t>2010.012aP.A.v1.Tymoviridae-sp.pdf</t>
  </si>
  <si>
    <t>2013.003aV.A.v1.Adenoviridae_spren.pdf</t>
  </si>
  <si>
    <t>Deer atadenovirus A</t>
  </si>
  <si>
    <t>2017.016D.A.v1.Adenoviridae_4sp.zip</t>
  </si>
  <si>
    <t>2016.002aD.A.v1.Atadenovirus_2sp.pdf</t>
  </si>
  <si>
    <t>2015.005aD.A.v2.Aviadenovirus_4sp.pdf</t>
  </si>
  <si>
    <t>Pigeon aviadenovirus B</t>
  </si>
  <si>
    <t>2017.014D.A.v1.Adenoviridae_8sp.zip</t>
  </si>
  <si>
    <t>Psittacine aviadenovirus B</t>
  </si>
  <si>
    <t>Bat mastadenovirus C</t>
  </si>
  <si>
    <t>Bat mastadenovirus D</t>
  </si>
  <si>
    <t>Bat mastadenovirus E</t>
  </si>
  <si>
    <t>Bat mastadenovirus F</t>
  </si>
  <si>
    <t>Bat mastadenovirus G</t>
  </si>
  <si>
    <t>Deer mastadenovirus B</t>
  </si>
  <si>
    <t>2016.010aD.A.v1.Mastadenovirus_9sp.pdf</t>
  </si>
  <si>
    <t>Dolphin mastadenovirus B</t>
  </si>
  <si>
    <t>2015.012aD.A.v2.Mastadenovirus_2sp.pdf</t>
  </si>
  <si>
    <t>Simian mastadenovirus I</t>
  </si>
  <si>
    <t>Squirrel mastadenovirus A</t>
  </si>
  <si>
    <t>2016.012aD.A.v1.Siadenovirus_sp.pdf</t>
  </si>
  <si>
    <t>Alphasatellitidae</t>
  </si>
  <si>
    <t>Geminialphasatellitinae</t>
  </si>
  <si>
    <t>Ageyesisatellite</t>
  </si>
  <si>
    <t>Ageratum yellow vein Singapore alphasatellite</t>
  </si>
  <si>
    <t>2017.004P.A.v4.Alphasatellitidae.zip</t>
  </si>
  <si>
    <t>Cotton leaf curl Saudi Arabia alphasatellite</t>
  </si>
  <si>
    <t>Clecrusatellite</t>
  </si>
  <si>
    <t>Cleome leaf crumple alphasatellite</t>
  </si>
  <si>
    <t>Croton yellow vein mosaic alphasatellite</t>
  </si>
  <si>
    <t>Euphorbia yellow mosaic alphasatellite</t>
  </si>
  <si>
    <t>Melon chlorotic mosaic alphasatellite</t>
  </si>
  <si>
    <t>Sida Cuba alphasatellite</t>
  </si>
  <si>
    <t>Tomato yellow spot alphasatellite</t>
  </si>
  <si>
    <t>Whitefly associated Guatemala alphasatellite 2</t>
  </si>
  <si>
    <t>Whitefly associated Puerto Rico alphasatellite 1</t>
  </si>
  <si>
    <t>Colecusatellite</t>
  </si>
  <si>
    <t>Ageratum enation alphasatellite</t>
  </si>
  <si>
    <t>Ageratum yellow vein alphasatellite</t>
  </si>
  <si>
    <t>Ageratum yellow vein China alphasatellite</t>
  </si>
  <si>
    <t>Ageratum yellow vein India alphasatellite</t>
  </si>
  <si>
    <t>Bhendi yellow vein alphasatellite</t>
  </si>
  <si>
    <t>Cassava mosaic Madagascar alphasatellite</t>
  </si>
  <si>
    <t>Chilli leaf curl alphasatellite</t>
  </si>
  <si>
    <t>Cotton leaf curl Egypt alphasatellite</t>
  </si>
  <si>
    <t>Cotton leaf curl Gezira alphasatellite</t>
  </si>
  <si>
    <t>Cotton leaf curl Lucknow alphasatellite</t>
  </si>
  <si>
    <t>Cotton leaf curl Multan alphasatellite</t>
  </si>
  <si>
    <t>Gossypium darwinii symptomless alphasatellite</t>
  </si>
  <si>
    <t>Malvastrum yellow mosaic alphasatellite</t>
  </si>
  <si>
    <t>Malvastrum yellow mosaic Cameroon alphasatellite</t>
  </si>
  <si>
    <t>Pedilanthus leaf curl alphasatellite</t>
  </si>
  <si>
    <t>Sida leaf curl alphasatellite</t>
  </si>
  <si>
    <t>Sida yellow vein Vietnam alphasatellite</t>
  </si>
  <si>
    <t>Sunflower leaf curl Karnataka alphasatellite</t>
  </si>
  <si>
    <t>Synedrella leaf curl alphasatellite</t>
  </si>
  <si>
    <t>Tobacco curly shoot alphasatellite</t>
  </si>
  <si>
    <t>Tomato leaf curl Buea alphasatellite</t>
  </si>
  <si>
    <t>Tomato leaf curl Cameroon alphasatellite</t>
  </si>
  <si>
    <t>Tomato yellow leaf curl China alphasatellite</t>
  </si>
  <si>
    <t>Tomato yellow leaf curl Thailand alphasatellite</t>
  </si>
  <si>
    <t>Tomato yellow leaf curl Yunnan alphasatellite</t>
  </si>
  <si>
    <t>Gosmusatellite</t>
  </si>
  <si>
    <t>Gossypium mustelinum symptomless alphasatellite</t>
  </si>
  <si>
    <t>Hollyhock yellow vein alphasatellite</t>
  </si>
  <si>
    <t>Mesta yellow vein mosaic alphasatellite</t>
  </si>
  <si>
    <t>Okra enation leaf curl alphasatellite</t>
  </si>
  <si>
    <t>Okra yellow crinkle Cameroon alphasatellite</t>
  </si>
  <si>
    <t>Vernonia yellow vein Fujian alphasatellite</t>
  </si>
  <si>
    <t>Dragonfly associated alphasatellite</t>
  </si>
  <si>
    <t>Whitefly associated Guetamala alphasatellite 1</t>
  </si>
  <si>
    <t>Nanoalphasatellitinae</t>
  </si>
  <si>
    <t>Babusatellite</t>
  </si>
  <si>
    <t>Banana bunchy top alphasatellite 1</t>
  </si>
  <si>
    <t>Banana bunchy top alphasatellite 3</t>
  </si>
  <si>
    <t>Cardamom bushy dwarf alphasatellite</t>
  </si>
  <si>
    <t>Clostunsatellite</t>
  </si>
  <si>
    <t>Subterranean clover stunt alphasatellite 2</t>
  </si>
  <si>
    <t>Fabenesatellite</t>
  </si>
  <si>
    <t>Faba bean necrotic yellows alphasatellite 2</t>
  </si>
  <si>
    <t>Milvetsatellite</t>
  </si>
  <si>
    <t>Mivedwarsatellite</t>
  </si>
  <si>
    <t>Faba bean necrotic stunt alphasatellite</t>
  </si>
  <si>
    <t>Sophora yellow stunt alphasatellite 2</t>
  </si>
  <si>
    <t>Sophoyesatellite</t>
  </si>
  <si>
    <t>Sophora yellow stunt alphasatellite 3</t>
  </si>
  <si>
    <t>Subclovsatellite</t>
  </si>
  <si>
    <t>Faba bean necrotic yellows alphasatellite 1</t>
  </si>
  <si>
    <t>Sophora yellow stunt alphasatellit 1</t>
  </si>
  <si>
    <t>Subterranean clover stunt alphasatellite 1</t>
  </si>
  <si>
    <t>Coconut foliar decay alphasatellite</t>
  </si>
  <si>
    <t>2010.001a-qI.A.v4.Tetraviridae.pdf</t>
  </si>
  <si>
    <t>2009.016a-iP.A.v7.Alvernaviridae.pdf</t>
  </si>
  <si>
    <t>2013.005a-gP.A.v2.Amalgaviridae.pdf</t>
  </si>
  <si>
    <t>2005.084B.04.Ampullavirus.pdf</t>
  </si>
  <si>
    <t>2007.075a-xxV.v4.Anelloviridae.pdf</t>
  </si>
  <si>
    <t>2010.007aV.A.v2.Betatorquevirus-3sp.pdf</t>
  </si>
  <si>
    <t>2010.006aV.A.v2.Etatorquevirus-sp.pdf</t>
  </si>
  <si>
    <t>2010.008aV.A.v2.Gammatorquevirus-13sp.pdf</t>
  </si>
  <si>
    <t>2014.006f,gD.A.v3.Gyrovirus_move.pdf</t>
  </si>
  <si>
    <t>2011.002aV.A.v2.Anelloviridae_2Sp-ren.pdf</t>
  </si>
  <si>
    <t>2015.003a,bD.A.v1.Kappatorquevirus_sp,ren.pdf</t>
  </si>
  <si>
    <t>2010.004a-dV.A.v2.Lambdatorquevirus.pdf</t>
  </si>
  <si>
    <t>Hartmanivirus</t>
  </si>
  <si>
    <t>Haartman hartmanivirus</t>
  </si>
  <si>
    <t>Argentinian mammarenavirus</t>
  </si>
  <si>
    <t>Brazilian mammarenavirus</t>
  </si>
  <si>
    <t>Cali mammarenavirus</t>
  </si>
  <si>
    <t>Paraguayan mammarenavirus</t>
  </si>
  <si>
    <t>Ryukyu mammarenavirus</t>
  </si>
  <si>
    <t>Serra do Navio mammarenavirus </t>
  </si>
  <si>
    <t>Souris mammarenavirus</t>
  </si>
  <si>
    <t>California reptarenavirus</t>
  </si>
  <si>
    <t>Giessen reptarenavirus</t>
  </si>
  <si>
    <t>Golden reptarenavirus</t>
  </si>
  <si>
    <t>Ordinary reptarenavirus</t>
  </si>
  <si>
    <t>Rotterdam reptarenavirus</t>
  </si>
  <si>
    <t>2016.011aD.A.v1.Toursvirus_spren.pdf</t>
  </si>
  <si>
    <t>Ratification_1998.pdf</t>
  </si>
  <si>
    <t>Aspiviridae</t>
  </si>
  <si>
    <t>Blueberry mosaic associated ophiovirus</t>
  </si>
  <si>
    <t>Citrus psorosis ophiovirus</t>
  </si>
  <si>
    <t>Freesia sneak ophiovirus</t>
  </si>
  <si>
    <t>Lettuce ring necrosis ophiovirus</t>
  </si>
  <si>
    <t>Mirafiori lettuce big-vein ophiovirus</t>
  </si>
  <si>
    <t>Ranunculus white mottle ophiovirus</t>
  </si>
  <si>
    <t>Tulip mild mottle mosaic ophiovirus</t>
  </si>
  <si>
    <t>2010.017a-cV.A.v3.Avastrovirus.pdf</t>
  </si>
  <si>
    <t>2010.018a-cV.A.v4.Mamastrovirus.pdf</t>
  </si>
  <si>
    <t>2005.255-8P.04.Elaviroid.pdf</t>
  </si>
  <si>
    <t>Bacilladnaviridae</t>
  </si>
  <si>
    <t>Diatodnavirus</t>
  </si>
  <si>
    <t>Chaetoceros diatodnavirus 1</t>
  </si>
  <si>
    <t>2017.001F.A.v1.Bacilladnaviridae.zip</t>
  </si>
  <si>
    <t>Kieseladnavirus</t>
  </si>
  <si>
    <t>Avon-Heathcote Estuary associated kieseladnavirus</t>
  </si>
  <si>
    <t>Protobacilladnavirus</t>
  </si>
  <si>
    <t>Chaetoceros protobacilladnavirus 1</t>
  </si>
  <si>
    <t>Chaetoceros protobacilladnavirus 2</t>
  </si>
  <si>
    <t>Chaetoceros protobacilladnavirus 3</t>
  </si>
  <si>
    <t>Chaetoceros protobacilladnavirus 4</t>
  </si>
  <si>
    <t>Marine protobacilladnavirus 1</t>
  </si>
  <si>
    <t>Snail associated protobacilladnavirus 1</t>
  </si>
  <si>
    <t>Snail associated protobacilladnavirus 2</t>
  </si>
  <si>
    <t>2006.034-039I 04 Alphabaculovirus.pdf</t>
  </si>
  <si>
    <t>2015.002a,bD.A.v2.Alphabaculovirus_sp,ren.pdf</t>
  </si>
  <si>
    <t>2012.001aI.A.v2.Alphabaculovirus-8sp.pdf</t>
  </si>
  <si>
    <t>2016.001aD.A.v2.Alphabaculovirus_sp.pdf</t>
  </si>
  <si>
    <t>2016.004aD.A.v1.Alphabaculovirus_4sp.pdf</t>
  </si>
  <si>
    <t>2015.007aD.A.v2.Alphabaculovirus_sp.pdf</t>
  </si>
  <si>
    <t>2014.002aI.A.v1.Alphabaculovirus-sprem.pdf</t>
  </si>
  <si>
    <t>2015.016aD.A.v2.Alphabaculovirus_sp.pdf</t>
  </si>
  <si>
    <t>2006.033I 04 Betabaculovirus.pdf</t>
  </si>
  <si>
    <t>2015.001aD.A.v2.Betabaculovirus_sp.pdf</t>
  </si>
  <si>
    <t>2016.005aD.A.v1.Betabaculovirus_6sp.pdf</t>
  </si>
  <si>
    <t>Cnaphalocrocis medinalis granulovirus</t>
  </si>
  <si>
    <t>2017.008D.A.v1.Betabaculovirus_2sp1ren.zip</t>
  </si>
  <si>
    <t>2015.011aD.A.v2.Betabaculovirus_sp.pdf</t>
  </si>
  <si>
    <t>Mythimna unipuncta granulovirus A</t>
  </si>
  <si>
    <t>Mythimna unipuncta granulovirus B</t>
  </si>
  <si>
    <t>2015.013aD.A.v2.Betabaculovirus_sp.pdf</t>
  </si>
  <si>
    <t>2006.044-048I 04 Deltabaculovirus.pdf</t>
  </si>
  <si>
    <t>2006.040-043I 04 Gammabaculovirus.pdf</t>
  </si>
  <si>
    <t>Ratification_1993.pdf</t>
  </si>
  <si>
    <t>2013.011a-dP.A.v1.Benyviridae.pdf</t>
  </si>
  <si>
    <t>2007.086-89B.Bicaudavirus.pdf</t>
  </si>
  <si>
    <t>2010.021a-gV.A.v1.Bidnaviridae.pdf</t>
  </si>
  <si>
    <t>ICTV 8th Report.pdf</t>
  </si>
  <si>
    <t>2005.212-5V.04.Blosnavirus.pdf</t>
  </si>
  <si>
    <t>2013.009aP.A.v2.Anulavirus_sp.pdf</t>
  </si>
  <si>
    <t>2004.008-11P.04.Anula.pdf</t>
  </si>
  <si>
    <t>2010.004aP.A.v1.Cucumovirus-1sp.pdf</t>
  </si>
  <si>
    <t>Ageratum latent virus</t>
  </si>
  <si>
    <t>2017.013P.A.v2.Ilarvirus_3sp.zip</t>
  </si>
  <si>
    <t>ICTV 6th Report.pdf</t>
  </si>
  <si>
    <t>2010.005aP.A.v1.Ilarvirus-2sp.pdf</t>
  </si>
  <si>
    <t>2010.016aP.A.v1.Ilarvirus_1sp.pdf</t>
  </si>
  <si>
    <t>Privet ringspot virus</t>
  </si>
  <si>
    <t>Tomato necrotic streak virus</t>
  </si>
  <si>
    <t>Ratification_1997.pdf</t>
  </si>
  <si>
    <t>Newbury 1 virus</t>
  </si>
  <si>
    <t>2012.004aF.A.v2.Chrysovirus-5sp.pdf</t>
  </si>
  <si>
    <t>Penicillium cyaneofulvum virus</t>
  </si>
  <si>
    <t>2014.006a,hD.A.v6.Circovirus_11sp.pdf</t>
  </si>
  <si>
    <t>2016.007a,bD.A.v2.Circovirus_5sp,ren.pdf</t>
  </si>
  <si>
    <t>Bat associated circovirus 9</t>
  </si>
  <si>
    <t>2017.009D.A.v1.Circoviridae_4sp.zip</t>
  </si>
  <si>
    <t>2002.V022-025.Circoviridae.pdf</t>
  </si>
  <si>
    <t>2004.007V.04.Circo.pdf</t>
  </si>
  <si>
    <t>2007.081V.04.SpCircovirus.pdf</t>
  </si>
  <si>
    <t>Porcine circovirus 3</t>
  </si>
  <si>
    <t>2009.006a,bV.v1.Circovirus_Sp.pdf</t>
  </si>
  <si>
    <t>2016.008a,bD.A.v2.Cyclovirus_15sp,ren.pdf</t>
  </si>
  <si>
    <t>Human associated cyclovirus 12</t>
  </si>
  <si>
    <t>Mouse associated cyclovirus 1</t>
  </si>
  <si>
    <t>2010.002a-gB.A.v2.Clavaviridae.pdf</t>
  </si>
  <si>
    <t>2015.024a-cP.A.v2.Closteroviridae_5sp.pdf</t>
  </si>
  <si>
    <t>2012.002abP.A.v2.Ampelovirus_rev-sp.pdf</t>
  </si>
  <si>
    <t>Grapevine leafroll-associated virus 13</t>
  </si>
  <si>
    <t>2017.018P.A.v1.Ampelovirus_sp.zip</t>
  </si>
  <si>
    <t>2009.001a,bP.v1.Ampelovirus-Sp.pdf</t>
  </si>
  <si>
    <t>2008.012P.Ampelovirus-Sp.pdf</t>
  </si>
  <si>
    <t>Ratification_1996.pdf</t>
  </si>
  <si>
    <t>2006.002P.04.ClosteroMint.pdf</t>
  </si>
  <si>
    <t>2010.003aP.A.v1.Closterovirus-2sp.pdf</t>
  </si>
  <si>
    <t>2016.009a-dP.A.v2.Closteroviridae_5sp.pdf</t>
  </si>
  <si>
    <t>2008.013P.Crinivirus-Sp.pdf</t>
  </si>
  <si>
    <t>2007.005P.04.CriniSpBYVaV.pdf</t>
  </si>
  <si>
    <t>2012.009aP.A.v1.Crinivirus-sp.pdf</t>
  </si>
  <si>
    <t>2007.004P.04.CriniSpPYVV.pdf</t>
  </si>
  <si>
    <t>2006.006P.04.CriniSPaV.pdf</t>
  </si>
  <si>
    <t>2012.003aP.A.v1.Closteroviridae-5spres.pdf</t>
  </si>
  <si>
    <t>2006.004P.04.ClosteroMVBaV.pdf</t>
  </si>
  <si>
    <t>2012.001a-fP.A.v7.Velarivirus.pdf</t>
  </si>
  <si>
    <t>Pseudomonas virus phi8</t>
  </si>
  <si>
    <t>2017.016B.A.v1.Cystovirus_6sp.zip</t>
  </si>
  <si>
    <t>Pseudomonas virus phi12</t>
  </si>
  <si>
    <t>Pseudomonas virus phi13</t>
  </si>
  <si>
    <t>Pseudomonas virus phi2954</t>
  </si>
  <si>
    <t>Pseudomonas virus phiNN</t>
  </si>
  <si>
    <t>Pseudomonas virus phiYY</t>
  </si>
  <si>
    <t>2016.020a-gP.A.v4.Endornaviridae_rev.pdf</t>
  </si>
  <si>
    <t>2016.019a,bP.A.v4.Endornaviridae_10sp.pdf</t>
  </si>
  <si>
    <t>Winged bean alphaendornavirus 1</t>
  </si>
  <si>
    <t>2017.012P.A.v1.Endornaviridae_2sp.zip</t>
  </si>
  <si>
    <t>Botrytis cinerea betaendornavirus 1</t>
  </si>
  <si>
    <t>Ratification_1984.pdf</t>
  </si>
  <si>
    <t>ICTV 5th Report.pdf</t>
  </si>
  <si>
    <t>Saint Louis encephalitis virus</t>
  </si>
  <si>
    <t>2016.010a,bS.A.v2.Hepacivirus_13sp1ren.pdf</t>
  </si>
  <si>
    <t>2012.011a-dV.A.v2.Pegivirus.pdf</t>
  </si>
  <si>
    <t>2016.013aS.A.v1.Pegivirus_9sp.pdf</t>
  </si>
  <si>
    <t>Pestivirus A</t>
  </si>
  <si>
    <t>2017.010S.A.v1.Pestivirus_7sp4spren.zip</t>
  </si>
  <si>
    <t>Pestivirus B</t>
  </si>
  <si>
    <t>Pestivirus C</t>
  </si>
  <si>
    <t>Pestivirus D</t>
  </si>
  <si>
    <t>Pestivirus E</t>
  </si>
  <si>
    <t>Pestivirus F</t>
  </si>
  <si>
    <t>Pestivirus G</t>
  </si>
  <si>
    <t>Pestivirus H</t>
  </si>
  <si>
    <t>Pestivirus I</t>
  </si>
  <si>
    <t>Pestivirus J</t>
  </si>
  <si>
    <t>Pestivirus K</t>
  </si>
  <si>
    <t>2011.001a-fB.A.v3.Betafusellovirus.pdf</t>
  </si>
  <si>
    <t>2012.018a-pP.A.v4.Geminiviridae.pdf</t>
  </si>
  <si>
    <t>2015.015a,bP.A.v3.Begomovirus_sprem.pdf</t>
  </si>
  <si>
    <t>2013.015a,bP.A.v2.Begomovirus_100sp.pdf</t>
  </si>
  <si>
    <t>2002.P108-109.Geminiviridae.pdf</t>
  </si>
  <si>
    <t>2005.002P.04.Begomo.pdf</t>
  </si>
  <si>
    <t>2007.001P.04.GeminiSp43.pdf</t>
  </si>
  <si>
    <t>2007.002P.04.Remove6GeminiSp.pdf</t>
  </si>
  <si>
    <t>Allamanda leaf mottle distortion virus</t>
  </si>
  <si>
    <t>2017.010P.A.v1.Begomovirus_66sp.zip</t>
  </si>
  <si>
    <t>2006.001P.04.GeminiSp revised 06.08.pdf</t>
  </si>
  <si>
    <t>Andrographis yellow vein leaf curl virus</t>
  </si>
  <si>
    <t>Asystasia mosaic Madagascar virus</t>
  </si>
  <si>
    <t>Bean white chlorosis mosaic virus</t>
  </si>
  <si>
    <t>2002.P110.Geminiviridae.pdf</t>
  </si>
  <si>
    <t>Cnidoscolus mosaic leaf deformation virus</t>
  </si>
  <si>
    <t>Coccinia mosaic Tamil Nadu virus</t>
  </si>
  <si>
    <t>Common bean mottle virus</t>
  </si>
  <si>
    <t>Common bean severe mosaic virus</t>
  </si>
  <si>
    <t>2011.006a,bP.A.v1_Begomo_rem,ren_Sp.pdf</t>
  </si>
  <si>
    <t>Cotton leaf curl Barasat virus</t>
  </si>
  <si>
    <t>Cotton yellow mosaic virus</t>
  </si>
  <si>
    <t>2003.P009-012.Begomovirus.pdf</t>
  </si>
  <si>
    <t>Deinbollia mosaic virus</t>
  </si>
  <si>
    <t>Desmodium mottle virus</t>
  </si>
  <si>
    <t>Duranta leaf curl virus</t>
  </si>
  <si>
    <t>Euphorbia mosaic Peru virus</t>
  </si>
  <si>
    <t>Euphorbia yellow leaf curl virus</t>
  </si>
  <si>
    <t>Hollyhock yellow vein mosaic virus</t>
  </si>
  <si>
    <t>Jacquemontia yellow mosaic virus</t>
  </si>
  <si>
    <t>Jatropha leaf curl Gujarat virus</t>
  </si>
  <si>
    <t>Jatropha leaf yellow mosaic virus</t>
  </si>
  <si>
    <t>Lisianthus enation leaf curl virus</t>
  </si>
  <si>
    <t>Lycianthes yellow mosaic virus</t>
  </si>
  <si>
    <t>Macroptilium bright mosaic virus</t>
  </si>
  <si>
    <t>Macroptilium common mosaic virus</t>
  </si>
  <si>
    <t>Malvastrum bright yellow mosaic virus</t>
  </si>
  <si>
    <t>Malvastrum yellow vein Cambodia virus</t>
  </si>
  <si>
    <t>Melochia mosaic virus</t>
  </si>
  <si>
    <t>Melochia yellow mosaic virus</t>
  </si>
  <si>
    <t>Mirabilis leaf curl virus</t>
  </si>
  <si>
    <t>Okra leaf curl Oman virus</t>
  </si>
  <si>
    <t>Oxalis yellow vein virus</t>
  </si>
  <si>
    <t>2003.P141.Begomovirus.pdf</t>
  </si>
  <si>
    <t>Passionfruit leaf distortion virus</t>
  </si>
  <si>
    <t>Pavonia mosaic virus</t>
  </si>
  <si>
    <t>Pavonia yellow mosaic virus</t>
  </si>
  <si>
    <t>Pea leaf distortion virus</t>
  </si>
  <si>
    <t>Pedilanthus leaf curl virus</t>
  </si>
  <si>
    <t>Pepper yellow leaf curl Thailand virus</t>
  </si>
  <si>
    <t>Ramie mosaic Yunnan virus</t>
  </si>
  <si>
    <t>Senna leaf curl virus</t>
  </si>
  <si>
    <t>Sida angular mosaic virus</t>
  </si>
  <si>
    <t>Sida bright yellow mosaic virus</t>
  </si>
  <si>
    <t>Sida chlorotic mottle virus</t>
  </si>
  <si>
    <t>Sida chlorotic vein virus</t>
  </si>
  <si>
    <t>Sida golden yellow spot virus</t>
  </si>
  <si>
    <t>Solanum mosaic Bolivia virus</t>
  </si>
  <si>
    <t>Sweet potato golden vein Korea virus</t>
  </si>
  <si>
    <t>Sweet potato leaf curl Guangxi virus</t>
  </si>
  <si>
    <t>Synedrella yellow vein clearing virus</t>
  </si>
  <si>
    <t>Telfairia golden mosaic virus</t>
  </si>
  <si>
    <t>Tomato chlorotic mottle Guyane virus</t>
  </si>
  <si>
    <t>Tomato enation leaf curl virus</t>
  </si>
  <si>
    <t>Tomato golden leaf spot virus</t>
  </si>
  <si>
    <t>Tomato latent virus</t>
  </si>
  <si>
    <t>Tomato leaf curl Burkina Faso virus</t>
  </si>
  <si>
    <t>2003.P142.Begomovirus.pdf</t>
  </si>
  <si>
    <t>Tomato mottle wrinkle virus</t>
  </si>
  <si>
    <t>Tomato yellow leaf curl Shuangbai virus</t>
  </si>
  <si>
    <t>Tomato yellow leaf curl Yunnan virus</t>
  </si>
  <si>
    <t>Triumfetta yellow mosaic virus</t>
  </si>
  <si>
    <t>Velvet bean golden mosaic virus</t>
  </si>
  <si>
    <t>Vernonia crinkle virus</t>
  </si>
  <si>
    <t>Vinca leaf curl virus</t>
  </si>
  <si>
    <t>Whitefly-associated begomovirus 1</t>
  </si>
  <si>
    <t>Whitefly-associated begomovirus 2</t>
  </si>
  <si>
    <t>Whitefly-associated begomovirus 3</t>
  </si>
  <si>
    <t>Whitefly-associated begomovirus 4</t>
  </si>
  <si>
    <t>Whitefly-associated begomovirus 6</t>
  </si>
  <si>
    <t>Whitefly-associated begomovirus 7</t>
  </si>
  <si>
    <t>Wissadula yellow mosaic virus</t>
  </si>
  <si>
    <t>2016.014a-iP.A.v2.Geminiviridae_2gen.pdf</t>
  </si>
  <si>
    <t>2015.016aP.A.v2.Mastrevirus_3sp.pdf</t>
  </si>
  <si>
    <t>2012.019abP.A.v3.Mastrevirus-17sp,rem-2sp.pdf</t>
  </si>
  <si>
    <t>Chickpea yellow dwarf virus</t>
  </si>
  <si>
    <t>2017.008P.A.v2.Mastrevirus_5sp.zip</t>
  </si>
  <si>
    <t>Dragonfly-associated mastrevirus</t>
  </si>
  <si>
    <t>2009.014c-fP.v2.Geminiviridae-4Sp.pdf</t>
  </si>
  <si>
    <t>Sporobolus striate mosaic virus 1</t>
  </si>
  <si>
    <t>Sporobolus striate mosaic virus 2</t>
  </si>
  <si>
    <t>Sugarcane chlorotic streak virus</t>
  </si>
  <si>
    <t>Sugarcane striate virus</t>
  </si>
  <si>
    <t>Sweet potato symptomless virus 1</t>
  </si>
  <si>
    <t>Ratification_1999.pdf</t>
  </si>
  <si>
    <t>Turnip leaf roll virus</t>
  </si>
  <si>
    <t>2017.009P.A.v1.Turncurtovirus_sp.zip</t>
  </si>
  <si>
    <t>2016.001a-agF.A.v6.Genomoviridae.pdf</t>
  </si>
  <si>
    <t>2015.002a-gF.A.v2.Genomoviridae.pdf</t>
  </si>
  <si>
    <t>2005.077-80B.04.Globulovirus.pdf</t>
  </si>
  <si>
    <t>2007.085B.04.TTSV1.pdf</t>
  </si>
  <si>
    <t>2011.009a-eB.A.v2.Betaguttavirus.pdf</t>
  </si>
  <si>
    <t>2016.006aD.A.v2.Avihepadnavirus_sp.pdf</t>
  </si>
  <si>
    <t>2015.009a,bD.A.v3.Orthohepadnavirus_2sp.pdf</t>
  </si>
  <si>
    <t>2016.019aD.A.v1.Orthohepadnavirus_sp.pdf</t>
  </si>
  <si>
    <t>Bluegill hepatitis B virus</t>
  </si>
  <si>
    <t>2017.015D.A.v1.Hepadnaviridae_2sp.zip</t>
  </si>
  <si>
    <t>Tibetan frog hepatitis B virus</t>
  </si>
  <si>
    <t>2016.017aD.A.v2.Hepadnaviridae_sp.pdf</t>
  </si>
  <si>
    <t>2014.008a-hV.A.v6.Hepeviridae.pdf</t>
  </si>
  <si>
    <t>2009.001a-kI.A.v4.Hytrosaviridae.pdf</t>
  </si>
  <si>
    <t>2016.080a-abB.A.v3.Inoviridae_rev.pdf</t>
  </si>
  <si>
    <t>Acholeplasma virus L51</t>
  </si>
  <si>
    <t>2016.009a-kD.A.v2.Iridoviridae_2subf.pdf</t>
  </si>
  <si>
    <t>Common midwife toad virus</t>
  </si>
  <si>
    <t>2017.005D.A.v1.Ranavirus_sp.zip</t>
  </si>
  <si>
    <t>2015.001a-kF.A.v1.Lavidaviridae.pdf</t>
  </si>
  <si>
    <t>2016.002aP.A.v2.Enamovirus_sp.pdf</t>
  </si>
  <si>
    <t>2013.010a,bP.A.v2.Umbravirus_move.pdf</t>
  </si>
  <si>
    <t>Barley yellow dwarf virus kerII</t>
  </si>
  <si>
    <t>Barley yellow dwarf virus kerIII</t>
  </si>
  <si>
    <t>Barley yellow dwarf virus MAV</t>
  </si>
  <si>
    <t>Barley yellow dwarf virus PAS</t>
  </si>
  <si>
    <t>Barley yellow dwarf virus PAV</t>
  </si>
  <si>
    <t>2003.P225.Luteovirus.pdf</t>
  </si>
  <si>
    <t>2008.030-032P.Luteoviridae-4Sp.pdf</t>
  </si>
  <si>
    <t>2005.014P.04.luteo.CRLV.pdf</t>
  </si>
  <si>
    <t>Cereal yellow dwarf virus RPS</t>
  </si>
  <si>
    <t>Cereal yellow dwarf virus RPV</t>
  </si>
  <si>
    <t>2013.017aP.A.v2.Polerovirus_3sp.pdf</t>
  </si>
  <si>
    <t>Maize yellow dwarf virus RMV</t>
  </si>
  <si>
    <t>Maize yellow mosaic virus</t>
  </si>
  <si>
    <t>2017.014P.A.v1.Polerovirus_sp.zip</t>
  </si>
  <si>
    <t>Pepo aphid-borne yellows virus</t>
  </si>
  <si>
    <t>2017.015P.A.v1.Polerovirus_sp.zip</t>
  </si>
  <si>
    <t>2003.P226.Polerovirus.pdf</t>
  </si>
  <si>
    <t>2002.P081-083.Luteoviridae.pdf</t>
  </si>
  <si>
    <t>Barley yellow dwarf virus GPV</t>
  </si>
  <si>
    <t>Barley yellow dwarf virus SGV</t>
  </si>
  <si>
    <t>2012.002a-hF.A.v5.Marseilleviridae.pdf</t>
  </si>
  <si>
    <t>2010.002a-gF.A.v1.Megabirnaviridae.pdf</t>
  </si>
  <si>
    <t>2015.026a-rB.A.v4.Bullavirinae.pdf</t>
  </si>
  <si>
    <t>2011.001a-dF.A.v2.Cafeteriavirus.pdf</t>
  </si>
  <si>
    <t>2005.004F.04.Mimiviridae.pdf</t>
  </si>
  <si>
    <t>2008.028P.Abaca_btv-Sp.pdf</t>
  </si>
  <si>
    <t>2008.029P.Cardamom_bdv-Sp.pdf</t>
  </si>
  <si>
    <t>2015.010aP.A.v1.Nanovirus_2sp.pdf</t>
  </si>
  <si>
    <t>2010.009aP.A.v1.Nanovirus-2sp.pdf</t>
  </si>
  <si>
    <t>2012.008aP.A.v1.Nanovirus-sp.pdf</t>
  </si>
  <si>
    <t>2002.F114-121.Narnaviridae.pdf</t>
  </si>
  <si>
    <t>2007.084I.04NimaName.pdf</t>
  </si>
  <si>
    <t>2013.003a-kI.A.v1.Nudiviridae.pdf</t>
  </si>
  <si>
    <t>Alphainfluenzavirus</t>
  </si>
  <si>
    <t>Betainfluenzavirus</t>
  </si>
  <si>
    <t>Deltainfluenzavirus</t>
  </si>
  <si>
    <t>Gammainfluenzavirus</t>
  </si>
  <si>
    <t>Salmon isavirus</t>
  </si>
  <si>
    <t>Johnston Atoll quaranjavirus</t>
  </si>
  <si>
    <t>Quaranfil quaranjavirus</t>
  </si>
  <si>
    <t>Dhori thogotovirus</t>
  </si>
  <si>
    <t>Thogoto thogotovirus</t>
  </si>
  <si>
    <t>Firstpapillomavirinae</t>
  </si>
  <si>
    <t>2017.010D.A.v1.Papillomaviridae_2subf.zip</t>
  </si>
  <si>
    <t>Deltapapillomavirus 7</t>
  </si>
  <si>
    <t>Dyokappapapillomavirus 3</t>
  </si>
  <si>
    <t>Dyokappapapillomavirus 4</t>
  </si>
  <si>
    <t>Dyokappapapillomavirus 5</t>
  </si>
  <si>
    <t>Dyoxipapillomavirus 2</t>
  </si>
  <si>
    <t>Epsilonpapillomavirus 2</t>
  </si>
  <si>
    <t>Gammapapillomavirus 27</t>
  </si>
  <si>
    <t>Iotapapillomavirus 2</t>
  </si>
  <si>
    <t>Psipapillomavirus 2</t>
  </si>
  <si>
    <t>Psipapillomavirus 3</t>
  </si>
  <si>
    <t>Taupapillomavirus 4</t>
  </si>
  <si>
    <t>Treisiotapapillomavirus</t>
  </si>
  <si>
    <t>Treisiotapapillomavirus 1</t>
  </si>
  <si>
    <t>Treiskappapapillomavirus</t>
  </si>
  <si>
    <t>Treiskappapapillomavirus 1</t>
  </si>
  <si>
    <t>Treisthetapapillomavirus</t>
  </si>
  <si>
    <t>Treisthetapapillomavirus 1</t>
  </si>
  <si>
    <t>Xipapillomavirus 4</t>
  </si>
  <si>
    <t>Xipapillomavirus 5</t>
  </si>
  <si>
    <t>Secondpapillomavirinae</t>
  </si>
  <si>
    <t>Alefpapillomavirus</t>
  </si>
  <si>
    <t>Alefpapillomavirus 1</t>
  </si>
  <si>
    <t>2013.001a-kkF.A.v3.Partitiviridae.pdf</t>
  </si>
  <si>
    <t>2015.003a,bF.A.v3.Partitiviridae_4sp.pdf</t>
  </si>
  <si>
    <t>2008.002-006F.v3.Cryspovirus.pdf</t>
  </si>
  <si>
    <t>Gaeumannomyces graminis virus 0196A</t>
  </si>
  <si>
    <t>Gaeumannomyces graminis virus T1A</t>
  </si>
  <si>
    <t>2016.003a,bD.A.v1.Densovirinae_6sp.pdf</t>
  </si>
  <si>
    <t>2013.001a-aaaV.A.v4.Parvoviridae.pdf</t>
  </si>
  <si>
    <t>Carnivore amdoparvovirus 3</t>
  </si>
  <si>
    <t>2017.002D.A.v1.Amdoparvovirus_2sp.zip</t>
  </si>
  <si>
    <t>Carnivore amdoparvovirus 4</t>
  </si>
  <si>
    <t>Carnivore bocaparvovirus 4</t>
  </si>
  <si>
    <t>2017.003D.A.v2.Bocaparvovirus_9sp.zip</t>
  </si>
  <si>
    <t>Carnivore bocaparvovirus 5</t>
  </si>
  <si>
    <t>Carnivore bocaparvovirus 6</t>
  </si>
  <si>
    <t>Chiropteran bocaparvovirus 1</t>
  </si>
  <si>
    <t>Chiropteran bocaparvovirus 2</t>
  </si>
  <si>
    <t>Chiropteran bocaparvovirus 3</t>
  </si>
  <si>
    <t>Chiropteran bocaparvovirus 4</t>
  </si>
  <si>
    <t>Lagomorph bocaparvovirus 1</t>
  </si>
  <si>
    <t>Ungulate bocaparvovirus 6</t>
  </si>
  <si>
    <t>Chiropteran protoparvovirus 1</t>
  </si>
  <si>
    <t>2017.004D.A.v2.Protoparvovirus_6sp.zip</t>
  </si>
  <si>
    <t>Eulipotyphla protoparvovirus 1</t>
  </si>
  <si>
    <t>Primate protoparvovirus 2</t>
  </si>
  <si>
    <t>Primate protoparvovirus 3</t>
  </si>
  <si>
    <t>Rodent protoparvovirus 3</t>
  </si>
  <si>
    <t>Ungulate protoparvovirus 2</t>
  </si>
  <si>
    <t>2010.004aF.A.v2.Chlorovirus-Sp.pdf</t>
  </si>
  <si>
    <t>2003.F080-083.Coccolithovirus.pdf</t>
  </si>
  <si>
    <t>2003.F195.Phaeovirus.pdf</t>
  </si>
  <si>
    <t>2010.003aF.A.v1.Prasinovirus-sp.pdf</t>
  </si>
  <si>
    <t>2003.F128-131.Raphidovirus.pdf</t>
  </si>
  <si>
    <t>2005.216-22V.04.Picobirna.pdf</t>
  </si>
  <si>
    <t>Chelonus near curvimaculatus bracovirus</t>
  </si>
  <si>
    <t>2015.015a-aaD.A.v2.Polyomaviridae_rev.pdf</t>
  </si>
  <si>
    <t>Piliocolobus badius polyomavirus 1</t>
  </si>
  <si>
    <t>2017.007D.A.v2.Polyomaviridae_sp.zip</t>
  </si>
  <si>
    <t>2016.014aD.A.v1.Alphapolyomavirus_sp.pdf</t>
  </si>
  <si>
    <t>Leptonychotes weddellii polyomavirus 1</t>
  </si>
  <si>
    <t>2016.016aD.A.v1.Betapolyomavirus_2sp.pdf</t>
  </si>
  <si>
    <t>2016.015aD.A.v1.Betapolyomavirus_sp.pdf</t>
  </si>
  <si>
    <t>Rattus norvegicus polyomavirus 2</t>
  </si>
  <si>
    <t>Vicugna pacos polyomavirus 1</t>
  </si>
  <si>
    <t>Erythrura gouldiae polyomavirus 1</t>
  </si>
  <si>
    <t>Lonchura maja polyomavirus 1</t>
  </si>
  <si>
    <t>Rhynchobatus djiddensis polyomavirus 1</t>
  </si>
  <si>
    <t>Trematomus pennellii polyomavirus 1</t>
  </si>
  <si>
    <t>Portogloboviridae</t>
  </si>
  <si>
    <t>Alphaportoglobovirus</t>
  </si>
  <si>
    <t>Sulfolobus alphaportoglobovirus 1</t>
  </si>
  <si>
    <t>2017.002B.A.v2.Portogloboviridae.zip</t>
  </si>
  <si>
    <t>2005.253P.04.CitrusDwarf.pdf</t>
  </si>
  <si>
    <t>2009.013a,bP.v1.Apscaviroid-2Sp.pdf</t>
  </si>
  <si>
    <t>2005.254P.04.CitrusbarkCra.pdf</t>
  </si>
  <si>
    <t>2014.003aP.A.v2.Hostuviroid_sp.pdf</t>
  </si>
  <si>
    <t>2010.010aP.A.v1.Pospiviroid-sp.pdf</t>
  </si>
  <si>
    <t>2014.002aP.A.v1.Pospiviroid_sprem.pdf</t>
  </si>
  <si>
    <t>Bevemovirus</t>
  </si>
  <si>
    <t>Bellflower veinal mottle virus</t>
  </si>
  <si>
    <t>2017.001P.A.v2.Potyviridae_2gen.zip</t>
  </si>
  <si>
    <t>2008.016-020P.v2.Brambyvirus.pdf</t>
  </si>
  <si>
    <t>2003.P016-029.Potyviridae.pdf</t>
  </si>
  <si>
    <t>Coccinia mottle virus</t>
  </si>
  <si>
    <t>2017.007P.A.v1.Potyviridae_9sp.zip</t>
  </si>
  <si>
    <t>2007.072P.04.SpIpomovirus.pdf</t>
  </si>
  <si>
    <t>2013.012a,bP.A.v2.Potyviridae_spmove.pdf</t>
  </si>
  <si>
    <t>2010.001aP.A.v2.Ipomovirus-Sp.pdf</t>
  </si>
  <si>
    <t>2007.071P.04.SpMacluraviruses.pdf</t>
  </si>
  <si>
    <t>2015.003a-dP.A.v2.Potyviridae.pdf</t>
  </si>
  <si>
    <t>2016.007aP.A.v3.Macluravirus_2sp.pdf</t>
  </si>
  <si>
    <t>2015.002aP.A.v2.Poacevirus.pdf</t>
  </si>
  <si>
    <t>2009.004a-iP.A.v2.Poacevirus.pdf</t>
  </si>
  <si>
    <t>2008.002P.Potyvirus-7Sp.pdf</t>
  </si>
  <si>
    <t>2007.073P.04.SpPotyviruses.pdf</t>
  </si>
  <si>
    <t>2009.006a-dP.v2.Potyviridae-10Sp.pdf</t>
  </si>
  <si>
    <t>Barbacena virus Y</t>
  </si>
  <si>
    <t>2014.009aP.A.v4.Potyvirus_12sp.pdf</t>
  </si>
  <si>
    <t>Callistephus mottle virus</t>
  </si>
  <si>
    <t>Daphne virus Y</t>
  </si>
  <si>
    <t>2008.027P.Remove1spPotyvirus.pdf</t>
  </si>
  <si>
    <t>Impatiens flower break virus</t>
  </si>
  <si>
    <t>2016.008a,bP.A.v3.Potyvirus_3sprem.pdf</t>
  </si>
  <si>
    <t>Kalanchoe mosaic virus</t>
  </si>
  <si>
    <t>2007.074P.04.SpRemvoePotyviruses.pdf</t>
  </si>
  <si>
    <t>Pecan mosaic-associated virus</t>
  </si>
  <si>
    <t>2010.020aP.A.v1.Potyvirus_1sp.pdf</t>
  </si>
  <si>
    <t>Sunflower ring blotch virus</t>
  </si>
  <si>
    <t>2010.002aP.A.v2.Potyvirus-Sp.pdf</t>
  </si>
  <si>
    <t>Tobacco mosqueado virus</t>
  </si>
  <si>
    <t>Wild onion symptomless virus</t>
  </si>
  <si>
    <t>2011.004aP.A.v1.Potyvirus_1sp.pdf</t>
  </si>
  <si>
    <t>Roymovirus</t>
  </si>
  <si>
    <t>2014.005aP.A.v1.Tritimovirus_sp.pdf</t>
  </si>
  <si>
    <t>Yellow oat grass mosaic virus</t>
  </si>
  <si>
    <t>Ratification_1978.pdf</t>
  </si>
  <si>
    <t>2016.018a-dD.A.v3.Centapoxvirus.pdf</t>
  </si>
  <si>
    <t>2010.020abV.A.v1.Poxviridae-2sp_ren.pdf</t>
  </si>
  <si>
    <t>2010.019a-eV.A.v1.Crocodylidpoxvirus.pdf</t>
  </si>
  <si>
    <t>Ratification_1990.pdf</t>
  </si>
  <si>
    <t>ICTV 3rd Report.pdf</t>
  </si>
  <si>
    <t>2016.013aD.A.v2.Chordopoxvirinae_sp.pdf</t>
  </si>
  <si>
    <t>2003.V192-194.Entomopoxvirus.pdf</t>
  </si>
  <si>
    <t>2014.001aI.A.v1.Entomopoxvirus-spcorr.pdf</t>
  </si>
  <si>
    <t>2013.002aI.A.v3.Betaentomopoxvirus_3sp.pdf</t>
  </si>
  <si>
    <t>Melanoplus sanguinipes entomopoxvirus</t>
  </si>
  <si>
    <t>2012.001a-gF.A.v4.Quadriviridae.pdf</t>
  </si>
  <si>
    <t>2007.127-129V.v2.Spina-Sedoreovirinae.pdf</t>
  </si>
  <si>
    <t>2014.002aV.A.v2.Rotavirus_3sp.pdf</t>
  </si>
  <si>
    <t>2015.020aM.A.v2.Rotavirus_sp.pdf</t>
  </si>
  <si>
    <t>2015.018aM.A.v2.Fijivirus_sp.pdf</t>
  </si>
  <si>
    <t>Mahlapitsi orthoreovirus</t>
  </si>
  <si>
    <t>2017.018M.A.v1.Orthoreovirus_sp.zip</t>
  </si>
  <si>
    <t>2015.019aM.A.v3.Orthoreovirus_sp.pdf</t>
  </si>
  <si>
    <t>2015.002a-gS.A.v3.Sarthroviridae.pdf</t>
  </si>
  <si>
    <t>Smacoviridae</t>
  </si>
  <si>
    <t>Bovismacovirus</t>
  </si>
  <si>
    <t>Bovine associated bovismacovirus 1</t>
  </si>
  <si>
    <t>2017.011D.A.v2.Smacoviridae.zip</t>
  </si>
  <si>
    <t>Bovine associated bovismacovirus 2</t>
  </si>
  <si>
    <t>Dragonfly associated bovismacovirus 1</t>
  </si>
  <si>
    <t>Cosmacovirus</t>
  </si>
  <si>
    <t>Bovine associated cosmacovirus 1</t>
  </si>
  <si>
    <t>Dragsmacovirus</t>
  </si>
  <si>
    <t>Dragonfly associated dragsmacovirus 1</t>
  </si>
  <si>
    <t>Drosmacovirus</t>
  </si>
  <si>
    <t>Bovine associated drosmacovirus 1</t>
  </si>
  <si>
    <t>Camel associated drosmacovirus 1</t>
  </si>
  <si>
    <t>Camel associated drosmacovirus2</t>
  </si>
  <si>
    <t>Huchismacovirus</t>
  </si>
  <si>
    <t>Bovine associated huchismacovirus 1</t>
  </si>
  <si>
    <t>Bovine associated huchismacovirus 2</t>
  </si>
  <si>
    <t>Chicken associated huchismacovirus 1</t>
  </si>
  <si>
    <t>Chicken associated huchismacovirus 2</t>
  </si>
  <si>
    <t>Human associated huchismacovirus 1</t>
  </si>
  <si>
    <t>Human associated huchismacovirus 2</t>
  </si>
  <si>
    <t>Human associated huchismacovirus 3</t>
  </si>
  <si>
    <t>Porprismacovirus</t>
  </si>
  <si>
    <t>Bovine associated porprismacovirus 1</t>
  </si>
  <si>
    <t>Camel associated porprismacovirus 1</t>
  </si>
  <si>
    <t>Camel associated porprismacovirus 2</t>
  </si>
  <si>
    <t>Camel associated porprismacovirus 3</t>
  </si>
  <si>
    <t>Camel associated porprismacovirus 4</t>
  </si>
  <si>
    <t>Chimpanzee associated porprismacovirus 1</t>
  </si>
  <si>
    <t>Chimpanzee associated porprismacovirus 2</t>
  </si>
  <si>
    <t>Gorilla associated porprismacovirus 1</t>
  </si>
  <si>
    <t>Howler monkey associated porprismacovirus 1</t>
  </si>
  <si>
    <t>Human associated porprismacovirus 1</t>
  </si>
  <si>
    <t>Human associated porprismacovirus 2</t>
  </si>
  <si>
    <t>Lemur associated porprismacovirus 1</t>
  </si>
  <si>
    <t>Porcine associated porprismacovirus 1</t>
  </si>
  <si>
    <t>Porcine associated porprismacovirus 2</t>
  </si>
  <si>
    <t>Porcine associated porprismacovirus 3</t>
  </si>
  <si>
    <t>Porcine associated porprismacovirus 4</t>
  </si>
  <si>
    <t>Porcine associated porprismacovirus 5</t>
  </si>
  <si>
    <t>Porcine associated porprismacovirus 6</t>
  </si>
  <si>
    <t>Porcine associated porprismacovirus 7</t>
  </si>
  <si>
    <t>Porcine associated porprismacovirus 8</t>
  </si>
  <si>
    <t>Porcine associated porprismacovirus 9</t>
  </si>
  <si>
    <t>Porcine associated porprismacovirus 10</t>
  </si>
  <si>
    <t>Rat associated porprismacovirus 1</t>
  </si>
  <si>
    <t>Sheep associated porprismacovirus 1</t>
  </si>
  <si>
    <t>Sheep associated porprismacovirus 2</t>
  </si>
  <si>
    <t>Sheep associated porprismacovirus 3</t>
  </si>
  <si>
    <t>Turkey associated porprismacovirus 1</t>
  </si>
  <si>
    <t>Solemoviridae</t>
  </si>
  <si>
    <t>2017.003P.A.v2.Solemoviridae.zip</t>
  </si>
  <si>
    <t>2016.017a-kS.A.v2.Solinviviridae.pdf</t>
  </si>
  <si>
    <t>2013.001a-oB.A.v4.Sphaerolipoviridae.pdf</t>
  </si>
  <si>
    <t>2016.063aB.A.v1.Alphasphaerolipovirus_sp.pdf</t>
  </si>
  <si>
    <t>2013.003a-gB.A.v3.Spiraviridae.pdf</t>
  </si>
  <si>
    <t>Alphatectivirus</t>
  </si>
  <si>
    <t>Pseudomonas virus PR4</t>
  </si>
  <si>
    <t>2017.013B.A.v2.Tectiviridae_rev.zip</t>
  </si>
  <si>
    <t>Pseudomonas virus PRD1</t>
  </si>
  <si>
    <t>Betatectivirus</t>
  </si>
  <si>
    <t>Bacillus virus GIL16</t>
  </si>
  <si>
    <t>Bacillus virus Wip1</t>
  </si>
  <si>
    <t>Ratification_1974.pdf</t>
  </si>
  <si>
    <t>ICTV 2nd Report.pdf</t>
  </si>
  <si>
    <t>2013.006aV.A.v2.Alphavirus_sp.pdf</t>
  </si>
  <si>
    <t>2012.007aV.A.v1.Alphavirus-sp.pdf</t>
  </si>
  <si>
    <t>Onyong-nyong virus</t>
  </si>
  <si>
    <t>Ratification_1975.pdf</t>
  </si>
  <si>
    <t>2016.021a-kP.A.v2.Tolecusatellitidae.pdf</t>
  </si>
  <si>
    <t>Tomato leaf curl Java betasatellite</t>
  </si>
  <si>
    <t>2015.007a-rP.A.v1.split_Carmovirus.pdf</t>
  </si>
  <si>
    <t>2011.009a-mP.A.v3.split_Necrovirus.pdf</t>
  </si>
  <si>
    <t>2008.007P.Aureusvirus-2Sp.pdf</t>
  </si>
  <si>
    <t>2015.008aP.A.v1.Aureusvirus_sp.pdf</t>
  </si>
  <si>
    <t>2011.010a-eP.A.v3.Gallantivirus.pdf</t>
  </si>
  <si>
    <t>2011.010f-iP.A.v3.Macanavirus.pdf</t>
  </si>
  <si>
    <t>2011.008aP.A.v1.Panicovirus_1sp.pdf</t>
  </si>
  <si>
    <t>2014.007aP.A.v1.Panicovirus_sp.pdf</t>
  </si>
  <si>
    <t>2014.006b-fP.A.v3.Pelarspovirus.pdf</t>
  </si>
  <si>
    <t>2003.P043.Tombusvirus.pdf</t>
  </si>
  <si>
    <t>2007.125P.04.SpRemoveTombusvirus.pdf</t>
  </si>
  <si>
    <t>2005.012P.04.HRV.pdf</t>
  </si>
  <si>
    <t>2007.123P.04.2SpTombusvirus.pdf</t>
  </si>
  <si>
    <t>2016.006aP.A.v1.Umbravirus_2sp.pdf</t>
  </si>
  <si>
    <t>2014.008aP.A.v3.Tombusviridae_sp.pdf</t>
  </si>
  <si>
    <t>2011.005a-eP.A.v2.Zeavirus.pdf</t>
  </si>
  <si>
    <t>2013.003a,bF.A.v2.Leishmaniavirus-remrensp.pdf</t>
  </si>
  <si>
    <t>Saccharomyces cerevisiae virus LBCLa</t>
  </si>
  <si>
    <t>2013.002a-cF.A.v2.Totiviridae-10sp.pdf</t>
  </si>
  <si>
    <t>2010.001a-dF.A.v2.Trichomonasvirus.pdf</t>
  </si>
  <si>
    <t>2007.066-9F.v2.Victorivirus.pdf</t>
  </si>
  <si>
    <t>2016.064a-jB.A.v2.Tristromaviridae.pdf</t>
  </si>
  <si>
    <t>2013.002a-gB.A.v3.Turriviridae.pdf</t>
  </si>
  <si>
    <t>2015.009a-pP.A.v3.Plant_sat_4unassgen.pdf</t>
  </si>
  <si>
    <t>2016.011a-dP.A.v1.Blunervirus.pdf</t>
  </si>
  <si>
    <t>2014.001a-dF.A.v3.Botybirnavirus.pdf</t>
  </si>
  <si>
    <t>2007.031-5P.Cilevirus.pdf</t>
  </si>
  <si>
    <t>2016.010aP.A.v1.Cilevirus_sp.pdf</t>
  </si>
  <si>
    <t>2009.001a-fF.A.v6.Dinodnavirus.pdf</t>
  </si>
  <si>
    <t>2012.011a-dP.A.v3.Higrevirus.pdf</t>
  </si>
  <si>
    <t>Ratification_1987.pdf</t>
  </si>
  <si>
    <t>2003.B038-041.Salterprovirus.pdf</t>
  </si>
  <si>
    <t>2015.005a-dS.A.v2.Sinaivirus.pdf</t>
  </si>
  <si>
    <t>2007.036-8P.Virgaviridae.pdf</t>
  </si>
  <si>
    <t>2011.012aP.A.v1.Furovirus_1sp.pdf</t>
  </si>
  <si>
    <t>2015.001a-dP.A.v2.Goravirus.pdf</t>
  </si>
  <si>
    <t>2016.005aP.A.v2.Pomovirus_sp.pdf</t>
  </si>
  <si>
    <t>2012.004aP.A.v3.Tobamovirus-8sp.pdf</t>
  </si>
  <si>
    <t>2009.010a,bP.v1.Tobamovirus-2Sp.pdf</t>
  </si>
  <si>
    <t>Opuntia chlorotic ringspot virus</t>
  </si>
  <si>
    <t>2016.001aP.A.v2.Tobamovirus_2sp.pdf</t>
  </si>
  <si>
    <t>2009.009a,bP.v1.Tobamovirus-Sp.pdf</t>
  </si>
  <si>
    <t>2014.001aP.A.v1.Tobamovirus_2sp.pdf</t>
  </si>
  <si>
    <t>Realm</t>
  </si>
  <si>
    <t>Subrealm</t>
  </si>
  <si>
    <t>Kingdom</t>
  </si>
  <si>
    <t>Subkingdom</t>
  </si>
  <si>
    <t>Phylum</t>
  </si>
  <si>
    <t>Subphylum</t>
  </si>
  <si>
    <t>Class</t>
  </si>
  <si>
    <t>Subclass</t>
  </si>
  <si>
    <t>Suborder</t>
  </si>
  <si>
    <t>Subgenus</t>
  </si>
  <si>
    <t>New MSL including all taxa updates since the 2017 release</t>
  </si>
  <si>
    <t>ICTV 2018 Master Species List (MSL33)</t>
  </si>
  <si>
    <t>Negarnaviricota</t>
  </si>
  <si>
    <t>Haploviricotina</t>
  </si>
  <si>
    <t>Chunqiuviricetes</t>
  </si>
  <si>
    <t>Muvirales</t>
  </si>
  <si>
    <t>Qinviridae</t>
  </si>
  <si>
    <t>Yingvirus</t>
  </si>
  <si>
    <t>Beihai yingvirus</t>
  </si>
  <si>
    <t>2017.006M.A.v2.Negarnaviricota.zip</t>
  </si>
  <si>
    <t>Charybdis yingvirus</t>
  </si>
  <si>
    <t>Hubei yingvirus</t>
  </si>
  <si>
    <t>Sanxia yingvirus</t>
  </si>
  <si>
    <t>Shahe yingvirus</t>
  </si>
  <si>
    <t>Wenzhou yingvirus</t>
  </si>
  <si>
    <t>Wuhan yingvirus</t>
  </si>
  <si>
    <t>Xinzhou yingvirus</t>
  </si>
  <si>
    <t>Milneviricetes</t>
  </si>
  <si>
    <t>Serpentovirales</t>
  </si>
  <si>
    <t>Monjiviricetes</t>
  </si>
  <si>
    <t>Jingchuvirales</t>
  </si>
  <si>
    <t>Chuviridae</t>
  </si>
  <si>
    <t>Mivirus</t>
  </si>
  <si>
    <t>Argas mivirus</t>
  </si>
  <si>
    <t>Barnacle mivirus</t>
  </si>
  <si>
    <t>Beetle mivirus</t>
  </si>
  <si>
    <t>Bole mivirus</t>
  </si>
  <si>
    <t>Brunnich mivirus</t>
  </si>
  <si>
    <t>Changping mivirus</t>
  </si>
  <si>
    <t>Charybdis mivirus</t>
  </si>
  <si>
    <t>Cockroach mivirus</t>
  </si>
  <si>
    <t>Crab mivirus</t>
  </si>
  <si>
    <t>Crustacean mivirus</t>
  </si>
  <si>
    <t>Dermacentor mivirus</t>
  </si>
  <si>
    <t>Hermit mivirus</t>
  </si>
  <si>
    <t>Hippoboscid mivirus</t>
  </si>
  <si>
    <t>Hubei mivirus</t>
  </si>
  <si>
    <t>Hubei odonate mivirus</t>
  </si>
  <si>
    <t>Imjin mivirus</t>
  </si>
  <si>
    <t>Lacewing mivirus</t>
  </si>
  <si>
    <t>Lishi mivirus</t>
  </si>
  <si>
    <t>Lonestar mivirus</t>
  </si>
  <si>
    <t>Louse fly mivirus</t>
  </si>
  <si>
    <t>Mosquito mivirus</t>
  </si>
  <si>
    <t>Myriapod mivirus</t>
  </si>
  <si>
    <t>Odonate mivirus</t>
  </si>
  <si>
    <t>Sanxia mivirus</t>
  </si>
  <si>
    <t>Shayang mivirus</t>
  </si>
  <si>
    <t>Suffolk mivirus</t>
  </si>
  <si>
    <t>Wenling mivirus</t>
  </si>
  <si>
    <t>Wuhan mivirus</t>
  </si>
  <si>
    <t>Xinzhou mivirus</t>
  </si>
  <si>
    <t>Artoviridae</t>
  </si>
  <si>
    <t>Barnacle peropuvirus</t>
  </si>
  <si>
    <t>2017.016M.A.v3.Mononegavirales.zip</t>
  </si>
  <si>
    <t>Beihai peropuvirus</t>
  </si>
  <si>
    <t>Hubei peropuvirus</t>
  </si>
  <si>
    <t>Odonate peropuvirus</t>
  </si>
  <si>
    <t>Pillworm peropuvirus</t>
  </si>
  <si>
    <t>Woodlouse peropuvirus</t>
  </si>
  <si>
    <t>Lispiviridae</t>
  </si>
  <si>
    <t>Gerrid arlivirus</t>
  </si>
  <si>
    <t>Hubei arlivirus</t>
  </si>
  <si>
    <t>Odonate arlivirus</t>
  </si>
  <si>
    <t>Tacheng arlivirus</t>
  </si>
  <si>
    <t>Wuchang arlivirus</t>
  </si>
  <si>
    <t>Dadou sclerotimonavirus</t>
  </si>
  <si>
    <t>Drop sclerotimonavirus</t>
  </si>
  <si>
    <t>Glycine sclerotimonavirus</t>
  </si>
  <si>
    <t>Hubei sclerotimonavirus</t>
  </si>
  <si>
    <t>Illinois sclerotimonavirus</t>
  </si>
  <si>
    <t>Phyllosphere sclerotimonavirus</t>
  </si>
  <si>
    <t>Berhavirus</t>
  </si>
  <si>
    <t>Beihai berhavirus</t>
  </si>
  <si>
    <t>Echinoderm berhavirus</t>
  </si>
  <si>
    <t>Sipunculid berhavirus</t>
  </si>
  <si>
    <t>Beihai crustavirus</t>
  </si>
  <si>
    <t>Wenling crustavirus</t>
  </si>
  <si>
    <t>Orinovirus</t>
  </si>
  <si>
    <t>Orinoco orinovirus</t>
  </si>
  <si>
    <t>Tapwovirus</t>
  </si>
  <si>
    <t>Tapeworm tapwovirus</t>
  </si>
  <si>
    <t>Xinmoviridae</t>
  </si>
  <si>
    <t>Bolahun anphevirus</t>
  </si>
  <si>
    <t>Dipteran anphevirus</t>
  </si>
  <si>
    <t>Drosophilid anphevirus</t>
  </si>
  <si>
    <t>Odonate anphevirus</t>
  </si>
  <si>
    <t>Orthopteran anphevirus</t>
  </si>
  <si>
    <t>Shuangao anphevirus</t>
  </si>
  <si>
    <t>Yunchangviricetes</t>
  </si>
  <si>
    <t>Goujianvirales</t>
  </si>
  <si>
    <t>Yueviridae</t>
  </si>
  <si>
    <t>Yuyuevirus</t>
  </si>
  <si>
    <t>Beihai yuyuevirus</t>
  </si>
  <si>
    <t>Shahe yuyuevirus</t>
  </si>
  <si>
    <t>Polyploviricotina</t>
  </si>
  <si>
    <t>Ellioviricetes</t>
  </si>
  <si>
    <t>Cruliviridae</t>
  </si>
  <si>
    <t>Lincruvirus</t>
  </si>
  <si>
    <t>Crustacean lincruvirus</t>
  </si>
  <si>
    <t>2017.012M.A.v2.Bunyavirales.zip</t>
  </si>
  <si>
    <t>Loanvirus</t>
  </si>
  <si>
    <t>Longquan loanvirus</t>
  </si>
  <si>
    <t>Mobatvirus</t>
  </si>
  <si>
    <t>Laibin mobatvirus</t>
  </si>
  <si>
    <t>Nova mobatvirus</t>
  </si>
  <si>
    <t>Quezon mobatvirus</t>
  </si>
  <si>
    <t>Thottimvirus</t>
  </si>
  <si>
    <t>Imjin thottimvirus</t>
  </si>
  <si>
    <t>Thottopalayam thottimvirus</t>
  </si>
  <si>
    <t>Mypoviridae</t>
  </si>
  <si>
    <t>Hubavirus</t>
  </si>
  <si>
    <t>Myriapod hubavirus</t>
  </si>
  <si>
    <t>Shaspivirus</t>
  </si>
  <si>
    <t>Spider shaspivirus</t>
  </si>
  <si>
    <t>Striwavirus</t>
  </si>
  <si>
    <t>Strider striwavirus</t>
  </si>
  <si>
    <t>Shangavirus</t>
  </si>
  <si>
    <t>Insect shangavirus</t>
  </si>
  <si>
    <t>Tospovirus</t>
  </si>
  <si>
    <t>Groundnut bud necrosis tospovirus</t>
  </si>
  <si>
    <t>Groundnut ringspot tospovirus</t>
  </si>
  <si>
    <t>Groundnut yellow spot tospovirus</t>
  </si>
  <si>
    <t>Impatiens necrotic spot tospovirus</t>
  </si>
  <si>
    <t>Iris yellow spot tospovirus</t>
  </si>
  <si>
    <t>Polygonum ringspot tospovirus</t>
  </si>
  <si>
    <t>Tomato chlorotic spot tospovirus</t>
  </si>
  <si>
    <t>Tomato spotted wilt tospovirus</t>
  </si>
  <si>
    <t>Watermelon bud necrosis tospovirus</t>
  </si>
  <si>
    <t>Watermelon silver mottle tospovirus</t>
  </si>
  <si>
    <t>Zucchini lethal chlorosis tospovirus</t>
  </si>
  <si>
    <t>Feravirus</t>
  </si>
  <si>
    <t>Ferak feravirus</t>
  </si>
  <si>
    <t>Inshuvirus</t>
  </si>
  <si>
    <t>Insect inshuvirus</t>
  </si>
  <si>
    <t>Jonvirus</t>
  </si>
  <si>
    <t>Jonchet jonvirus</t>
  </si>
  <si>
    <t>Wuhivirus</t>
  </si>
  <si>
    <t>Insect wuhivirus</t>
  </si>
  <si>
    <t>Banyangvirus</t>
  </si>
  <si>
    <t>Huaiyangshan banyangvirus</t>
  </si>
  <si>
    <t>Beidivirus</t>
  </si>
  <si>
    <t>Dipteran beidivirus</t>
  </si>
  <si>
    <t>Horwuvirus</t>
  </si>
  <si>
    <t>Horsefly horwuvirus</t>
  </si>
  <si>
    <t>Hudivirus</t>
  </si>
  <si>
    <t>Dipteran hudivirus</t>
  </si>
  <si>
    <t>Hudovirus</t>
  </si>
  <si>
    <t>Lepidopteran hudovirus</t>
  </si>
  <si>
    <t>Mobuvirus</t>
  </si>
  <si>
    <t>Mothra mobuvirus</t>
  </si>
  <si>
    <t>Pidchovirus</t>
  </si>
  <si>
    <t>Pidgey pidchovirus</t>
  </si>
  <si>
    <t>Wubeivirus</t>
  </si>
  <si>
    <t>Dipteran wubeivirus</t>
  </si>
  <si>
    <t>Fly wubeivirus</t>
  </si>
  <si>
    <t>Wupedeviridae</t>
  </si>
  <si>
    <t>Wumivirus</t>
  </si>
  <si>
    <t>Millipede wumivirus</t>
  </si>
  <si>
    <t>Insthoviricetes</t>
  </si>
  <si>
    <t>Articulavirales</t>
  </si>
  <si>
    <t>Amnoonviridae</t>
  </si>
  <si>
    <t>Abnidovirineae</t>
  </si>
  <si>
    <t>Abyssoviridae</t>
  </si>
  <si>
    <t>Tiamatvirinae</t>
  </si>
  <si>
    <t>Alphaabyssovirus</t>
  </si>
  <si>
    <t>Aplyccavirus</t>
  </si>
  <si>
    <t>Aplysia abyssovirus 1</t>
  </si>
  <si>
    <t>2017.012_015S.A.v1.Nidovirales.zip</t>
  </si>
  <si>
    <t>2017.001S.A.v1.Crocarterivirinae.zip</t>
  </si>
  <si>
    <t>Arnidovirineae</t>
  </si>
  <si>
    <t>Crocarterivirinae</t>
  </si>
  <si>
    <t>Muarterivirus</t>
  </si>
  <si>
    <t>Muarterivirus afrigant</t>
  </si>
  <si>
    <t>Equarterivirinae</t>
  </si>
  <si>
    <t>Alphaarterivirus</t>
  </si>
  <si>
    <t>Alphaarterivirus equid</t>
  </si>
  <si>
    <t>Heroarterivirinae</t>
  </si>
  <si>
    <t>Lambdaarterivirus</t>
  </si>
  <si>
    <t>Lambdaarterivirus afriporav</t>
  </si>
  <si>
    <t>Simarterivirinae</t>
  </si>
  <si>
    <t>Deltaarterivirus</t>
  </si>
  <si>
    <t>Hedartevirus</t>
  </si>
  <si>
    <t>Deltaarterivirus hemfev</t>
  </si>
  <si>
    <t>Epsilonarterivirus</t>
  </si>
  <si>
    <t>Sheartevirus</t>
  </si>
  <si>
    <t>Epsilonarterivirus hemcep</t>
  </si>
  <si>
    <t>Epsilonarterivirus safriver</t>
  </si>
  <si>
    <t>Epsilonarterivirus zamalb</t>
  </si>
  <si>
    <t>Etaarterivirus</t>
  </si>
  <si>
    <t>Etaarterivirus ugarco 1</t>
  </si>
  <si>
    <t>Iotaarterivirus</t>
  </si>
  <si>
    <t>Kigiartevirus</t>
  </si>
  <si>
    <t>Iotaarterivirus kibreg 1</t>
  </si>
  <si>
    <t>Pedartevirus</t>
  </si>
  <si>
    <t>Deltaarterivirus pejah</t>
  </si>
  <si>
    <t>Thetaarterivirus</t>
  </si>
  <si>
    <t>Mitartevirus</t>
  </si>
  <si>
    <t>Thetaarterivirus mikelba 1</t>
  </si>
  <si>
    <t>Variarterivirinae</t>
  </si>
  <si>
    <t>Betaarterivirus</t>
  </si>
  <si>
    <t>Ampobartevirus</t>
  </si>
  <si>
    <t>Betaarterivirus suid 2</t>
  </si>
  <si>
    <t>Debiartevirus</t>
  </si>
  <si>
    <t>Iotaarterivirus debrazmo</t>
  </si>
  <si>
    <t>Kaftartevirus</t>
  </si>
  <si>
    <t>Thetaarterivirus kafuba</t>
  </si>
  <si>
    <t>Gammaarterivirus</t>
  </si>
  <si>
    <t>Gammaarterivirus lacdeh</t>
  </si>
  <si>
    <t>Zealarterivirinae</t>
  </si>
  <si>
    <t>Kappaarterivirus</t>
  </si>
  <si>
    <t>Kappaarterivirus wobum</t>
  </si>
  <si>
    <t>Zetaarterivirus</t>
  </si>
  <si>
    <t>Zetaarterivirus ugarco 1</t>
  </si>
  <si>
    <t>Cornidovirineae</t>
  </si>
  <si>
    <t>Letovirinae</t>
  </si>
  <si>
    <t>Alphaletovirus</t>
  </si>
  <si>
    <t>Milecovirus</t>
  </si>
  <si>
    <t>Microhyla letovirus 1</t>
  </si>
  <si>
    <t>Chibartevirus</t>
  </si>
  <si>
    <t>Betaarterivirus chinrav 1</t>
  </si>
  <si>
    <t>Betaarterivirus ninrav</t>
  </si>
  <si>
    <t>Eurpobartevirus</t>
  </si>
  <si>
    <t>Betaarterivirus suid 1</t>
  </si>
  <si>
    <t>Orthocoronavirinae</t>
  </si>
  <si>
    <t>Colacovirus</t>
  </si>
  <si>
    <t>Luchacovirus</t>
  </si>
  <si>
    <t>Lucheng Rn rat coronavirus</t>
  </si>
  <si>
    <t>Minacovirus</t>
  </si>
  <si>
    <t>Ferret coronavirus</t>
  </si>
  <si>
    <t>Myotacovirus</t>
  </si>
  <si>
    <t>Myotis ricketti alphacoronavirus Sax-2011</t>
  </si>
  <si>
    <t>Nyctacovirus</t>
  </si>
  <si>
    <t>Nyctalus velutinus alphacoronavirus SC-2013</t>
  </si>
  <si>
    <t>Decacovirus</t>
  </si>
  <si>
    <t>Rhinolophus ferrumequinum alphacoronavirus HuB-2013</t>
  </si>
  <si>
    <t>Pedacovirus</t>
  </si>
  <si>
    <t>Duvinacovirus</t>
  </si>
  <si>
    <t>Rhinacovirus</t>
  </si>
  <si>
    <t>Setracovirus</t>
  </si>
  <si>
    <t>NL63-related bat coronavirus strain BtKYNL63-9b</t>
  </si>
  <si>
    <t>Minunacovirus</t>
  </si>
  <si>
    <t>Tegacovirus</t>
  </si>
  <si>
    <t>Hibecovirus</t>
  </si>
  <si>
    <t>Bat Hp-betacoronavirus Zhejiang2013</t>
  </si>
  <si>
    <t>Nobecovirus</t>
  </si>
  <si>
    <t>Rousettus bat coronavirus GCCDC1</t>
  </si>
  <si>
    <t>Sarbecovirus</t>
  </si>
  <si>
    <t>Embecovirus</t>
  </si>
  <si>
    <t>China Rattus coronavirus HKU24</t>
  </si>
  <si>
    <t>Buldecovirus</t>
  </si>
  <si>
    <t>Merbecovirus</t>
  </si>
  <si>
    <t>Herdecovirus</t>
  </si>
  <si>
    <t>Igacovirus</t>
  </si>
  <si>
    <t>Andecovirus</t>
  </si>
  <si>
    <t>Mesnidovirineae</t>
  </si>
  <si>
    <t>Medioniviridae</t>
  </si>
  <si>
    <t>Medionivirinae</t>
  </si>
  <si>
    <t>Turrinivirus</t>
  </si>
  <si>
    <t>Beturrivirus</t>
  </si>
  <si>
    <t>Turrinivirus 1</t>
  </si>
  <si>
    <t>Tunicanivirinae</t>
  </si>
  <si>
    <t>Bolenivirus</t>
  </si>
  <si>
    <t>Balbicanovirus</t>
  </si>
  <si>
    <t>Botrylloides leachii nidovirus</t>
  </si>
  <si>
    <t>Moordecovirus</t>
  </si>
  <si>
    <t>Cegacovirus</t>
  </si>
  <si>
    <t>Hexponivirinae</t>
  </si>
  <si>
    <t>Casualivirus</t>
  </si>
  <si>
    <t>Kadilivirus</t>
  </si>
  <si>
    <t>Alphamesonivirus 7</t>
  </si>
  <si>
    <t>Karsalivirus</t>
  </si>
  <si>
    <t>Ofalivirus</t>
  </si>
  <si>
    <t>Alphamesonivirus 6</t>
  </si>
  <si>
    <t>Enselivirus</t>
  </si>
  <si>
    <t>Alphamesonivirus 8</t>
  </si>
  <si>
    <t>Hanalivirus</t>
  </si>
  <si>
    <t>Monidovirineae</t>
  </si>
  <si>
    <t>Mononiviridae</t>
  </si>
  <si>
    <t>Mononivirinae</t>
  </si>
  <si>
    <t>Alphamononivirus</t>
  </si>
  <si>
    <t>Dumedivirus</t>
  </si>
  <si>
    <t>Planidovirus 1</t>
  </si>
  <si>
    <t>Menolivirus</t>
  </si>
  <si>
    <t>Alphamesonivirus 9</t>
  </si>
  <si>
    <t>Ronidovirineae</t>
  </si>
  <si>
    <t>Euroniviridae</t>
  </si>
  <si>
    <t>Ceronivirinae</t>
  </si>
  <si>
    <t>Charybnivirus</t>
  </si>
  <si>
    <t>Cradenivirus</t>
  </si>
  <si>
    <t>Charybnivirus 1</t>
  </si>
  <si>
    <t>Namcalivirus</t>
  </si>
  <si>
    <t>Wenilivirus</t>
  </si>
  <si>
    <t>Decronivirus 1</t>
  </si>
  <si>
    <t>Crustonivirinae</t>
  </si>
  <si>
    <t>Paguronivirus</t>
  </si>
  <si>
    <t>Behecravirus</t>
  </si>
  <si>
    <t>Paguronivirus 1</t>
  </si>
  <si>
    <t>Okanivirinae</t>
  </si>
  <si>
    <t>Tipravirus</t>
  </si>
  <si>
    <t>Yellow head virus</t>
  </si>
  <si>
    <t>Tornidovirineae</t>
  </si>
  <si>
    <t>Tobaniviridae</t>
  </si>
  <si>
    <t>Piscanivirinae</t>
  </si>
  <si>
    <t>Pimfabavirus</t>
  </si>
  <si>
    <t>Oncotshavirus</t>
  </si>
  <si>
    <t>Salnivirus</t>
  </si>
  <si>
    <t>Remotovirinae</t>
  </si>
  <si>
    <t>Bostovirus</t>
  </si>
  <si>
    <t>Bosnitovirus</t>
  </si>
  <si>
    <t>Serpentovirinae</t>
  </si>
  <si>
    <t>Infratovirus</t>
  </si>
  <si>
    <t>Xintolivirus</t>
  </si>
  <si>
    <t>Infratovirus 1</t>
  </si>
  <si>
    <t>Pregotovirus</t>
  </si>
  <si>
    <t>Roypretovirus</t>
  </si>
  <si>
    <t>Blicbavirus</t>
  </si>
  <si>
    <t>Sectovirus</t>
  </si>
  <si>
    <t>Sanematovirus</t>
  </si>
  <si>
    <t>Sectovirus 1</t>
  </si>
  <si>
    <t>Tiruvirus</t>
  </si>
  <si>
    <t>Tilitovirus</t>
  </si>
  <si>
    <t>Shingleback nidovirus 1</t>
  </si>
  <si>
    <t>Renitovirus</t>
  </si>
  <si>
    <t>2011.019a-dV.A.v2.Megrivirus.pdf</t>
  </si>
  <si>
    <t>Banana bunchy top alphasatellite 2</t>
  </si>
  <si>
    <t>Milk vetch dwarf alphasatellite 2</t>
  </si>
  <si>
    <t>Pea necrotic yellow dwarf alphasatellite 2</t>
  </si>
  <si>
    <t>Sophora yellow stunt alphasatellite 4</t>
  </si>
  <si>
    <t>Sophora yellow stunt alphasatellite 5</t>
  </si>
  <si>
    <t>Milk vetch dwarf alphasatellite 3</t>
  </si>
  <si>
    <t>Milk vetch dwarf alphasatellite 1</t>
  </si>
  <si>
    <t>Pea necrotic yellow dwarf alphasatellite 1</t>
  </si>
  <si>
    <t>2008.123-126V.v2.Nebovirus.pdf</t>
  </si>
  <si>
    <t>Split,</t>
  </si>
  <si>
    <t>2013.014aP.A.v2.Luteovirus_2sp.pdf</t>
  </si>
  <si>
    <t>2013.016a-cP.A.v2.Luteoviridae_sprem.pdf</t>
  </si>
  <si>
    <t>2012.013aP.A.v1.Tritimovirus-sp.pdf</t>
  </si>
  <si>
    <t>Ratification_2004.pdf</t>
  </si>
  <si>
    <t>Updates approved during EC 50, Washington, D.C., July 2018; Email ratification Fall 2018 (MSL #33)</t>
  </si>
  <si>
    <t>ssRNA</t>
  </si>
  <si>
    <t>Sort</t>
  </si>
  <si>
    <t>Sort
(hidden)</t>
  </si>
  <si>
    <t>A  'Family' is a rank in the taxonomic hierarchy into which virus species can be classified.</t>
  </si>
  <si>
    <t>A  'Subrealm' is a rank in the taxonomic hierarchy into which virus species can be classified.</t>
  </si>
  <si>
    <t>A  'Kingdom' is a rank in the taxonomic hierarchy into which virus species can be classified.</t>
  </si>
  <si>
    <t>A  'Subkingdom' is a rank in the taxonomic hierarchy into which virus species can be classified.</t>
  </si>
  <si>
    <t>A  'Phylum' is a rank in the taxonomic hierarchy into which virus species can be classified.</t>
  </si>
  <si>
    <t>A  'Subphylum' is a rank in the taxonomic hierarchy into which virus species can be classified.</t>
  </si>
  <si>
    <t>A  'Class' is a rank in the taxonomic hierarchy into which virus species can be classified.</t>
  </si>
  <si>
    <t>A  'Subclass' is a rank in the taxonomic hierarchy into which virus species can be classified.</t>
  </si>
  <si>
    <t>A  'Order' is a rank in the taxonomic hierarchy into which virus species can be classified.</t>
  </si>
  <si>
    <t>A  'suborder' is a rank in the taxonomic hierarchy into which virus species can be classified.</t>
  </si>
  <si>
    <t>A  'Subfamily' is a rank in the taxonomic hierarchy into which virus species can be classified.</t>
  </si>
  <si>
    <t>A  'Genus' is a rank in the taxonomic hierarchy into which virus species can be classified.</t>
  </si>
  <si>
    <t>A  'Subgenus' is a rank in the taxonomic hierarchy into which virus species can be classified.</t>
  </si>
  <si>
    <t>The release number of the Master Species List (MSL) where the Last Change occurred. See https://talk.ictvonline.org/taxonomy/p/taxonomy_releases for a list of MSLs and their year of release.</t>
  </si>
  <si>
    <t>A 'Realm' is the highest taxonomic rank into which virus species can be classified.</t>
  </si>
  <si>
    <r>
      <t xml:space="preserve">A Species is the lowest taxonomic rank in the hierarchy approved by the ICTV. While subspecies levels of classification may exist for some viruses (e.g. </t>
    </r>
    <r>
      <rPr>
        <i/>
        <sz val="12"/>
        <color indexed="8"/>
        <rFont val="Arial"/>
        <family val="2"/>
      </rPr>
      <t>Hepatitis C virus</t>
    </r>
    <r>
      <rPr>
        <sz val="12"/>
        <color indexed="8"/>
        <rFont val="Arial"/>
        <family val="2"/>
      </rPr>
      <t>), the ICTV does not classify viruses below the species level.</t>
    </r>
  </si>
  <si>
    <t>The molecular and genetic composition of the virus genome packaged into the virion. Possible values are:
- dsDNA
- ssDNA
- ssDNA(-)
- ssDNA(+)
- ssDNA(+/-)
- dsDNA-RT
- ssRNA-RT
- dsRNA
- ssRNA
- ssRNA(-)
- ssRNA(+)
- ssRNA(+/-)</t>
  </si>
  <si>
    <t>An integer that, when sorted in numeric order, will produce the correct rank and alphabetic sorting of these species in the MSL.</t>
  </si>
  <si>
    <t>The file name of the taxonomic proposal that details the justification for the last change. Proposals can be retrieved by appending the file nameand '.pdf' to the end of the following url: https://talk.ictvonline.org/ictv/proposals/&lt;replace with file name.pdf&gt;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</si>
</sst>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mmmm\ d\,\ yyyy;@"/>
  </numFmts>
  <fonts count="22">
    <font>
      <sz val="10"/>
      <name val="Arial"/>
    </font>
    <font>
      <sz val="8"/>
      <name val="Arial"/>
      <family val="2"/>
    </font>
    <font>
      <i/>
      <sz val="10"/>
      <color indexed="8"/>
      <name val="Verdana"/>
      <family val="2"/>
    </font>
    <font>
      <sz val="8"/>
      <name val="Verdana"/>
      <family val="2"/>
    </font>
    <font>
      <sz val="14"/>
      <name val="Arial"/>
      <family val="2"/>
    </font>
    <font>
      <b/>
      <sz val="12"/>
      <name val="Arial"/>
      <family val="2"/>
    </font>
    <font>
      <sz val="12"/>
      <name val="Arial"/>
      <family val="2"/>
    </font>
    <font>
      <sz val="10"/>
      <color indexed="8"/>
      <name val="Verdana"/>
      <family val="2"/>
    </font>
    <font>
      <b/>
      <i/>
      <sz val="10"/>
      <color indexed="8"/>
      <name val="Verdana"/>
      <family val="2"/>
    </font>
    <font>
      <b/>
      <sz val="10"/>
      <color indexed="8"/>
      <name val="Verdana"/>
      <family val="2"/>
    </font>
    <font>
      <b/>
      <sz val="14"/>
      <color theme="1"/>
      <name val="Arial"/>
      <family val="2"/>
    </font>
    <font>
      <sz val="10"/>
      <color theme="1"/>
      <name val="Arial"/>
      <family val="2"/>
    </font>
    <font>
      <sz val="10"/>
      <color rgb="FF000000"/>
      <name val="Verdana"/>
      <family val="2"/>
    </font>
    <font>
      <sz val="12"/>
      <color theme="1"/>
      <name val="Calibri"/>
      <family val="2"/>
      <scheme val="minor"/>
    </font>
    <font>
      <sz val="14"/>
      <color theme="1"/>
      <name val="Arial"/>
      <family val="2"/>
    </font>
    <font>
      <b/>
      <sz val="12"/>
      <color theme="1"/>
      <name val="Arial"/>
      <family val="2"/>
    </font>
    <font>
      <sz val="12"/>
      <color theme="1"/>
      <name val="Arial"/>
      <family val="2"/>
    </font>
    <font>
      <i/>
      <sz val="12"/>
      <color indexed="8"/>
      <name val="Arial"/>
      <family val="2"/>
    </font>
    <font>
      <sz val="12"/>
      <color indexed="8"/>
      <name val="Arial"/>
      <family val="2"/>
    </font>
    <font>
      <u/>
      <sz val="10"/>
      <color theme="10"/>
      <name val="Arial"/>
      <family val="2"/>
    </font>
    <font>
      <sz val="11"/>
      <color rgb="FF006100"/>
      <name val="Calibri"/>
      <family val="2"/>
      <scheme val="minor"/>
    </font>
    <font>
      <b/>
      <sz val="10"/>
      <color rgb="FF006100"/>
      <name val="Verdana"/>
      <family val="2"/>
    </font>
  </fonts>
  <fills count="6">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C6EFCE"/>
      </patternFill>
    </fill>
  </fills>
  <borders count="13">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s>
  <cellStyleXfs count="4">
    <xf numFmtId="0" fontId="0" fillId="0" borderId="0"/>
    <xf numFmtId="0" fontId="13" fillId="0" borderId="0"/>
    <xf numFmtId="0" fontId="19" fillId="0" borderId="0" applyNumberFormat="0" applyFill="0" applyBorder="0" applyAlignment="0" applyProtection="0"/>
    <xf numFmtId="0" fontId="20" fillId="5" borderId="0" applyNumberFormat="0" applyBorder="0" applyAlignment="0" applyProtection="0"/>
  </cellStyleXfs>
  <cellXfs count="53">
    <xf numFmtId="0" fontId="0" fillId="0" borderId="0" xfId="0"/>
    <xf numFmtId="0" fontId="2" fillId="0" borderId="0" xfId="0" applyFont="1" applyFill="1"/>
    <xf numFmtId="0" fontId="2" fillId="0" borderId="0" xfId="0" applyFont="1" applyFill="1" applyBorder="1"/>
    <xf numFmtId="0" fontId="7" fillId="0" borderId="0" xfId="0" applyFont="1" applyFill="1"/>
    <xf numFmtId="0" fontId="2" fillId="0" borderId="0" xfId="0" applyFont="1" applyFill="1" applyAlignment="1"/>
    <xf numFmtId="0" fontId="0" fillId="0" borderId="0" xfId="0" applyBorder="1"/>
    <xf numFmtId="0" fontId="0" fillId="0" borderId="0" xfId="0" applyBorder="1" applyAlignment="1">
      <alignment horizontal="left"/>
    </xf>
    <xf numFmtId="0" fontId="4" fillId="0" borderId="0" xfId="0" applyFont="1" applyBorder="1"/>
    <xf numFmtId="0" fontId="4" fillId="0" borderId="0" xfId="0" applyFont="1" applyFill="1" applyBorder="1"/>
    <xf numFmtId="0" fontId="6" fillId="0" borderId="0" xfId="0" applyFont="1" applyFill="1" applyBorder="1"/>
    <xf numFmtId="15" fontId="6" fillId="0" borderId="0" xfId="0" applyNumberFormat="1" applyFont="1" applyFill="1" applyBorder="1"/>
    <xf numFmtId="0" fontId="0" fillId="0" borderId="0" xfId="0" applyFill="1" applyBorder="1"/>
    <xf numFmtId="15" fontId="6" fillId="0" borderId="0" xfId="0" applyNumberFormat="1" applyFont="1" applyFill="1" applyBorder="1" applyAlignment="1">
      <alignment horizontal="right"/>
    </xf>
    <xf numFmtId="0" fontId="5" fillId="0" borderId="1" xfId="0" applyFont="1" applyFill="1" applyBorder="1" applyAlignment="1">
      <alignment horizontal="right"/>
    </xf>
    <xf numFmtId="0" fontId="5" fillId="0" borderId="2" xfId="0" applyFont="1" applyFill="1" applyBorder="1" applyAlignment="1">
      <alignment horizontal="right"/>
    </xf>
    <xf numFmtId="15" fontId="6" fillId="0" borderId="3" xfId="0" applyNumberFormat="1" applyFont="1" applyFill="1" applyBorder="1" applyAlignment="1">
      <alignment horizontal="right"/>
    </xf>
    <xf numFmtId="0" fontId="5" fillId="3" borderId="4" xfId="0" applyFont="1" applyFill="1" applyBorder="1" applyAlignment="1">
      <alignment horizontal="right"/>
    </xf>
    <xf numFmtId="0" fontId="6" fillId="3" borderId="5" xfId="0" applyFont="1" applyFill="1" applyBorder="1"/>
    <xf numFmtId="0" fontId="10" fillId="4" borderId="6" xfId="0" applyFont="1" applyFill="1" applyBorder="1" applyAlignment="1">
      <alignment horizontal="left" vertical="center"/>
    </xf>
    <xf numFmtId="0" fontId="11" fillId="4" borderId="7" xfId="0" applyFont="1" applyFill="1" applyBorder="1" applyAlignment="1">
      <alignment horizontal="left" vertical="center"/>
    </xf>
    <xf numFmtId="0" fontId="0" fillId="0" borderId="0" xfId="0" applyBorder="1" applyAlignment="1">
      <alignment horizontal="left" vertical="center"/>
    </xf>
    <xf numFmtId="49" fontId="5" fillId="0" borderId="9" xfId="0" applyNumberFormat="1" applyFont="1" applyFill="1" applyBorder="1" applyAlignment="1">
      <alignment horizontal="left" vertical="center"/>
    </xf>
    <xf numFmtId="49" fontId="7" fillId="0" borderId="0" xfId="0" applyNumberFormat="1" applyFont="1" applyFill="1"/>
    <xf numFmtId="49" fontId="7" fillId="0" borderId="0" xfId="0" applyNumberFormat="1" applyFont="1" applyFill="1" applyAlignment="1"/>
    <xf numFmtId="0" fontId="8" fillId="0" borderId="0" xfId="0" applyFont="1" applyFill="1"/>
    <xf numFmtId="0" fontId="12" fillId="0" borderId="0" xfId="0" applyFont="1" applyFill="1"/>
    <xf numFmtId="49" fontId="8" fillId="2" borderId="12" xfId="0" applyNumberFormat="1" applyFont="1" applyFill="1" applyBorder="1" applyAlignment="1">
      <alignment wrapText="1"/>
    </xf>
    <xf numFmtId="0" fontId="8" fillId="2" borderId="12" xfId="0" applyFont="1" applyFill="1" applyBorder="1" applyAlignment="1">
      <alignment wrapText="1"/>
    </xf>
    <xf numFmtId="0" fontId="9" fillId="2" borderId="12" xfId="0" applyFont="1" applyFill="1" applyBorder="1" applyAlignment="1">
      <alignment wrapText="1"/>
    </xf>
    <xf numFmtId="0" fontId="2" fillId="0" borderId="0" xfId="0" applyFont="1" applyFill="1" applyAlignment="1">
      <alignment wrapText="1"/>
    </xf>
    <xf numFmtId="0" fontId="6" fillId="0" borderId="0" xfId="0" applyFont="1" applyFill="1" applyBorder="1" applyAlignment="1">
      <alignment horizontal="left" vertical="center"/>
    </xf>
    <xf numFmtId="0" fontId="6" fillId="3" borderId="9" xfId="0" applyFont="1" applyFill="1" applyBorder="1" applyAlignment="1">
      <alignment horizontal="left" vertical="center"/>
    </xf>
    <xf numFmtId="0" fontId="6" fillId="0" borderId="11" xfId="0" applyFont="1" applyFill="1" applyBorder="1" applyAlignment="1">
      <alignment horizontal="left" vertical="center"/>
    </xf>
    <xf numFmtId="0" fontId="6" fillId="0" borderId="0" xfId="0" applyFont="1" applyBorder="1"/>
    <xf numFmtId="0" fontId="6" fillId="0" borderId="0" xfId="0" applyFont="1" applyBorder="1" applyAlignment="1">
      <alignment horizontal="left" vertical="center"/>
    </xf>
    <xf numFmtId="49" fontId="10" fillId="0" borderId="4" xfId="1" applyNumberFormat="1" applyFont="1" applyBorder="1" applyAlignment="1">
      <alignment wrapText="1"/>
    </xf>
    <xf numFmtId="49" fontId="14" fillId="0" borderId="0" xfId="1" applyNumberFormat="1" applyFont="1" applyAlignment="1">
      <alignment wrapText="1"/>
    </xf>
    <xf numFmtId="49" fontId="15" fillId="0" borderId="1" xfId="1" applyNumberFormat="1" applyFont="1" applyBorder="1" applyAlignment="1">
      <alignment horizontal="right" vertical="center" wrapText="1"/>
    </xf>
    <xf numFmtId="49" fontId="16" fillId="0" borderId="0" xfId="1" applyNumberFormat="1" applyFont="1" applyAlignment="1">
      <alignment wrapText="1"/>
    </xf>
    <xf numFmtId="49" fontId="15" fillId="0" borderId="2" xfId="1" applyNumberFormat="1" applyFont="1" applyBorder="1" applyAlignment="1">
      <alignment horizontal="right" vertical="center" wrapText="1"/>
    </xf>
    <xf numFmtId="164" fontId="6" fillId="0" borderId="8" xfId="0" applyNumberFormat="1" applyFont="1" applyFill="1" applyBorder="1" applyAlignment="1">
      <alignment horizontal="right"/>
    </xf>
    <xf numFmtId="0" fontId="19" fillId="0" borderId="0" xfId="2" applyFill="1"/>
    <xf numFmtId="0" fontId="19" fillId="0" borderId="10" xfId="2" applyFill="1" applyBorder="1" applyAlignment="1">
      <alignment horizontal="left" vertical="center"/>
    </xf>
    <xf numFmtId="0" fontId="9" fillId="2" borderId="12" xfId="0" applyFont="1" applyFill="1" applyBorder="1" applyAlignment="1"/>
    <xf numFmtId="49" fontId="16" fillId="0" borderId="8" xfId="1" applyNumberFormat="1" applyFont="1" applyBorder="1" applyAlignment="1">
      <alignment vertical="top" wrapText="1"/>
    </xf>
    <xf numFmtId="49" fontId="10" fillId="0" borderId="5" xfId="1" applyNumberFormat="1" applyFont="1" applyBorder="1" applyAlignment="1">
      <alignment vertical="top" wrapText="1"/>
    </xf>
    <xf numFmtId="49" fontId="16" fillId="0" borderId="8" xfId="1" quotePrefix="1" applyNumberFormat="1" applyFont="1" applyBorder="1" applyAlignment="1">
      <alignment vertical="top" wrapText="1"/>
    </xf>
    <xf numFmtId="49" fontId="16" fillId="0" borderId="3" xfId="1" applyNumberFormat="1" applyFont="1" applyBorder="1" applyAlignment="1">
      <alignment vertical="top" wrapText="1"/>
    </xf>
    <xf numFmtId="49" fontId="16" fillId="0" borderId="0" xfId="1" applyNumberFormat="1" applyFont="1" applyAlignment="1">
      <alignment vertical="top" wrapText="1"/>
    </xf>
    <xf numFmtId="0" fontId="21" fillId="5" borderId="0" xfId="3" applyFont="1" applyAlignment="1">
      <alignment wrapText="1"/>
    </xf>
    <xf numFmtId="0" fontId="8" fillId="2" borderId="12" xfId="0" applyFont="1" applyFill="1" applyBorder="1" applyAlignment="1">
      <alignment horizontal="left" wrapText="1"/>
    </xf>
    <xf numFmtId="0" fontId="7" fillId="0" borderId="0" xfId="0" applyFont="1" applyFill="1" applyAlignment="1">
      <alignment horizontal="left"/>
    </xf>
    <xf numFmtId="0" fontId="12" fillId="0" borderId="0" xfId="0" applyFont="1" applyFill="1" applyAlignment="1">
      <alignment horizontal="left"/>
    </xf>
  </cellXfs>
  <cellStyles count="4">
    <cellStyle name="Good" xfId="3" builtinId="26"/>
    <cellStyle name="Hyperlink" xfId="2" builtinId="8"/>
    <cellStyle name="Normal" xfId="0" builtinId="0"/>
    <cellStyle name="Normal 2" xfId="1" xr:uid="{00000000-0005-0000-0000-000003000000}"/>
  </cellStyles>
  <dxfs count="6">
    <dxf>
      <font>
        <color rgb="FF006100"/>
      </font>
      <fill>
        <patternFill>
          <bgColor rgb="FFC6EFCE"/>
        </patternFill>
      </fill>
    </dxf>
    <dxf>
      <font>
        <color rgb="FF9C0006"/>
      </font>
      <fill>
        <patternFill>
          <bgColor rgb="FFFFC7CE"/>
        </patternFill>
      </fill>
    </dxf>
    <dxf>
      <font>
        <b val="0"/>
        <i val="0"/>
      </font>
    </dxf>
    <dxf>
      <font>
        <condense val="0"/>
        <extend val="0"/>
        <color indexed="9"/>
      </font>
      <fill>
        <patternFill>
          <bgColor indexed="23"/>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5"/>
      <tableStyleElement type="headerRow" dxfId="4"/>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
  <sheetViews>
    <sheetView showGridLines="0" tabSelected="1" zoomScale="125" workbookViewId="0"/>
  </sheetViews>
  <sheetFormatPr baseColWidth="10" defaultColWidth="11.5" defaultRowHeight="13"/>
  <cols>
    <col min="1" max="1" width="3.33203125" style="5" customWidth="1"/>
    <col min="2" max="2" width="11.83203125" style="5" customWidth="1"/>
    <col min="3" max="3" width="23.5" style="5" customWidth="1"/>
    <col min="4" max="4" width="4.6640625" style="5" customWidth="1"/>
    <col min="5" max="5" width="105" style="20" bestFit="1" customWidth="1"/>
    <col min="6" max="6" width="54.6640625" style="5" customWidth="1"/>
    <col min="7" max="7" width="10.83203125" style="5" customWidth="1"/>
    <col min="8" max="16384" width="11.5" style="5"/>
  </cols>
  <sheetData>
    <row r="1" spans="1:6" ht="14" thickBot="1"/>
    <row r="2" spans="1:6" s="7" customFormat="1" ht="19" thickBot="1">
      <c r="B2" s="18" t="s">
        <v>6373</v>
      </c>
      <c r="C2" s="19"/>
      <c r="D2" s="19"/>
      <c r="E2" s="19"/>
      <c r="F2" s="6"/>
    </row>
    <row r="3" spans="1:6" ht="17" thickBot="1">
      <c r="A3" s="11"/>
      <c r="B3" s="9"/>
      <c r="C3" s="9"/>
      <c r="D3" s="9"/>
      <c r="E3" s="30"/>
    </row>
    <row r="4" spans="1:6" ht="18">
      <c r="A4" s="8"/>
      <c r="B4" s="16" t="s">
        <v>418</v>
      </c>
      <c r="C4" s="17">
        <v>1</v>
      </c>
      <c r="D4" s="9"/>
      <c r="E4" s="31" t="str">
        <f>CONCATENATE("Version ",C4)</f>
        <v>Version 1</v>
      </c>
    </row>
    <row r="5" spans="1:6" ht="15" customHeight="1">
      <c r="A5" s="9"/>
      <c r="B5" s="13" t="s">
        <v>1306</v>
      </c>
      <c r="C5" s="40">
        <v>43390</v>
      </c>
      <c r="D5" s="10"/>
      <c r="E5" s="21" t="s">
        <v>6372</v>
      </c>
    </row>
    <row r="6" spans="1:6" ht="17" thickBot="1">
      <c r="A6" s="9"/>
      <c r="B6" s="14" t="s">
        <v>1307</v>
      </c>
      <c r="C6" s="15" t="s">
        <v>1304</v>
      </c>
      <c r="D6" s="12"/>
      <c r="E6" s="32" t="s">
        <v>6711</v>
      </c>
    </row>
    <row r="7" spans="1:6" ht="16">
      <c r="A7" s="9"/>
      <c r="B7" s="9"/>
      <c r="C7" s="9"/>
      <c r="D7" s="9"/>
      <c r="E7" s="42" t="str">
        <f>HYPERLINK(" http://www.ictvonline.org/","For more information see: http://www.ictvonline.org/")</f>
        <v>For more information see: http://www.ictvonline.org/</v>
      </c>
    </row>
    <row r="8" spans="1:6" ht="16">
      <c r="A8" s="11"/>
      <c r="B8" s="9"/>
      <c r="C8" s="9"/>
      <c r="D8" s="9"/>
      <c r="E8" s="30"/>
    </row>
    <row r="9" spans="1:6" ht="16">
      <c r="A9" s="11"/>
      <c r="B9" s="9"/>
      <c r="C9" s="9"/>
      <c r="D9" s="9"/>
      <c r="E9" s="30"/>
    </row>
    <row r="10" spans="1:6" ht="16">
      <c r="B10" s="33"/>
      <c r="C10" s="33"/>
      <c r="D10" s="33"/>
      <c r="E10" s="34"/>
    </row>
    <row r="11" spans="1:6" ht="16">
      <c r="B11" s="33"/>
      <c r="C11" s="33"/>
      <c r="D11" s="33"/>
      <c r="E11" s="34"/>
    </row>
    <row r="12" spans="1:6" ht="16">
      <c r="B12" s="33"/>
      <c r="C12" s="33"/>
      <c r="D12" s="33"/>
      <c r="E12" s="34"/>
    </row>
    <row r="13" spans="1:6" ht="16">
      <c r="B13" s="33"/>
      <c r="C13" s="33"/>
      <c r="D13" s="33"/>
      <c r="E13" s="34"/>
    </row>
    <row r="14" spans="1:6" ht="16">
      <c r="B14" s="33"/>
      <c r="C14" s="33"/>
      <c r="D14" s="33"/>
      <c r="E14" s="34"/>
    </row>
    <row r="15" spans="1:6" ht="16">
      <c r="B15" s="33"/>
      <c r="C15" s="33"/>
      <c r="D15" s="33"/>
      <c r="E15" s="34"/>
    </row>
    <row r="16" spans="1:6" ht="16">
      <c r="B16" s="33"/>
      <c r="C16" s="33"/>
      <c r="D16" s="33"/>
      <c r="E16" s="34"/>
    </row>
    <row r="17" spans="2:5" ht="16">
      <c r="B17" s="33"/>
      <c r="C17" s="33"/>
      <c r="D17" s="33"/>
      <c r="E17" s="34"/>
    </row>
    <row r="18" spans="2:5" ht="16">
      <c r="B18" s="33"/>
      <c r="C18" s="33"/>
      <c r="D18" s="33"/>
      <c r="E18" s="34"/>
    </row>
    <row r="19" spans="2:5" ht="16">
      <c r="B19" s="33"/>
      <c r="C19" s="33"/>
      <c r="D19" s="33"/>
      <c r="E19" s="34"/>
    </row>
    <row r="20" spans="2:5" ht="16">
      <c r="B20" s="33"/>
      <c r="C20" s="33"/>
      <c r="D20" s="33"/>
      <c r="E20" s="34"/>
    </row>
    <row r="21" spans="2:5" ht="16">
      <c r="B21" s="33"/>
      <c r="C21" s="33"/>
      <c r="D21" s="33"/>
      <c r="E21" s="34"/>
    </row>
    <row r="22" spans="2:5" ht="16">
      <c r="B22" s="33"/>
      <c r="C22" s="33"/>
      <c r="D22" s="33"/>
      <c r="E22" s="34"/>
    </row>
    <row r="23" spans="2:5" ht="16">
      <c r="B23" s="33"/>
      <c r="C23" s="33"/>
      <c r="D23" s="33"/>
      <c r="E23" s="34"/>
    </row>
  </sheetData>
  <phoneticPr fontId="3" type="noConversion"/>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showGridLines="0" zoomScale="140" zoomScaleNormal="140" workbookViewId="0"/>
  </sheetViews>
  <sheetFormatPr baseColWidth="10" defaultColWidth="10.83203125" defaultRowHeight="16"/>
  <cols>
    <col min="1" max="1" width="32.6640625" style="38" bestFit="1" customWidth="1"/>
    <col min="2" max="2" width="59.6640625" style="48" customWidth="1"/>
    <col min="3" max="16384" width="10.83203125" style="38"/>
  </cols>
  <sheetData>
    <row r="1" spans="1:2" s="36" customFormat="1" ht="19">
      <c r="A1" s="35" t="s">
        <v>4169</v>
      </c>
      <c r="B1" s="45" t="s">
        <v>4170</v>
      </c>
    </row>
    <row r="2" spans="1:2" s="36" customFormat="1" ht="34">
      <c r="A2" s="37" t="s">
        <v>6714</v>
      </c>
      <c r="B2" s="44" t="s">
        <v>6732</v>
      </c>
    </row>
    <row r="3" spans="1:2" s="36" customFormat="1" ht="34">
      <c r="A3" s="37" t="s">
        <v>6362</v>
      </c>
      <c r="B3" s="46" t="s">
        <v>6729</v>
      </c>
    </row>
    <row r="4" spans="1:2" s="36" customFormat="1" ht="34">
      <c r="A4" s="37" t="s">
        <v>6363</v>
      </c>
      <c r="B4" s="44" t="s">
        <v>6716</v>
      </c>
    </row>
    <row r="5" spans="1:2" s="36" customFormat="1" ht="34">
      <c r="A5" s="37" t="s">
        <v>6364</v>
      </c>
      <c r="B5" s="44" t="s">
        <v>6717</v>
      </c>
    </row>
    <row r="6" spans="1:2" s="36" customFormat="1" ht="34">
      <c r="A6" s="37" t="s">
        <v>6365</v>
      </c>
      <c r="B6" s="44" t="s">
        <v>6718</v>
      </c>
    </row>
    <row r="7" spans="1:2" s="36" customFormat="1" ht="34">
      <c r="A7" s="37" t="s">
        <v>6366</v>
      </c>
      <c r="B7" s="44" t="s">
        <v>6719</v>
      </c>
    </row>
    <row r="8" spans="1:2" s="36" customFormat="1" ht="34">
      <c r="A8" s="37" t="s">
        <v>6367</v>
      </c>
      <c r="B8" s="44" t="s">
        <v>6720</v>
      </c>
    </row>
    <row r="9" spans="1:2" s="36" customFormat="1" ht="34">
      <c r="A9" s="37" t="s">
        <v>6368</v>
      </c>
      <c r="B9" s="44" t="s">
        <v>6721</v>
      </c>
    </row>
    <row r="10" spans="1:2" s="36" customFormat="1" ht="34">
      <c r="A10" s="37" t="s">
        <v>6369</v>
      </c>
      <c r="B10" s="44" t="s">
        <v>6722</v>
      </c>
    </row>
    <row r="11" spans="1:2" ht="34">
      <c r="A11" s="37" t="s">
        <v>1049</v>
      </c>
      <c r="B11" s="44" t="s">
        <v>6723</v>
      </c>
    </row>
    <row r="12" spans="1:2" ht="34">
      <c r="A12" s="37" t="s">
        <v>6370</v>
      </c>
      <c r="B12" s="44" t="s">
        <v>6724</v>
      </c>
    </row>
    <row r="13" spans="1:2" ht="34">
      <c r="A13" s="37" t="s">
        <v>1844</v>
      </c>
      <c r="B13" s="44" t="s">
        <v>6715</v>
      </c>
    </row>
    <row r="14" spans="1:2" ht="34">
      <c r="A14" s="37" t="s">
        <v>1845</v>
      </c>
      <c r="B14" s="44" t="s">
        <v>6725</v>
      </c>
    </row>
    <row r="15" spans="1:2" ht="34">
      <c r="A15" s="37" t="s">
        <v>1846</v>
      </c>
      <c r="B15" s="44" t="s">
        <v>6726</v>
      </c>
    </row>
    <row r="16" spans="1:2" ht="34">
      <c r="A16" s="37" t="s">
        <v>6371</v>
      </c>
      <c r="B16" s="44" t="s">
        <v>6727</v>
      </c>
    </row>
    <row r="17" spans="1:2" ht="68">
      <c r="A17" s="37" t="s">
        <v>1847</v>
      </c>
      <c r="B17" s="44" t="s">
        <v>6730</v>
      </c>
    </row>
    <row r="18" spans="1:2" ht="68">
      <c r="A18" s="37" t="s">
        <v>2772</v>
      </c>
      <c r="B18" s="44" t="s">
        <v>4171</v>
      </c>
    </row>
    <row r="19" spans="1:2" ht="221" customHeight="1">
      <c r="A19" s="37" t="s">
        <v>2771</v>
      </c>
      <c r="B19" s="44" t="s">
        <v>6731</v>
      </c>
    </row>
    <row r="20" spans="1:2" ht="175" customHeight="1">
      <c r="A20" s="37" t="s">
        <v>2774</v>
      </c>
      <c r="B20" s="44" t="s">
        <v>4172</v>
      </c>
    </row>
    <row r="21" spans="1:2" ht="68">
      <c r="A21" s="37" t="s">
        <v>4174</v>
      </c>
      <c r="B21" s="44" t="s">
        <v>6728</v>
      </c>
    </row>
    <row r="22" spans="1:2" ht="85">
      <c r="A22" s="37" t="s">
        <v>5508</v>
      </c>
      <c r="B22" s="44" t="s">
        <v>6733</v>
      </c>
    </row>
    <row r="23" spans="1:2" ht="52" thickBot="1">
      <c r="A23" s="39" t="s">
        <v>2773</v>
      </c>
      <c r="B23" s="47" t="s">
        <v>4173</v>
      </c>
    </row>
  </sheetData>
  <pageMargins left="0.7" right="0.7" top="0.75" bottom="0.75"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V4959"/>
  <sheetViews>
    <sheetView zoomScale="90" zoomScaleNormal="90" workbookViewId="0">
      <pane ySplit="1" topLeftCell="A2" activePane="bottomLeft" state="frozen"/>
      <selection pane="bottomLeft"/>
    </sheetView>
  </sheetViews>
  <sheetFormatPr baseColWidth="10" defaultColWidth="8.83203125" defaultRowHeight="13"/>
  <cols>
    <col min="1" max="1" width="8.1640625" style="3" customWidth="1"/>
    <col min="2" max="5" width="12.83203125" style="1" customWidth="1"/>
    <col min="6" max="15" width="18.83203125" style="1" customWidth="1"/>
    <col min="16" max="16" width="39.5" style="1" customWidth="1"/>
    <col min="17" max="17" width="9.1640625" style="3" customWidth="1"/>
    <col min="18" max="18" width="16" style="22" bestFit="1" customWidth="1"/>
    <col min="19" max="19" width="16.6640625" style="22" customWidth="1"/>
    <col min="20" max="20" width="8.83203125" style="51" bestFit="1" customWidth="1"/>
    <col min="21" max="21" width="44.83203125" style="3" bestFit="1" customWidth="1"/>
    <col min="22" max="22" width="19.33203125" style="41" bestFit="1" customWidth="1"/>
    <col min="23" max="16384" width="8.83203125" style="1"/>
  </cols>
  <sheetData>
    <row r="1" spans="1:22" s="29" customFormat="1" ht="42">
      <c r="A1" s="49" t="s">
        <v>6713</v>
      </c>
      <c r="B1" s="43" t="s">
        <v>6362</v>
      </c>
      <c r="C1" s="43" t="s">
        <v>6363</v>
      </c>
      <c r="D1" s="43" t="s">
        <v>6364</v>
      </c>
      <c r="E1" s="43" t="s">
        <v>6365</v>
      </c>
      <c r="F1" s="43" t="s">
        <v>6366</v>
      </c>
      <c r="G1" s="43" t="s">
        <v>6367</v>
      </c>
      <c r="H1" s="43" t="s">
        <v>6368</v>
      </c>
      <c r="I1" s="43" t="s">
        <v>6369</v>
      </c>
      <c r="J1" s="28" t="s">
        <v>1049</v>
      </c>
      <c r="K1" s="28" t="s">
        <v>6370</v>
      </c>
      <c r="L1" s="28" t="s">
        <v>1844</v>
      </c>
      <c r="M1" s="28" t="s">
        <v>1845</v>
      </c>
      <c r="N1" s="28" t="s">
        <v>1846</v>
      </c>
      <c r="O1" s="28" t="s">
        <v>6371</v>
      </c>
      <c r="P1" s="28" t="s">
        <v>1847</v>
      </c>
      <c r="Q1" s="28" t="s">
        <v>2772</v>
      </c>
      <c r="R1" s="26" t="s">
        <v>2771</v>
      </c>
      <c r="S1" s="27" t="s">
        <v>2774</v>
      </c>
      <c r="T1" s="50" t="s">
        <v>4174</v>
      </c>
      <c r="U1" s="27" t="s">
        <v>5508</v>
      </c>
      <c r="V1" s="27" t="s">
        <v>2773</v>
      </c>
    </row>
    <row r="2" spans="1:22">
      <c r="A2" s="3">
        <v>1</v>
      </c>
      <c r="F2" s="1" t="s">
        <v>6374</v>
      </c>
      <c r="G2" s="1" t="s">
        <v>6375</v>
      </c>
      <c r="H2" s="1" t="s">
        <v>6376</v>
      </c>
      <c r="J2" s="1" t="s">
        <v>6377</v>
      </c>
      <c r="L2" s="1" t="s">
        <v>6378</v>
      </c>
      <c r="N2" s="1" t="s">
        <v>6379</v>
      </c>
      <c r="P2" s="1" t="s">
        <v>6380</v>
      </c>
      <c r="Q2" s="3">
        <v>0</v>
      </c>
      <c r="R2" s="22" t="s">
        <v>2765</v>
      </c>
      <c r="S2" s="22" t="s">
        <v>5097</v>
      </c>
      <c r="T2" s="51">
        <v>33</v>
      </c>
      <c r="U2" s="3" t="s">
        <v>6381</v>
      </c>
      <c r="V2" s="41" t="str">
        <f>HYPERLINK("http://ictvonline.org/taxonomy/p/taxonomy-history?taxnode_id=20186030","ICTVonline=20186030")</f>
        <v>ICTVonline=20186030</v>
      </c>
    </row>
    <row r="3" spans="1:22">
      <c r="A3" s="3">
        <v>2</v>
      </c>
      <c r="F3" s="1" t="s">
        <v>6374</v>
      </c>
      <c r="G3" s="1" t="s">
        <v>6375</v>
      </c>
      <c r="H3" s="1" t="s">
        <v>6376</v>
      </c>
      <c r="J3" s="1" t="s">
        <v>6377</v>
      </c>
      <c r="L3" s="1" t="s">
        <v>6378</v>
      </c>
      <c r="N3" s="1" t="s">
        <v>6379</v>
      </c>
      <c r="P3" s="1" t="s">
        <v>6382</v>
      </c>
      <c r="Q3" s="3">
        <v>0</v>
      </c>
      <c r="R3" s="22" t="s">
        <v>2765</v>
      </c>
      <c r="S3" s="22" t="s">
        <v>5097</v>
      </c>
      <c r="T3" s="51">
        <v>33</v>
      </c>
      <c r="U3" s="3" t="s">
        <v>6381</v>
      </c>
      <c r="V3" s="41" t="str">
        <f>HYPERLINK("http://ictvonline.org/taxonomy/p/taxonomy-history?taxnode_id=20186031","ICTVonline=20186031")</f>
        <v>ICTVonline=20186031</v>
      </c>
    </row>
    <row r="4" spans="1:22">
      <c r="A4" s="3">
        <v>3</v>
      </c>
      <c r="F4" s="1" t="s">
        <v>6374</v>
      </c>
      <c r="G4" s="1" t="s">
        <v>6375</v>
      </c>
      <c r="H4" s="1" t="s">
        <v>6376</v>
      </c>
      <c r="J4" s="1" t="s">
        <v>6377</v>
      </c>
      <c r="L4" s="1" t="s">
        <v>6378</v>
      </c>
      <c r="N4" s="1" t="s">
        <v>6379</v>
      </c>
      <c r="P4" s="1" t="s">
        <v>6383</v>
      </c>
      <c r="Q4" s="3">
        <v>0</v>
      </c>
      <c r="R4" s="22" t="s">
        <v>2765</v>
      </c>
      <c r="S4" s="22" t="s">
        <v>5097</v>
      </c>
      <c r="T4" s="51">
        <v>33</v>
      </c>
      <c r="U4" s="3" t="s">
        <v>6381</v>
      </c>
      <c r="V4" s="41" t="str">
        <f>HYPERLINK("http://ictvonline.org/taxonomy/p/taxonomy-history?taxnode_id=20186032","ICTVonline=20186032")</f>
        <v>ICTVonline=20186032</v>
      </c>
    </row>
    <row r="5" spans="1:22">
      <c r="A5" s="3">
        <v>4</v>
      </c>
      <c r="F5" s="1" t="s">
        <v>6374</v>
      </c>
      <c r="G5" s="1" t="s">
        <v>6375</v>
      </c>
      <c r="H5" s="1" t="s">
        <v>6376</v>
      </c>
      <c r="J5" s="1" t="s">
        <v>6377</v>
      </c>
      <c r="L5" s="1" t="s">
        <v>6378</v>
      </c>
      <c r="N5" s="1" t="s">
        <v>6379</v>
      </c>
      <c r="P5" s="1" t="s">
        <v>6384</v>
      </c>
      <c r="Q5" s="3">
        <v>0</v>
      </c>
      <c r="R5" s="22" t="s">
        <v>2765</v>
      </c>
      <c r="S5" s="22" t="s">
        <v>5097</v>
      </c>
      <c r="T5" s="51">
        <v>33</v>
      </c>
      <c r="U5" s="3" t="s">
        <v>6381</v>
      </c>
      <c r="V5" s="41" t="str">
        <f>HYPERLINK("http://ictvonline.org/taxonomy/p/taxonomy-history?taxnode_id=20186033","ICTVonline=20186033")</f>
        <v>ICTVonline=20186033</v>
      </c>
    </row>
    <row r="6" spans="1:22">
      <c r="A6" s="3">
        <v>5</v>
      </c>
      <c r="F6" s="1" t="s">
        <v>6374</v>
      </c>
      <c r="G6" s="1" t="s">
        <v>6375</v>
      </c>
      <c r="H6" s="1" t="s">
        <v>6376</v>
      </c>
      <c r="J6" s="1" t="s">
        <v>6377</v>
      </c>
      <c r="L6" s="1" t="s">
        <v>6378</v>
      </c>
      <c r="N6" s="1" t="s">
        <v>6379</v>
      </c>
      <c r="P6" s="1" t="s">
        <v>6385</v>
      </c>
      <c r="Q6" s="3">
        <v>0</v>
      </c>
      <c r="R6" s="22" t="s">
        <v>2765</v>
      </c>
      <c r="S6" s="22" t="s">
        <v>5097</v>
      </c>
      <c r="T6" s="51">
        <v>33</v>
      </c>
      <c r="U6" s="3" t="s">
        <v>6381</v>
      </c>
      <c r="V6" s="41" t="str">
        <f>HYPERLINK("http://ictvonline.org/taxonomy/p/taxonomy-history?taxnode_id=20186034","ICTVonline=20186034")</f>
        <v>ICTVonline=20186034</v>
      </c>
    </row>
    <row r="7" spans="1:22">
      <c r="A7" s="3">
        <v>6</v>
      </c>
      <c r="F7" s="1" t="s">
        <v>6374</v>
      </c>
      <c r="G7" s="1" t="s">
        <v>6375</v>
      </c>
      <c r="H7" s="1" t="s">
        <v>6376</v>
      </c>
      <c r="J7" s="1" t="s">
        <v>6377</v>
      </c>
      <c r="L7" s="1" t="s">
        <v>6378</v>
      </c>
      <c r="N7" s="1" t="s">
        <v>6379</v>
      </c>
      <c r="P7" s="1" t="s">
        <v>6386</v>
      </c>
      <c r="Q7" s="3">
        <v>0</v>
      </c>
      <c r="R7" s="22" t="s">
        <v>2765</v>
      </c>
      <c r="S7" s="22" t="s">
        <v>5097</v>
      </c>
      <c r="T7" s="51">
        <v>33</v>
      </c>
      <c r="U7" s="3" t="s">
        <v>6381</v>
      </c>
      <c r="V7" s="41" t="str">
        <f>HYPERLINK("http://ictvonline.org/taxonomy/p/taxonomy-history?taxnode_id=20186035","ICTVonline=20186035")</f>
        <v>ICTVonline=20186035</v>
      </c>
    </row>
    <row r="8" spans="1:22">
      <c r="A8" s="3">
        <v>7</v>
      </c>
      <c r="F8" s="1" t="s">
        <v>6374</v>
      </c>
      <c r="G8" s="1" t="s">
        <v>6375</v>
      </c>
      <c r="H8" s="1" t="s">
        <v>6376</v>
      </c>
      <c r="J8" s="1" t="s">
        <v>6377</v>
      </c>
      <c r="L8" s="1" t="s">
        <v>6378</v>
      </c>
      <c r="N8" s="1" t="s">
        <v>6379</v>
      </c>
      <c r="P8" s="1" t="s">
        <v>6387</v>
      </c>
      <c r="Q8" s="3">
        <v>1</v>
      </c>
      <c r="R8" s="22" t="s">
        <v>2765</v>
      </c>
      <c r="S8" s="22" t="s">
        <v>5097</v>
      </c>
      <c r="T8" s="51">
        <v>33</v>
      </c>
      <c r="U8" s="3" t="s">
        <v>6381</v>
      </c>
      <c r="V8" s="41" t="str">
        <f>HYPERLINK("http://ictvonline.org/taxonomy/p/taxonomy-history?taxnode_id=20186036","ICTVonline=20186036")</f>
        <v>ICTVonline=20186036</v>
      </c>
    </row>
    <row r="9" spans="1:22">
      <c r="A9" s="3">
        <v>8</v>
      </c>
      <c r="F9" s="1" t="s">
        <v>6374</v>
      </c>
      <c r="G9" s="1" t="s">
        <v>6375</v>
      </c>
      <c r="H9" s="1" t="s">
        <v>6376</v>
      </c>
      <c r="J9" s="1" t="s">
        <v>6377</v>
      </c>
      <c r="L9" s="1" t="s">
        <v>6378</v>
      </c>
      <c r="N9" s="1" t="s">
        <v>6379</v>
      </c>
      <c r="P9" s="1" t="s">
        <v>6388</v>
      </c>
      <c r="Q9" s="3">
        <v>0</v>
      </c>
      <c r="R9" s="22" t="s">
        <v>2765</v>
      </c>
      <c r="S9" s="22" t="s">
        <v>5097</v>
      </c>
      <c r="T9" s="51">
        <v>33</v>
      </c>
      <c r="U9" s="3" t="s">
        <v>6381</v>
      </c>
      <c r="V9" s="41" t="str">
        <f>HYPERLINK("http://ictvonline.org/taxonomy/p/taxonomy-history?taxnode_id=20186037","ICTVonline=20186037")</f>
        <v>ICTVonline=20186037</v>
      </c>
    </row>
    <row r="10" spans="1:22">
      <c r="A10" s="3">
        <v>9</v>
      </c>
      <c r="F10" s="1" t="s">
        <v>6374</v>
      </c>
      <c r="G10" s="1" t="s">
        <v>6375</v>
      </c>
      <c r="H10" s="1" t="s">
        <v>6389</v>
      </c>
      <c r="J10" s="1" t="s">
        <v>6390</v>
      </c>
      <c r="L10" s="1" t="s">
        <v>5824</v>
      </c>
      <c r="N10" s="1" t="s">
        <v>1632</v>
      </c>
      <c r="P10" s="1" t="s">
        <v>5825</v>
      </c>
      <c r="Q10" s="3">
        <v>0</v>
      </c>
      <c r="R10" s="22" t="s">
        <v>2765</v>
      </c>
      <c r="S10" s="22" t="s">
        <v>5099</v>
      </c>
      <c r="T10" s="51">
        <v>33</v>
      </c>
      <c r="U10" s="3" t="s">
        <v>6381</v>
      </c>
      <c r="V10" s="41" t="str">
        <f>HYPERLINK("http://ictvonline.org/taxonomy/p/taxonomy-history?taxnode_id=20183946","ICTVonline=20183946")</f>
        <v>ICTVonline=20183946</v>
      </c>
    </row>
    <row r="11" spans="1:22">
      <c r="A11" s="3">
        <v>10</v>
      </c>
      <c r="F11" s="1" t="s">
        <v>6374</v>
      </c>
      <c r="G11" s="1" t="s">
        <v>6375</v>
      </c>
      <c r="H11" s="1" t="s">
        <v>6389</v>
      </c>
      <c r="J11" s="1" t="s">
        <v>6390</v>
      </c>
      <c r="L11" s="1" t="s">
        <v>5824</v>
      </c>
      <c r="N11" s="1" t="s">
        <v>1632</v>
      </c>
      <c r="P11" s="1" t="s">
        <v>5826</v>
      </c>
      <c r="Q11" s="3">
        <v>1</v>
      </c>
      <c r="R11" s="22" t="s">
        <v>2765</v>
      </c>
      <c r="S11" s="22" t="s">
        <v>5099</v>
      </c>
      <c r="T11" s="51">
        <v>33</v>
      </c>
      <c r="U11" s="3" t="s">
        <v>6381</v>
      </c>
      <c r="V11" s="41" t="str">
        <f>HYPERLINK("http://ictvonline.org/taxonomy/p/taxonomy-history?taxnode_id=20183947","ICTVonline=20183947")</f>
        <v>ICTVonline=20183947</v>
      </c>
    </row>
    <row r="12" spans="1:22">
      <c r="A12" s="3">
        <v>11</v>
      </c>
      <c r="F12" s="1" t="s">
        <v>6374</v>
      </c>
      <c r="G12" s="1" t="s">
        <v>6375</v>
      </c>
      <c r="H12" s="1" t="s">
        <v>6389</v>
      </c>
      <c r="J12" s="1" t="s">
        <v>6390</v>
      </c>
      <c r="L12" s="1" t="s">
        <v>5824</v>
      </c>
      <c r="N12" s="1" t="s">
        <v>1632</v>
      </c>
      <c r="P12" s="1" t="s">
        <v>5827</v>
      </c>
      <c r="Q12" s="3">
        <v>0</v>
      </c>
      <c r="R12" s="22" t="s">
        <v>2765</v>
      </c>
      <c r="S12" s="22" t="s">
        <v>5099</v>
      </c>
      <c r="T12" s="51">
        <v>33</v>
      </c>
      <c r="U12" s="3" t="s">
        <v>6381</v>
      </c>
      <c r="V12" s="41" t="str">
        <f>HYPERLINK("http://ictvonline.org/taxonomy/p/taxonomy-history?taxnode_id=20183948","ICTVonline=20183948")</f>
        <v>ICTVonline=20183948</v>
      </c>
    </row>
    <row r="13" spans="1:22">
      <c r="A13" s="3">
        <v>12</v>
      </c>
      <c r="F13" s="1" t="s">
        <v>6374</v>
      </c>
      <c r="G13" s="1" t="s">
        <v>6375</v>
      </c>
      <c r="H13" s="1" t="s">
        <v>6389</v>
      </c>
      <c r="J13" s="1" t="s">
        <v>6390</v>
      </c>
      <c r="L13" s="1" t="s">
        <v>5824</v>
      </c>
      <c r="N13" s="1" t="s">
        <v>1632</v>
      </c>
      <c r="P13" s="1" t="s">
        <v>5828</v>
      </c>
      <c r="Q13" s="3">
        <v>0</v>
      </c>
      <c r="R13" s="22" t="s">
        <v>2765</v>
      </c>
      <c r="S13" s="22" t="s">
        <v>5099</v>
      </c>
      <c r="T13" s="51">
        <v>33</v>
      </c>
      <c r="U13" s="3" t="s">
        <v>6381</v>
      </c>
      <c r="V13" s="41" t="str">
        <f>HYPERLINK("http://ictvonline.org/taxonomy/p/taxonomy-history?taxnode_id=20183949","ICTVonline=20183949")</f>
        <v>ICTVonline=20183949</v>
      </c>
    </row>
    <row r="14" spans="1:22">
      <c r="A14" s="3">
        <v>13</v>
      </c>
      <c r="F14" s="1" t="s">
        <v>6374</v>
      </c>
      <c r="G14" s="1" t="s">
        <v>6375</v>
      </c>
      <c r="H14" s="1" t="s">
        <v>6389</v>
      </c>
      <c r="J14" s="1" t="s">
        <v>6390</v>
      </c>
      <c r="L14" s="1" t="s">
        <v>5824</v>
      </c>
      <c r="N14" s="1" t="s">
        <v>1632</v>
      </c>
      <c r="P14" s="1" t="s">
        <v>5829</v>
      </c>
      <c r="Q14" s="3">
        <v>0</v>
      </c>
      <c r="R14" s="22" t="s">
        <v>2765</v>
      </c>
      <c r="S14" s="22" t="s">
        <v>5099</v>
      </c>
      <c r="T14" s="51">
        <v>33</v>
      </c>
      <c r="U14" s="3" t="s">
        <v>6381</v>
      </c>
      <c r="V14" s="41" t="str">
        <f>HYPERLINK("http://ictvonline.org/taxonomy/p/taxonomy-history?taxnode_id=20183950","ICTVonline=20183950")</f>
        <v>ICTVonline=20183950</v>
      </c>
    </row>
    <row r="15" spans="1:22">
      <c r="A15" s="3">
        <v>14</v>
      </c>
      <c r="F15" s="1" t="s">
        <v>6374</v>
      </c>
      <c r="G15" s="1" t="s">
        <v>6375</v>
      </c>
      <c r="H15" s="1" t="s">
        <v>6389</v>
      </c>
      <c r="J15" s="1" t="s">
        <v>6390</v>
      </c>
      <c r="L15" s="1" t="s">
        <v>5824</v>
      </c>
      <c r="N15" s="1" t="s">
        <v>1632</v>
      </c>
      <c r="P15" s="1" t="s">
        <v>5830</v>
      </c>
      <c r="Q15" s="3">
        <v>0</v>
      </c>
      <c r="R15" s="22" t="s">
        <v>2765</v>
      </c>
      <c r="S15" s="22" t="s">
        <v>5099</v>
      </c>
      <c r="T15" s="51">
        <v>33</v>
      </c>
      <c r="U15" s="3" t="s">
        <v>6381</v>
      </c>
      <c r="V15" s="41" t="str">
        <f>HYPERLINK("http://ictvonline.org/taxonomy/p/taxonomy-history?taxnode_id=20183951","ICTVonline=20183951")</f>
        <v>ICTVonline=20183951</v>
      </c>
    </row>
    <row r="16" spans="1:22">
      <c r="A16" s="3">
        <v>15</v>
      </c>
      <c r="F16" s="1" t="s">
        <v>6374</v>
      </c>
      <c r="G16" s="1" t="s">
        <v>6375</v>
      </c>
      <c r="H16" s="1" t="s">
        <v>6389</v>
      </c>
      <c r="J16" s="1" t="s">
        <v>6390</v>
      </c>
      <c r="L16" s="1" t="s">
        <v>5824</v>
      </c>
      <c r="N16" s="1" t="s">
        <v>1632</v>
      </c>
      <c r="P16" s="1" t="s">
        <v>5831</v>
      </c>
      <c r="Q16" s="3">
        <v>0</v>
      </c>
      <c r="R16" s="22" t="s">
        <v>2765</v>
      </c>
      <c r="S16" s="22" t="s">
        <v>5099</v>
      </c>
      <c r="T16" s="51">
        <v>33</v>
      </c>
      <c r="U16" s="3" t="s">
        <v>6381</v>
      </c>
      <c r="V16" s="41" t="str">
        <f>HYPERLINK("http://ictvonline.org/taxonomy/p/taxonomy-history?taxnode_id=20183952","ICTVonline=20183952")</f>
        <v>ICTVonline=20183952</v>
      </c>
    </row>
    <row r="17" spans="1:22">
      <c r="A17" s="3">
        <v>16</v>
      </c>
      <c r="F17" s="1" t="s">
        <v>6374</v>
      </c>
      <c r="G17" s="1" t="s">
        <v>6375</v>
      </c>
      <c r="H17" s="1" t="s">
        <v>6391</v>
      </c>
      <c r="J17" s="1" t="s">
        <v>6392</v>
      </c>
      <c r="L17" s="1" t="s">
        <v>6393</v>
      </c>
      <c r="N17" s="1" t="s">
        <v>6394</v>
      </c>
      <c r="P17" s="1" t="s">
        <v>6395</v>
      </c>
      <c r="Q17" s="3">
        <v>0</v>
      </c>
      <c r="R17" s="22" t="s">
        <v>2765</v>
      </c>
      <c r="S17" s="22" t="s">
        <v>5097</v>
      </c>
      <c r="T17" s="51">
        <v>33</v>
      </c>
      <c r="U17" s="3" t="s">
        <v>6381</v>
      </c>
      <c r="V17" s="41" t="str">
        <f>HYPERLINK("http://ictvonline.org/taxonomy/p/taxonomy-history?taxnode_id=20186041","ICTVonline=20186041")</f>
        <v>ICTVonline=20186041</v>
      </c>
    </row>
    <row r="18" spans="1:22">
      <c r="A18" s="3">
        <v>17</v>
      </c>
      <c r="F18" s="1" t="s">
        <v>6374</v>
      </c>
      <c r="G18" s="1" t="s">
        <v>6375</v>
      </c>
      <c r="H18" s="1" t="s">
        <v>6391</v>
      </c>
      <c r="J18" s="1" t="s">
        <v>6392</v>
      </c>
      <c r="L18" s="1" t="s">
        <v>6393</v>
      </c>
      <c r="N18" s="1" t="s">
        <v>6394</v>
      </c>
      <c r="P18" s="1" t="s">
        <v>6396</v>
      </c>
      <c r="Q18" s="3">
        <v>1</v>
      </c>
      <c r="R18" s="22" t="s">
        <v>2765</v>
      </c>
      <c r="S18" s="22" t="s">
        <v>5097</v>
      </c>
      <c r="T18" s="51">
        <v>33</v>
      </c>
      <c r="U18" s="3" t="s">
        <v>6381</v>
      </c>
      <c r="V18" s="41" t="str">
        <f>HYPERLINK("http://ictvonline.org/taxonomy/p/taxonomy-history?taxnode_id=20186042","ICTVonline=20186042")</f>
        <v>ICTVonline=20186042</v>
      </c>
    </row>
    <row r="19" spans="1:22">
      <c r="A19" s="3">
        <v>18</v>
      </c>
      <c r="F19" s="1" t="s">
        <v>6374</v>
      </c>
      <c r="G19" s="1" t="s">
        <v>6375</v>
      </c>
      <c r="H19" s="1" t="s">
        <v>6391</v>
      </c>
      <c r="J19" s="1" t="s">
        <v>6392</v>
      </c>
      <c r="L19" s="1" t="s">
        <v>6393</v>
      </c>
      <c r="N19" s="1" t="s">
        <v>6394</v>
      </c>
      <c r="P19" s="1" t="s">
        <v>6397</v>
      </c>
      <c r="Q19" s="3">
        <v>0</v>
      </c>
      <c r="R19" s="22" t="s">
        <v>2765</v>
      </c>
      <c r="S19" s="22" t="s">
        <v>5097</v>
      </c>
      <c r="T19" s="51">
        <v>33</v>
      </c>
      <c r="U19" s="3" t="s">
        <v>6381</v>
      </c>
      <c r="V19" s="41" t="str">
        <f>HYPERLINK("http://ictvonline.org/taxonomy/p/taxonomy-history?taxnode_id=20186043","ICTVonline=20186043")</f>
        <v>ICTVonline=20186043</v>
      </c>
    </row>
    <row r="20" spans="1:22">
      <c r="A20" s="3">
        <v>19</v>
      </c>
      <c r="F20" s="1" t="s">
        <v>6374</v>
      </c>
      <c r="G20" s="1" t="s">
        <v>6375</v>
      </c>
      <c r="H20" s="1" t="s">
        <v>6391</v>
      </c>
      <c r="J20" s="1" t="s">
        <v>6392</v>
      </c>
      <c r="L20" s="1" t="s">
        <v>6393</v>
      </c>
      <c r="N20" s="1" t="s">
        <v>6394</v>
      </c>
      <c r="P20" s="1" t="s">
        <v>6398</v>
      </c>
      <c r="Q20" s="3">
        <v>0</v>
      </c>
      <c r="R20" s="22" t="s">
        <v>2765</v>
      </c>
      <c r="S20" s="22" t="s">
        <v>5097</v>
      </c>
      <c r="T20" s="51">
        <v>33</v>
      </c>
      <c r="U20" s="3" t="s">
        <v>6381</v>
      </c>
      <c r="V20" s="41" t="str">
        <f>HYPERLINK("http://ictvonline.org/taxonomy/p/taxonomy-history?taxnode_id=20186044","ICTVonline=20186044")</f>
        <v>ICTVonline=20186044</v>
      </c>
    </row>
    <row r="21" spans="1:22">
      <c r="A21" s="3">
        <v>20</v>
      </c>
      <c r="F21" s="1" t="s">
        <v>6374</v>
      </c>
      <c r="G21" s="1" t="s">
        <v>6375</v>
      </c>
      <c r="H21" s="1" t="s">
        <v>6391</v>
      </c>
      <c r="J21" s="1" t="s">
        <v>6392</v>
      </c>
      <c r="L21" s="1" t="s">
        <v>6393</v>
      </c>
      <c r="N21" s="1" t="s">
        <v>6394</v>
      </c>
      <c r="P21" s="1" t="s">
        <v>6399</v>
      </c>
      <c r="Q21" s="3">
        <v>0</v>
      </c>
      <c r="R21" s="22" t="s">
        <v>2765</v>
      </c>
      <c r="S21" s="22" t="s">
        <v>5097</v>
      </c>
      <c r="T21" s="51">
        <v>33</v>
      </c>
      <c r="U21" s="3" t="s">
        <v>6381</v>
      </c>
      <c r="V21" s="41" t="str">
        <f>HYPERLINK("http://ictvonline.org/taxonomy/p/taxonomy-history?taxnode_id=20186045","ICTVonline=20186045")</f>
        <v>ICTVonline=20186045</v>
      </c>
    </row>
    <row r="22" spans="1:22">
      <c r="A22" s="3">
        <v>21</v>
      </c>
      <c r="F22" s="1" t="s">
        <v>6374</v>
      </c>
      <c r="G22" s="1" t="s">
        <v>6375</v>
      </c>
      <c r="H22" s="1" t="s">
        <v>6391</v>
      </c>
      <c r="J22" s="1" t="s">
        <v>6392</v>
      </c>
      <c r="L22" s="1" t="s">
        <v>6393</v>
      </c>
      <c r="N22" s="1" t="s">
        <v>6394</v>
      </c>
      <c r="P22" s="1" t="s">
        <v>6400</v>
      </c>
      <c r="Q22" s="3">
        <v>0</v>
      </c>
      <c r="R22" s="22" t="s">
        <v>2765</v>
      </c>
      <c r="S22" s="22" t="s">
        <v>5097</v>
      </c>
      <c r="T22" s="51">
        <v>33</v>
      </c>
      <c r="U22" s="3" t="s">
        <v>6381</v>
      </c>
      <c r="V22" s="41" t="str">
        <f>HYPERLINK("http://ictvonline.org/taxonomy/p/taxonomy-history?taxnode_id=20186046","ICTVonline=20186046")</f>
        <v>ICTVonline=20186046</v>
      </c>
    </row>
    <row r="23" spans="1:22">
      <c r="A23" s="3">
        <v>22</v>
      </c>
      <c r="F23" s="1" t="s">
        <v>6374</v>
      </c>
      <c r="G23" s="1" t="s">
        <v>6375</v>
      </c>
      <c r="H23" s="1" t="s">
        <v>6391</v>
      </c>
      <c r="J23" s="1" t="s">
        <v>6392</v>
      </c>
      <c r="L23" s="1" t="s">
        <v>6393</v>
      </c>
      <c r="N23" s="1" t="s">
        <v>6394</v>
      </c>
      <c r="P23" s="1" t="s">
        <v>6401</v>
      </c>
      <c r="Q23" s="3">
        <v>0</v>
      </c>
      <c r="R23" s="22" t="s">
        <v>2765</v>
      </c>
      <c r="S23" s="22" t="s">
        <v>5097</v>
      </c>
      <c r="T23" s="51">
        <v>33</v>
      </c>
      <c r="U23" s="3" t="s">
        <v>6381</v>
      </c>
      <c r="V23" s="41" t="str">
        <f>HYPERLINK("http://ictvonline.org/taxonomy/p/taxonomy-history?taxnode_id=20186047","ICTVonline=20186047")</f>
        <v>ICTVonline=20186047</v>
      </c>
    </row>
    <row r="24" spans="1:22">
      <c r="A24" s="3">
        <v>23</v>
      </c>
      <c r="F24" s="1" t="s">
        <v>6374</v>
      </c>
      <c r="G24" s="1" t="s">
        <v>6375</v>
      </c>
      <c r="H24" s="1" t="s">
        <v>6391</v>
      </c>
      <c r="J24" s="1" t="s">
        <v>6392</v>
      </c>
      <c r="L24" s="1" t="s">
        <v>6393</v>
      </c>
      <c r="N24" s="1" t="s">
        <v>6394</v>
      </c>
      <c r="P24" s="1" t="s">
        <v>6402</v>
      </c>
      <c r="Q24" s="3">
        <v>0</v>
      </c>
      <c r="R24" s="22" t="s">
        <v>2765</v>
      </c>
      <c r="S24" s="22" t="s">
        <v>5097</v>
      </c>
      <c r="T24" s="51">
        <v>33</v>
      </c>
      <c r="U24" s="3" t="s">
        <v>6381</v>
      </c>
      <c r="V24" s="41" t="str">
        <f>HYPERLINK("http://ictvonline.org/taxonomy/p/taxonomy-history?taxnode_id=20186048","ICTVonline=20186048")</f>
        <v>ICTVonline=20186048</v>
      </c>
    </row>
    <row r="25" spans="1:22">
      <c r="A25" s="3">
        <v>24</v>
      </c>
      <c r="F25" s="1" t="s">
        <v>6374</v>
      </c>
      <c r="G25" s="1" t="s">
        <v>6375</v>
      </c>
      <c r="H25" s="1" t="s">
        <v>6391</v>
      </c>
      <c r="J25" s="1" t="s">
        <v>6392</v>
      </c>
      <c r="L25" s="1" t="s">
        <v>6393</v>
      </c>
      <c r="N25" s="1" t="s">
        <v>6394</v>
      </c>
      <c r="P25" s="1" t="s">
        <v>6403</v>
      </c>
      <c r="Q25" s="3">
        <v>0</v>
      </c>
      <c r="R25" s="22" t="s">
        <v>2765</v>
      </c>
      <c r="S25" s="22" t="s">
        <v>5097</v>
      </c>
      <c r="T25" s="51">
        <v>33</v>
      </c>
      <c r="U25" s="3" t="s">
        <v>6381</v>
      </c>
      <c r="V25" s="41" t="str">
        <f>HYPERLINK("http://ictvonline.org/taxonomy/p/taxonomy-history?taxnode_id=20186049","ICTVonline=20186049")</f>
        <v>ICTVonline=20186049</v>
      </c>
    </row>
    <row r="26" spans="1:22">
      <c r="A26" s="3">
        <v>25</v>
      </c>
      <c r="F26" s="1" t="s">
        <v>6374</v>
      </c>
      <c r="G26" s="1" t="s">
        <v>6375</v>
      </c>
      <c r="H26" s="1" t="s">
        <v>6391</v>
      </c>
      <c r="J26" s="1" t="s">
        <v>6392</v>
      </c>
      <c r="L26" s="1" t="s">
        <v>6393</v>
      </c>
      <c r="N26" s="1" t="s">
        <v>6394</v>
      </c>
      <c r="P26" s="1" t="s">
        <v>6404</v>
      </c>
      <c r="Q26" s="3">
        <v>0</v>
      </c>
      <c r="R26" s="22" t="s">
        <v>2765</v>
      </c>
      <c r="S26" s="22" t="s">
        <v>5097</v>
      </c>
      <c r="T26" s="51">
        <v>33</v>
      </c>
      <c r="U26" s="3" t="s">
        <v>6381</v>
      </c>
      <c r="V26" s="41" t="str">
        <f>HYPERLINK("http://ictvonline.org/taxonomy/p/taxonomy-history?taxnode_id=20186050","ICTVonline=20186050")</f>
        <v>ICTVonline=20186050</v>
      </c>
    </row>
    <row r="27" spans="1:22">
      <c r="A27" s="3">
        <v>26</v>
      </c>
      <c r="F27" s="1" t="s">
        <v>6374</v>
      </c>
      <c r="G27" s="1" t="s">
        <v>6375</v>
      </c>
      <c r="H27" s="1" t="s">
        <v>6391</v>
      </c>
      <c r="J27" s="1" t="s">
        <v>6392</v>
      </c>
      <c r="L27" s="1" t="s">
        <v>6393</v>
      </c>
      <c r="N27" s="1" t="s">
        <v>6394</v>
      </c>
      <c r="P27" s="1" t="s">
        <v>6405</v>
      </c>
      <c r="Q27" s="3">
        <v>0</v>
      </c>
      <c r="R27" s="22" t="s">
        <v>2765</v>
      </c>
      <c r="S27" s="22" t="s">
        <v>5097</v>
      </c>
      <c r="T27" s="51">
        <v>33</v>
      </c>
      <c r="U27" s="3" t="s">
        <v>6381</v>
      </c>
      <c r="V27" s="41" t="str">
        <f>HYPERLINK("http://ictvonline.org/taxonomy/p/taxonomy-history?taxnode_id=20186051","ICTVonline=20186051")</f>
        <v>ICTVonline=20186051</v>
      </c>
    </row>
    <row r="28" spans="1:22">
      <c r="A28" s="3">
        <v>27</v>
      </c>
      <c r="F28" s="1" t="s">
        <v>6374</v>
      </c>
      <c r="G28" s="1" t="s">
        <v>6375</v>
      </c>
      <c r="H28" s="1" t="s">
        <v>6391</v>
      </c>
      <c r="J28" s="1" t="s">
        <v>6392</v>
      </c>
      <c r="L28" s="1" t="s">
        <v>6393</v>
      </c>
      <c r="N28" s="1" t="s">
        <v>6394</v>
      </c>
      <c r="P28" s="1" t="s">
        <v>6406</v>
      </c>
      <c r="Q28" s="3">
        <v>0</v>
      </c>
      <c r="R28" s="22" t="s">
        <v>2765</v>
      </c>
      <c r="S28" s="22" t="s">
        <v>5097</v>
      </c>
      <c r="T28" s="51">
        <v>33</v>
      </c>
      <c r="U28" s="3" t="s">
        <v>6381</v>
      </c>
      <c r="V28" s="41" t="str">
        <f>HYPERLINK("http://ictvonline.org/taxonomy/p/taxonomy-history?taxnode_id=20186053","ICTVonline=20186053")</f>
        <v>ICTVonline=20186053</v>
      </c>
    </row>
    <row r="29" spans="1:22">
      <c r="A29" s="3">
        <v>28</v>
      </c>
      <c r="F29" s="1" t="s">
        <v>6374</v>
      </c>
      <c r="G29" s="1" t="s">
        <v>6375</v>
      </c>
      <c r="H29" s="1" t="s">
        <v>6391</v>
      </c>
      <c r="J29" s="1" t="s">
        <v>6392</v>
      </c>
      <c r="L29" s="1" t="s">
        <v>6393</v>
      </c>
      <c r="N29" s="1" t="s">
        <v>6394</v>
      </c>
      <c r="P29" s="1" t="s">
        <v>6407</v>
      </c>
      <c r="Q29" s="3">
        <v>0</v>
      </c>
      <c r="R29" s="22" t="s">
        <v>2765</v>
      </c>
      <c r="S29" s="22" t="s">
        <v>5097</v>
      </c>
      <c r="T29" s="51">
        <v>33</v>
      </c>
      <c r="U29" s="3" t="s">
        <v>6381</v>
      </c>
      <c r="V29" s="41" t="str">
        <f>HYPERLINK("http://ictvonline.org/taxonomy/p/taxonomy-history?taxnode_id=20186054","ICTVonline=20186054")</f>
        <v>ICTVonline=20186054</v>
      </c>
    </row>
    <row r="30" spans="1:22">
      <c r="A30" s="3">
        <v>29</v>
      </c>
      <c r="F30" s="1" t="s">
        <v>6374</v>
      </c>
      <c r="G30" s="1" t="s">
        <v>6375</v>
      </c>
      <c r="H30" s="1" t="s">
        <v>6391</v>
      </c>
      <c r="J30" s="1" t="s">
        <v>6392</v>
      </c>
      <c r="L30" s="1" t="s">
        <v>6393</v>
      </c>
      <c r="N30" s="1" t="s">
        <v>6394</v>
      </c>
      <c r="P30" s="1" t="s">
        <v>6408</v>
      </c>
      <c r="Q30" s="3">
        <v>0</v>
      </c>
      <c r="R30" s="22" t="s">
        <v>2765</v>
      </c>
      <c r="S30" s="22" t="s">
        <v>5097</v>
      </c>
      <c r="T30" s="51">
        <v>33</v>
      </c>
      <c r="U30" s="3" t="s">
        <v>6381</v>
      </c>
      <c r="V30" s="41" t="str">
        <f>HYPERLINK("http://ictvonline.org/taxonomy/p/taxonomy-history?taxnode_id=20186055","ICTVonline=20186055")</f>
        <v>ICTVonline=20186055</v>
      </c>
    </row>
    <row r="31" spans="1:22">
      <c r="A31" s="3">
        <v>30</v>
      </c>
      <c r="F31" s="1" t="s">
        <v>6374</v>
      </c>
      <c r="G31" s="1" t="s">
        <v>6375</v>
      </c>
      <c r="H31" s="1" t="s">
        <v>6391</v>
      </c>
      <c r="J31" s="1" t="s">
        <v>6392</v>
      </c>
      <c r="L31" s="1" t="s">
        <v>6393</v>
      </c>
      <c r="N31" s="1" t="s">
        <v>6394</v>
      </c>
      <c r="P31" s="1" t="s">
        <v>6409</v>
      </c>
      <c r="Q31" s="3">
        <v>0</v>
      </c>
      <c r="R31" s="22" t="s">
        <v>2765</v>
      </c>
      <c r="S31" s="22" t="s">
        <v>5097</v>
      </c>
      <c r="T31" s="51">
        <v>33</v>
      </c>
      <c r="U31" s="3" t="s">
        <v>6381</v>
      </c>
      <c r="V31" s="41" t="str">
        <f>HYPERLINK("http://ictvonline.org/taxonomy/p/taxonomy-history?taxnode_id=20186056","ICTVonline=20186056")</f>
        <v>ICTVonline=20186056</v>
      </c>
    </row>
    <row r="32" spans="1:22">
      <c r="A32" s="3">
        <v>31</v>
      </c>
      <c r="F32" s="1" t="s">
        <v>6374</v>
      </c>
      <c r="G32" s="1" t="s">
        <v>6375</v>
      </c>
      <c r="H32" s="1" t="s">
        <v>6391</v>
      </c>
      <c r="J32" s="1" t="s">
        <v>6392</v>
      </c>
      <c r="L32" s="1" t="s">
        <v>6393</v>
      </c>
      <c r="N32" s="1" t="s">
        <v>6394</v>
      </c>
      <c r="P32" s="1" t="s">
        <v>6410</v>
      </c>
      <c r="Q32" s="3">
        <v>0</v>
      </c>
      <c r="R32" s="22" t="s">
        <v>2765</v>
      </c>
      <c r="S32" s="22" t="s">
        <v>5097</v>
      </c>
      <c r="T32" s="51">
        <v>33</v>
      </c>
      <c r="U32" s="3" t="s">
        <v>6381</v>
      </c>
      <c r="V32" s="41" t="str">
        <f>HYPERLINK("http://ictvonline.org/taxonomy/p/taxonomy-history?taxnode_id=20186057","ICTVonline=20186057")</f>
        <v>ICTVonline=20186057</v>
      </c>
    </row>
    <row r="33" spans="1:22">
      <c r="A33" s="3">
        <v>32</v>
      </c>
      <c r="F33" s="1" t="s">
        <v>6374</v>
      </c>
      <c r="G33" s="1" t="s">
        <v>6375</v>
      </c>
      <c r="H33" s="1" t="s">
        <v>6391</v>
      </c>
      <c r="J33" s="1" t="s">
        <v>6392</v>
      </c>
      <c r="L33" s="1" t="s">
        <v>6393</v>
      </c>
      <c r="N33" s="1" t="s">
        <v>6394</v>
      </c>
      <c r="P33" s="1" t="s">
        <v>6411</v>
      </c>
      <c r="Q33" s="3">
        <v>0</v>
      </c>
      <c r="R33" s="22" t="s">
        <v>2765</v>
      </c>
      <c r="S33" s="22" t="s">
        <v>5097</v>
      </c>
      <c r="T33" s="51">
        <v>33</v>
      </c>
      <c r="U33" s="3" t="s">
        <v>6381</v>
      </c>
      <c r="V33" s="41" t="str">
        <f>HYPERLINK("http://ictvonline.org/taxonomy/p/taxonomy-history?taxnode_id=20186058","ICTVonline=20186058")</f>
        <v>ICTVonline=20186058</v>
      </c>
    </row>
    <row r="34" spans="1:22">
      <c r="A34" s="3">
        <v>33</v>
      </c>
      <c r="F34" s="1" t="s">
        <v>6374</v>
      </c>
      <c r="G34" s="1" t="s">
        <v>6375</v>
      </c>
      <c r="H34" s="1" t="s">
        <v>6391</v>
      </c>
      <c r="J34" s="1" t="s">
        <v>6392</v>
      </c>
      <c r="L34" s="1" t="s">
        <v>6393</v>
      </c>
      <c r="N34" s="1" t="s">
        <v>6394</v>
      </c>
      <c r="P34" s="1" t="s">
        <v>6412</v>
      </c>
      <c r="Q34" s="3">
        <v>0</v>
      </c>
      <c r="R34" s="22" t="s">
        <v>2765</v>
      </c>
      <c r="S34" s="22" t="s">
        <v>5097</v>
      </c>
      <c r="T34" s="51">
        <v>33</v>
      </c>
      <c r="U34" s="3" t="s">
        <v>6381</v>
      </c>
      <c r="V34" s="41" t="str">
        <f>HYPERLINK("http://ictvonline.org/taxonomy/p/taxonomy-history?taxnode_id=20186059","ICTVonline=20186059")</f>
        <v>ICTVonline=20186059</v>
      </c>
    </row>
    <row r="35" spans="1:22">
      <c r="A35" s="3">
        <v>34</v>
      </c>
      <c r="F35" s="1" t="s">
        <v>6374</v>
      </c>
      <c r="G35" s="1" t="s">
        <v>6375</v>
      </c>
      <c r="H35" s="1" t="s">
        <v>6391</v>
      </c>
      <c r="J35" s="1" t="s">
        <v>6392</v>
      </c>
      <c r="L35" s="1" t="s">
        <v>6393</v>
      </c>
      <c r="N35" s="1" t="s">
        <v>6394</v>
      </c>
      <c r="P35" s="1" t="s">
        <v>6413</v>
      </c>
      <c r="Q35" s="3">
        <v>0</v>
      </c>
      <c r="R35" s="22" t="s">
        <v>2765</v>
      </c>
      <c r="S35" s="22" t="s">
        <v>5097</v>
      </c>
      <c r="T35" s="51">
        <v>33</v>
      </c>
      <c r="U35" s="3" t="s">
        <v>6381</v>
      </c>
      <c r="V35" s="41" t="str">
        <f>HYPERLINK("http://ictvonline.org/taxonomy/p/taxonomy-history?taxnode_id=20186060","ICTVonline=20186060")</f>
        <v>ICTVonline=20186060</v>
      </c>
    </row>
    <row r="36" spans="1:22">
      <c r="A36" s="3">
        <v>35</v>
      </c>
      <c r="F36" s="1" t="s">
        <v>6374</v>
      </c>
      <c r="G36" s="1" t="s">
        <v>6375</v>
      </c>
      <c r="H36" s="1" t="s">
        <v>6391</v>
      </c>
      <c r="J36" s="1" t="s">
        <v>6392</v>
      </c>
      <c r="L36" s="1" t="s">
        <v>6393</v>
      </c>
      <c r="N36" s="1" t="s">
        <v>6394</v>
      </c>
      <c r="P36" s="1" t="s">
        <v>6414</v>
      </c>
      <c r="Q36" s="3">
        <v>0</v>
      </c>
      <c r="R36" s="22" t="s">
        <v>2765</v>
      </c>
      <c r="S36" s="22" t="s">
        <v>5097</v>
      </c>
      <c r="T36" s="51">
        <v>33</v>
      </c>
      <c r="U36" s="3" t="s">
        <v>6381</v>
      </c>
      <c r="V36" s="41" t="str">
        <f>HYPERLINK("http://ictvonline.org/taxonomy/p/taxonomy-history?taxnode_id=20186061","ICTVonline=20186061")</f>
        <v>ICTVonline=20186061</v>
      </c>
    </row>
    <row r="37" spans="1:22">
      <c r="A37" s="3">
        <v>36</v>
      </c>
      <c r="F37" s="1" t="s">
        <v>6374</v>
      </c>
      <c r="G37" s="1" t="s">
        <v>6375</v>
      </c>
      <c r="H37" s="1" t="s">
        <v>6391</v>
      </c>
      <c r="J37" s="1" t="s">
        <v>6392</v>
      </c>
      <c r="L37" s="1" t="s">
        <v>6393</v>
      </c>
      <c r="N37" s="1" t="s">
        <v>6394</v>
      </c>
      <c r="P37" s="1" t="s">
        <v>6415</v>
      </c>
      <c r="Q37" s="3">
        <v>0</v>
      </c>
      <c r="R37" s="22" t="s">
        <v>2765</v>
      </c>
      <c r="S37" s="22" t="s">
        <v>5097</v>
      </c>
      <c r="T37" s="51">
        <v>33</v>
      </c>
      <c r="U37" s="3" t="s">
        <v>6381</v>
      </c>
      <c r="V37" s="41" t="str">
        <f>HYPERLINK("http://ictvonline.org/taxonomy/p/taxonomy-history?taxnode_id=20186062","ICTVonline=20186062")</f>
        <v>ICTVonline=20186062</v>
      </c>
    </row>
    <row r="38" spans="1:22">
      <c r="A38" s="3">
        <v>37</v>
      </c>
      <c r="F38" s="1" t="s">
        <v>6374</v>
      </c>
      <c r="G38" s="1" t="s">
        <v>6375</v>
      </c>
      <c r="H38" s="1" t="s">
        <v>6391</v>
      </c>
      <c r="J38" s="1" t="s">
        <v>6392</v>
      </c>
      <c r="L38" s="1" t="s">
        <v>6393</v>
      </c>
      <c r="N38" s="1" t="s">
        <v>6394</v>
      </c>
      <c r="P38" s="1" t="s">
        <v>6416</v>
      </c>
      <c r="Q38" s="3">
        <v>0</v>
      </c>
      <c r="R38" s="22" t="s">
        <v>2765</v>
      </c>
      <c r="S38" s="22" t="s">
        <v>5097</v>
      </c>
      <c r="T38" s="51">
        <v>33</v>
      </c>
      <c r="U38" s="3" t="s">
        <v>6381</v>
      </c>
      <c r="V38" s="41" t="str">
        <f>HYPERLINK("http://ictvonline.org/taxonomy/p/taxonomy-history?taxnode_id=20186063","ICTVonline=20186063")</f>
        <v>ICTVonline=20186063</v>
      </c>
    </row>
    <row r="39" spans="1:22">
      <c r="A39" s="3">
        <v>38</v>
      </c>
      <c r="F39" s="1" t="s">
        <v>6374</v>
      </c>
      <c r="G39" s="1" t="s">
        <v>6375</v>
      </c>
      <c r="H39" s="1" t="s">
        <v>6391</v>
      </c>
      <c r="J39" s="1" t="s">
        <v>6392</v>
      </c>
      <c r="L39" s="1" t="s">
        <v>6393</v>
      </c>
      <c r="N39" s="1" t="s">
        <v>6394</v>
      </c>
      <c r="P39" s="1" t="s">
        <v>6417</v>
      </c>
      <c r="Q39" s="3">
        <v>0</v>
      </c>
      <c r="R39" s="22" t="s">
        <v>2765</v>
      </c>
      <c r="S39" s="22" t="s">
        <v>5097</v>
      </c>
      <c r="T39" s="51">
        <v>33</v>
      </c>
      <c r="U39" s="3" t="s">
        <v>6381</v>
      </c>
      <c r="V39" s="41" t="str">
        <f>HYPERLINK("http://ictvonline.org/taxonomy/p/taxonomy-history?taxnode_id=20186064","ICTVonline=20186064")</f>
        <v>ICTVonline=20186064</v>
      </c>
    </row>
    <row r="40" spans="1:22">
      <c r="A40" s="3">
        <v>39</v>
      </c>
      <c r="F40" s="1" t="s">
        <v>6374</v>
      </c>
      <c r="G40" s="1" t="s">
        <v>6375</v>
      </c>
      <c r="H40" s="1" t="s">
        <v>6391</v>
      </c>
      <c r="J40" s="1" t="s">
        <v>6392</v>
      </c>
      <c r="L40" s="1" t="s">
        <v>6393</v>
      </c>
      <c r="N40" s="1" t="s">
        <v>6394</v>
      </c>
      <c r="P40" s="1" t="s">
        <v>6418</v>
      </c>
      <c r="Q40" s="3">
        <v>0</v>
      </c>
      <c r="R40" s="22" t="s">
        <v>2765</v>
      </c>
      <c r="S40" s="22" t="s">
        <v>5097</v>
      </c>
      <c r="T40" s="51">
        <v>33</v>
      </c>
      <c r="U40" s="3" t="s">
        <v>6381</v>
      </c>
      <c r="V40" s="41" t="str">
        <f>HYPERLINK("http://ictvonline.org/taxonomy/p/taxonomy-history?taxnode_id=20186065","ICTVonline=20186065")</f>
        <v>ICTVonline=20186065</v>
      </c>
    </row>
    <row r="41" spans="1:22">
      <c r="A41" s="3">
        <v>40</v>
      </c>
      <c r="F41" s="1" t="s">
        <v>6374</v>
      </c>
      <c r="G41" s="1" t="s">
        <v>6375</v>
      </c>
      <c r="H41" s="1" t="s">
        <v>6391</v>
      </c>
      <c r="J41" s="1" t="s">
        <v>6392</v>
      </c>
      <c r="L41" s="1" t="s">
        <v>6393</v>
      </c>
      <c r="N41" s="1" t="s">
        <v>6394</v>
      </c>
      <c r="P41" s="1" t="s">
        <v>6419</v>
      </c>
      <c r="Q41" s="3">
        <v>0</v>
      </c>
      <c r="R41" s="22" t="s">
        <v>2765</v>
      </c>
      <c r="S41" s="22" t="s">
        <v>5097</v>
      </c>
      <c r="T41" s="51">
        <v>33</v>
      </c>
      <c r="U41" s="3" t="s">
        <v>6381</v>
      </c>
      <c r="V41" s="41" t="str">
        <f>HYPERLINK("http://ictvonline.org/taxonomy/p/taxonomy-history?taxnode_id=20186066","ICTVonline=20186066")</f>
        <v>ICTVonline=20186066</v>
      </c>
    </row>
    <row r="42" spans="1:22">
      <c r="A42" s="3">
        <v>41</v>
      </c>
      <c r="F42" s="1" t="s">
        <v>6374</v>
      </c>
      <c r="G42" s="1" t="s">
        <v>6375</v>
      </c>
      <c r="H42" s="1" t="s">
        <v>6391</v>
      </c>
      <c r="J42" s="1" t="s">
        <v>6392</v>
      </c>
      <c r="L42" s="1" t="s">
        <v>6393</v>
      </c>
      <c r="N42" s="1" t="s">
        <v>6394</v>
      </c>
      <c r="P42" s="1" t="s">
        <v>6420</v>
      </c>
      <c r="Q42" s="3">
        <v>0</v>
      </c>
      <c r="R42" s="22" t="s">
        <v>2765</v>
      </c>
      <c r="S42" s="22" t="s">
        <v>5097</v>
      </c>
      <c r="T42" s="51">
        <v>33</v>
      </c>
      <c r="U42" s="3" t="s">
        <v>6381</v>
      </c>
      <c r="V42" s="41" t="str">
        <f>HYPERLINK("http://ictvonline.org/taxonomy/p/taxonomy-history?taxnode_id=20186067","ICTVonline=20186067")</f>
        <v>ICTVonline=20186067</v>
      </c>
    </row>
    <row r="43" spans="1:22">
      <c r="A43" s="3">
        <v>42</v>
      </c>
      <c r="F43" s="1" t="s">
        <v>6374</v>
      </c>
      <c r="G43" s="1" t="s">
        <v>6375</v>
      </c>
      <c r="H43" s="1" t="s">
        <v>6391</v>
      </c>
      <c r="J43" s="1" t="s">
        <v>6392</v>
      </c>
      <c r="L43" s="1" t="s">
        <v>6393</v>
      </c>
      <c r="N43" s="1" t="s">
        <v>6394</v>
      </c>
      <c r="P43" s="1" t="s">
        <v>6421</v>
      </c>
      <c r="Q43" s="3">
        <v>0</v>
      </c>
      <c r="R43" s="22" t="s">
        <v>2765</v>
      </c>
      <c r="S43" s="22" t="s">
        <v>5097</v>
      </c>
      <c r="T43" s="51">
        <v>33</v>
      </c>
      <c r="U43" s="3" t="s">
        <v>6381</v>
      </c>
      <c r="V43" s="41" t="str">
        <f>HYPERLINK("http://ictvonline.org/taxonomy/p/taxonomy-history?taxnode_id=20186068","ICTVonline=20186068")</f>
        <v>ICTVonline=20186068</v>
      </c>
    </row>
    <row r="44" spans="1:22">
      <c r="A44" s="3">
        <v>43</v>
      </c>
      <c r="F44" s="1" t="s">
        <v>6374</v>
      </c>
      <c r="G44" s="1" t="s">
        <v>6375</v>
      </c>
      <c r="H44" s="1" t="s">
        <v>6391</v>
      </c>
      <c r="J44" s="1" t="s">
        <v>6392</v>
      </c>
      <c r="L44" s="1" t="s">
        <v>6393</v>
      </c>
      <c r="N44" s="1" t="s">
        <v>6394</v>
      </c>
      <c r="P44" s="1" t="s">
        <v>6422</v>
      </c>
      <c r="Q44" s="3">
        <v>0</v>
      </c>
      <c r="R44" s="22" t="s">
        <v>2765</v>
      </c>
      <c r="S44" s="22" t="s">
        <v>5097</v>
      </c>
      <c r="T44" s="51">
        <v>33</v>
      </c>
      <c r="U44" s="3" t="s">
        <v>6381</v>
      </c>
      <c r="V44" s="41" t="str">
        <f>HYPERLINK("http://ictvonline.org/taxonomy/p/taxonomy-history?taxnode_id=20186069","ICTVonline=20186069")</f>
        <v>ICTVonline=20186069</v>
      </c>
    </row>
    <row r="45" spans="1:22">
      <c r="A45" s="3">
        <v>44</v>
      </c>
      <c r="F45" s="1" t="s">
        <v>6374</v>
      </c>
      <c r="G45" s="1" t="s">
        <v>6375</v>
      </c>
      <c r="H45" s="1" t="s">
        <v>6391</v>
      </c>
      <c r="J45" s="1" t="s">
        <v>6392</v>
      </c>
      <c r="L45" s="1" t="s">
        <v>6393</v>
      </c>
      <c r="N45" s="1" t="s">
        <v>6394</v>
      </c>
      <c r="P45" s="1" t="s">
        <v>6423</v>
      </c>
      <c r="Q45" s="3">
        <v>0</v>
      </c>
      <c r="R45" s="22" t="s">
        <v>2765</v>
      </c>
      <c r="S45" s="22" t="s">
        <v>5097</v>
      </c>
      <c r="T45" s="51">
        <v>33</v>
      </c>
      <c r="U45" s="3" t="s">
        <v>6381</v>
      </c>
      <c r="V45" s="41" t="str">
        <f>HYPERLINK("http://ictvonline.org/taxonomy/p/taxonomy-history?taxnode_id=20186070","ICTVonline=20186070")</f>
        <v>ICTVonline=20186070</v>
      </c>
    </row>
    <row r="46" spans="1:22">
      <c r="A46" s="3">
        <v>45</v>
      </c>
      <c r="F46" s="1" t="s">
        <v>6374</v>
      </c>
      <c r="G46" s="1" t="s">
        <v>6375</v>
      </c>
      <c r="H46" s="1" t="s">
        <v>6391</v>
      </c>
      <c r="J46" s="1" t="s">
        <v>1007</v>
      </c>
      <c r="L46" s="1" t="s">
        <v>6424</v>
      </c>
      <c r="N46" s="1" t="s">
        <v>4673</v>
      </c>
      <c r="P46" s="1" t="s">
        <v>6425</v>
      </c>
      <c r="Q46" s="3">
        <v>0</v>
      </c>
      <c r="R46" s="22" t="s">
        <v>2765</v>
      </c>
      <c r="S46" s="22" t="s">
        <v>5097</v>
      </c>
      <c r="T46" s="51">
        <v>33</v>
      </c>
      <c r="U46" s="3" t="s">
        <v>6426</v>
      </c>
      <c r="V46" s="41" t="str">
        <f>HYPERLINK("http://ictvonline.org/taxonomy/p/taxonomy-history?taxnode_id=20186269","ICTVonline=20186269")</f>
        <v>ICTVonline=20186269</v>
      </c>
    </row>
    <row r="47" spans="1:22">
      <c r="A47" s="3">
        <v>46</v>
      </c>
      <c r="F47" s="1" t="s">
        <v>6374</v>
      </c>
      <c r="G47" s="1" t="s">
        <v>6375</v>
      </c>
      <c r="H47" s="1" t="s">
        <v>6391</v>
      </c>
      <c r="J47" s="1" t="s">
        <v>1007</v>
      </c>
      <c r="L47" s="1" t="s">
        <v>6424</v>
      </c>
      <c r="N47" s="1" t="s">
        <v>4673</v>
      </c>
      <c r="P47" s="1" t="s">
        <v>6427</v>
      </c>
      <c r="Q47" s="3">
        <v>0</v>
      </c>
      <c r="R47" s="22" t="s">
        <v>2765</v>
      </c>
      <c r="S47" s="22" t="s">
        <v>5097</v>
      </c>
      <c r="T47" s="51">
        <v>33</v>
      </c>
      <c r="U47" s="3" t="s">
        <v>6426</v>
      </c>
      <c r="V47" s="41" t="str">
        <f>HYPERLINK("http://ictvonline.org/taxonomy/p/taxonomy-history?taxnode_id=20186272","ICTVonline=20186272")</f>
        <v>ICTVonline=20186272</v>
      </c>
    </row>
    <row r="48" spans="1:22">
      <c r="A48" s="3">
        <v>47</v>
      </c>
      <c r="F48" s="1" t="s">
        <v>6374</v>
      </c>
      <c r="G48" s="1" t="s">
        <v>6375</v>
      </c>
      <c r="H48" s="1" t="s">
        <v>6391</v>
      </c>
      <c r="J48" s="1" t="s">
        <v>1007</v>
      </c>
      <c r="L48" s="1" t="s">
        <v>6424</v>
      </c>
      <c r="N48" s="1" t="s">
        <v>4673</v>
      </c>
      <c r="P48" s="1" t="s">
        <v>6428</v>
      </c>
      <c r="Q48" s="3">
        <v>0</v>
      </c>
      <c r="R48" s="22" t="s">
        <v>2765</v>
      </c>
      <c r="S48" s="22" t="s">
        <v>5097</v>
      </c>
      <c r="T48" s="51">
        <v>33</v>
      </c>
      <c r="U48" s="3" t="s">
        <v>6426</v>
      </c>
      <c r="V48" s="41" t="str">
        <f>HYPERLINK("http://ictvonline.org/taxonomy/p/taxonomy-history?taxnode_id=20186271","ICTVonline=20186271")</f>
        <v>ICTVonline=20186271</v>
      </c>
    </row>
    <row r="49" spans="1:22">
      <c r="A49" s="3">
        <v>48</v>
      </c>
      <c r="F49" s="1" t="s">
        <v>6374</v>
      </c>
      <c r="G49" s="1" t="s">
        <v>6375</v>
      </c>
      <c r="H49" s="1" t="s">
        <v>6391</v>
      </c>
      <c r="J49" s="1" t="s">
        <v>1007</v>
      </c>
      <c r="L49" s="1" t="s">
        <v>6424</v>
      </c>
      <c r="N49" s="1" t="s">
        <v>4673</v>
      </c>
      <c r="P49" s="1" t="s">
        <v>6429</v>
      </c>
      <c r="Q49" s="3">
        <v>0</v>
      </c>
      <c r="R49" s="22" t="s">
        <v>2765</v>
      </c>
      <c r="S49" s="22" t="s">
        <v>5097</v>
      </c>
      <c r="T49" s="51">
        <v>33</v>
      </c>
      <c r="U49" s="3" t="s">
        <v>6426</v>
      </c>
      <c r="V49" s="41" t="str">
        <f>HYPERLINK("http://ictvonline.org/taxonomy/p/taxonomy-history?taxnode_id=20186270","ICTVonline=20186270")</f>
        <v>ICTVonline=20186270</v>
      </c>
    </row>
    <row r="50" spans="1:22">
      <c r="A50" s="3">
        <v>49</v>
      </c>
      <c r="F50" s="1" t="s">
        <v>6374</v>
      </c>
      <c r="G50" s="1" t="s">
        <v>6375</v>
      </c>
      <c r="H50" s="1" t="s">
        <v>6391</v>
      </c>
      <c r="J50" s="1" t="s">
        <v>1007</v>
      </c>
      <c r="L50" s="1" t="s">
        <v>6424</v>
      </c>
      <c r="N50" s="1" t="s">
        <v>4673</v>
      </c>
      <c r="P50" s="1" t="s">
        <v>6430</v>
      </c>
      <c r="Q50" s="3">
        <v>0</v>
      </c>
      <c r="R50" s="22" t="s">
        <v>2765</v>
      </c>
      <c r="S50" s="22" t="s">
        <v>5097</v>
      </c>
      <c r="T50" s="51">
        <v>33</v>
      </c>
      <c r="U50" s="3" t="s">
        <v>6426</v>
      </c>
      <c r="V50" s="41" t="str">
        <f>HYPERLINK("http://ictvonline.org/taxonomy/p/taxonomy-history?taxnode_id=20186274","ICTVonline=20186274")</f>
        <v>ICTVonline=20186274</v>
      </c>
    </row>
    <row r="51" spans="1:22">
      <c r="A51" s="3">
        <v>50</v>
      </c>
      <c r="F51" s="1" t="s">
        <v>6374</v>
      </c>
      <c r="G51" s="1" t="s">
        <v>6375</v>
      </c>
      <c r="H51" s="1" t="s">
        <v>6391</v>
      </c>
      <c r="J51" s="1" t="s">
        <v>1007</v>
      </c>
      <c r="L51" s="1" t="s">
        <v>6424</v>
      </c>
      <c r="N51" s="1" t="s">
        <v>4673</v>
      </c>
      <c r="P51" s="1" t="s">
        <v>4674</v>
      </c>
      <c r="Q51" s="3">
        <v>1</v>
      </c>
      <c r="R51" s="22" t="s">
        <v>2765</v>
      </c>
      <c r="S51" s="22" t="s">
        <v>5099</v>
      </c>
      <c r="T51" s="51">
        <v>33</v>
      </c>
      <c r="U51" s="3" t="s">
        <v>6426</v>
      </c>
      <c r="V51" s="41" t="str">
        <f>HYPERLINK("http://ictvonline.org/taxonomy/p/taxonomy-history?taxnode_id=20181583","ICTVonline=20181583")</f>
        <v>ICTVonline=20181583</v>
      </c>
    </row>
    <row r="52" spans="1:22">
      <c r="A52" s="3">
        <v>51</v>
      </c>
      <c r="F52" s="1" t="s">
        <v>6374</v>
      </c>
      <c r="G52" s="1" t="s">
        <v>6375</v>
      </c>
      <c r="H52" s="1" t="s">
        <v>6391</v>
      </c>
      <c r="J52" s="1" t="s">
        <v>1007</v>
      </c>
      <c r="L52" s="1" t="s">
        <v>6424</v>
      </c>
      <c r="N52" s="1" t="s">
        <v>4673</v>
      </c>
      <c r="P52" s="1" t="s">
        <v>6431</v>
      </c>
      <c r="Q52" s="3">
        <v>0</v>
      </c>
      <c r="R52" s="22" t="s">
        <v>2765</v>
      </c>
      <c r="S52" s="22" t="s">
        <v>5097</v>
      </c>
      <c r="T52" s="51">
        <v>33</v>
      </c>
      <c r="U52" s="3" t="s">
        <v>6426</v>
      </c>
      <c r="V52" s="41" t="str">
        <f>HYPERLINK("http://ictvonline.org/taxonomy/p/taxonomy-history?taxnode_id=20186273","ICTVonline=20186273")</f>
        <v>ICTVonline=20186273</v>
      </c>
    </row>
    <row r="53" spans="1:22">
      <c r="A53" s="3">
        <v>52</v>
      </c>
      <c r="F53" s="1" t="s">
        <v>6374</v>
      </c>
      <c r="G53" s="1" t="s">
        <v>6375</v>
      </c>
      <c r="H53" s="1" t="s">
        <v>6391</v>
      </c>
      <c r="J53" s="1" t="s">
        <v>1007</v>
      </c>
      <c r="L53" s="1" t="s">
        <v>1410</v>
      </c>
      <c r="N53" s="1" t="s">
        <v>5465</v>
      </c>
      <c r="P53" s="1" t="s">
        <v>5466</v>
      </c>
      <c r="Q53" s="3">
        <v>1</v>
      </c>
      <c r="R53" s="22" t="s">
        <v>2765</v>
      </c>
      <c r="S53" s="22" t="s">
        <v>5099</v>
      </c>
      <c r="T53" s="51">
        <v>33</v>
      </c>
      <c r="U53" s="3" t="s">
        <v>6381</v>
      </c>
      <c r="V53" s="41" t="str">
        <f>HYPERLINK("http://ictvonline.org/taxonomy/p/taxonomy-history?taxnode_id=20185571","ICTVonline=20185571")</f>
        <v>ICTVonline=20185571</v>
      </c>
    </row>
    <row r="54" spans="1:22">
      <c r="A54" s="3">
        <v>53</v>
      </c>
      <c r="F54" s="1" t="s">
        <v>6374</v>
      </c>
      <c r="G54" s="1" t="s">
        <v>6375</v>
      </c>
      <c r="H54" s="1" t="s">
        <v>6391</v>
      </c>
      <c r="J54" s="1" t="s">
        <v>1007</v>
      </c>
      <c r="L54" s="1" t="s">
        <v>1410</v>
      </c>
      <c r="N54" s="1" t="s">
        <v>5465</v>
      </c>
      <c r="P54" s="1" t="s">
        <v>5467</v>
      </c>
      <c r="Q54" s="3">
        <v>0</v>
      </c>
      <c r="R54" s="22" t="s">
        <v>2765</v>
      </c>
      <c r="S54" s="22" t="s">
        <v>5099</v>
      </c>
      <c r="T54" s="51">
        <v>33</v>
      </c>
      <c r="U54" s="3" t="s">
        <v>6381</v>
      </c>
      <c r="V54" s="41" t="str">
        <f>HYPERLINK("http://ictvonline.org/taxonomy/p/taxonomy-history?taxnode_id=20185572","ICTVonline=20185572")</f>
        <v>ICTVonline=20185572</v>
      </c>
    </row>
    <row r="55" spans="1:22">
      <c r="A55" s="3">
        <v>54</v>
      </c>
      <c r="F55" s="1" t="s">
        <v>6374</v>
      </c>
      <c r="G55" s="1" t="s">
        <v>6375</v>
      </c>
      <c r="H55" s="1" t="s">
        <v>6391</v>
      </c>
      <c r="J55" s="1" t="s">
        <v>1007</v>
      </c>
      <c r="L55" s="1" t="s">
        <v>1410</v>
      </c>
      <c r="N55" s="1" t="s">
        <v>5468</v>
      </c>
      <c r="P55" s="1" t="s">
        <v>5469</v>
      </c>
      <c r="Q55" s="3">
        <v>0</v>
      </c>
      <c r="R55" s="22" t="s">
        <v>2765</v>
      </c>
      <c r="S55" s="22" t="s">
        <v>5099</v>
      </c>
      <c r="T55" s="51">
        <v>33</v>
      </c>
      <c r="U55" s="3" t="s">
        <v>6381</v>
      </c>
      <c r="V55" s="41" t="str">
        <f>HYPERLINK("http://ictvonline.org/taxonomy/p/taxonomy-history?taxnode_id=20181552","ICTVonline=20181552")</f>
        <v>ICTVonline=20181552</v>
      </c>
    </row>
    <row r="56" spans="1:22">
      <c r="A56" s="3">
        <v>55</v>
      </c>
      <c r="F56" s="1" t="s">
        <v>6374</v>
      </c>
      <c r="G56" s="1" t="s">
        <v>6375</v>
      </c>
      <c r="H56" s="1" t="s">
        <v>6391</v>
      </c>
      <c r="J56" s="1" t="s">
        <v>1007</v>
      </c>
      <c r="L56" s="1" t="s">
        <v>1410</v>
      </c>
      <c r="N56" s="1" t="s">
        <v>5468</v>
      </c>
      <c r="P56" s="1" t="s">
        <v>5470</v>
      </c>
      <c r="Q56" s="3">
        <v>1</v>
      </c>
      <c r="R56" s="22" t="s">
        <v>2765</v>
      </c>
      <c r="S56" s="22" t="s">
        <v>5099</v>
      </c>
      <c r="T56" s="51">
        <v>33</v>
      </c>
      <c r="U56" s="3" t="s">
        <v>6381</v>
      </c>
      <c r="V56" s="41" t="str">
        <f>HYPERLINK("http://ictvonline.org/taxonomy/p/taxonomy-history?taxnode_id=20181553","ICTVonline=20181553")</f>
        <v>ICTVonline=20181553</v>
      </c>
    </row>
    <row r="57" spans="1:22">
      <c r="A57" s="3">
        <v>56</v>
      </c>
      <c r="F57" s="1" t="s">
        <v>6374</v>
      </c>
      <c r="G57" s="1" t="s">
        <v>6375</v>
      </c>
      <c r="H57" s="1" t="s">
        <v>6391</v>
      </c>
      <c r="J57" s="1" t="s">
        <v>1007</v>
      </c>
      <c r="L57" s="1" t="s">
        <v>1410</v>
      </c>
      <c r="N57" s="1" t="s">
        <v>5468</v>
      </c>
      <c r="P57" s="1" t="s">
        <v>5471</v>
      </c>
      <c r="Q57" s="3">
        <v>0</v>
      </c>
      <c r="R57" s="22" t="s">
        <v>2765</v>
      </c>
      <c r="S57" s="22" t="s">
        <v>5099</v>
      </c>
      <c r="T57" s="51">
        <v>33</v>
      </c>
      <c r="U57" s="3" t="s">
        <v>6381</v>
      </c>
      <c r="V57" s="41" t="str">
        <f>HYPERLINK("http://ictvonline.org/taxonomy/p/taxonomy-history?taxnode_id=20181554","ICTVonline=20181554")</f>
        <v>ICTVonline=20181554</v>
      </c>
    </row>
    <row r="58" spans="1:22">
      <c r="A58" s="3">
        <v>57</v>
      </c>
      <c r="F58" s="1" t="s">
        <v>6374</v>
      </c>
      <c r="G58" s="1" t="s">
        <v>6375</v>
      </c>
      <c r="H58" s="1" t="s">
        <v>6391</v>
      </c>
      <c r="J58" s="1" t="s">
        <v>1007</v>
      </c>
      <c r="L58" s="1" t="s">
        <v>1410</v>
      </c>
      <c r="N58" s="1" t="s">
        <v>5468</v>
      </c>
      <c r="P58" s="1" t="s">
        <v>5472</v>
      </c>
      <c r="Q58" s="3">
        <v>0</v>
      </c>
      <c r="R58" s="22" t="s">
        <v>2765</v>
      </c>
      <c r="S58" s="22" t="s">
        <v>5099</v>
      </c>
      <c r="T58" s="51">
        <v>33</v>
      </c>
      <c r="U58" s="3" t="s">
        <v>6381</v>
      </c>
      <c r="V58" s="41" t="str">
        <f>HYPERLINK("http://ictvonline.org/taxonomy/p/taxonomy-history?taxnode_id=20181555","ICTVonline=20181555")</f>
        <v>ICTVonline=20181555</v>
      </c>
    </row>
    <row r="59" spans="1:22">
      <c r="A59" s="3">
        <v>58</v>
      </c>
      <c r="F59" s="1" t="s">
        <v>6374</v>
      </c>
      <c r="G59" s="1" t="s">
        <v>6375</v>
      </c>
      <c r="H59" s="1" t="s">
        <v>6391</v>
      </c>
      <c r="J59" s="1" t="s">
        <v>1007</v>
      </c>
      <c r="L59" s="1" t="s">
        <v>1410</v>
      </c>
      <c r="N59" s="1" t="s">
        <v>5468</v>
      </c>
      <c r="P59" s="1" t="s">
        <v>5473</v>
      </c>
      <c r="Q59" s="3">
        <v>0</v>
      </c>
      <c r="R59" s="22" t="s">
        <v>2765</v>
      </c>
      <c r="S59" s="22" t="s">
        <v>5099</v>
      </c>
      <c r="T59" s="51">
        <v>33</v>
      </c>
      <c r="U59" s="3" t="s">
        <v>6381</v>
      </c>
      <c r="V59" s="41" t="str">
        <f>HYPERLINK("http://ictvonline.org/taxonomy/p/taxonomy-history?taxnode_id=20181556","ICTVonline=20181556")</f>
        <v>ICTVonline=20181556</v>
      </c>
    </row>
    <row r="60" spans="1:22">
      <c r="A60" s="3">
        <v>59</v>
      </c>
      <c r="F60" s="1" t="s">
        <v>6374</v>
      </c>
      <c r="G60" s="1" t="s">
        <v>6375</v>
      </c>
      <c r="H60" s="1" t="s">
        <v>6391</v>
      </c>
      <c r="J60" s="1" t="s">
        <v>1007</v>
      </c>
      <c r="L60" s="1" t="s">
        <v>1410</v>
      </c>
      <c r="N60" s="1" t="s">
        <v>5468</v>
      </c>
      <c r="P60" s="1" t="s">
        <v>5474</v>
      </c>
      <c r="Q60" s="3">
        <v>0</v>
      </c>
      <c r="R60" s="22" t="s">
        <v>2765</v>
      </c>
      <c r="S60" s="22" t="s">
        <v>5099</v>
      </c>
      <c r="T60" s="51">
        <v>33</v>
      </c>
      <c r="U60" s="3" t="s">
        <v>6381</v>
      </c>
      <c r="V60" s="41" t="str">
        <f>HYPERLINK("http://ictvonline.org/taxonomy/p/taxonomy-history?taxnode_id=20181557","ICTVonline=20181557")</f>
        <v>ICTVonline=20181557</v>
      </c>
    </row>
    <row r="61" spans="1:22">
      <c r="A61" s="3">
        <v>60</v>
      </c>
      <c r="F61" s="1" t="s">
        <v>6374</v>
      </c>
      <c r="G61" s="1" t="s">
        <v>6375</v>
      </c>
      <c r="H61" s="1" t="s">
        <v>6391</v>
      </c>
      <c r="J61" s="1" t="s">
        <v>1007</v>
      </c>
      <c r="L61" s="1" t="s">
        <v>1410</v>
      </c>
      <c r="N61" s="1" t="s">
        <v>5468</v>
      </c>
      <c r="P61" s="1" t="s">
        <v>5475</v>
      </c>
      <c r="Q61" s="3">
        <v>0</v>
      </c>
      <c r="R61" s="22" t="s">
        <v>2765</v>
      </c>
      <c r="S61" s="22" t="s">
        <v>5099</v>
      </c>
      <c r="T61" s="51">
        <v>33</v>
      </c>
      <c r="U61" s="3" t="s">
        <v>6381</v>
      </c>
      <c r="V61" s="41" t="str">
        <f>HYPERLINK("http://ictvonline.org/taxonomy/p/taxonomy-history?taxnode_id=20181558","ICTVonline=20181558")</f>
        <v>ICTVonline=20181558</v>
      </c>
    </row>
    <row r="62" spans="1:22">
      <c r="A62" s="3">
        <v>61</v>
      </c>
      <c r="F62" s="1" t="s">
        <v>6374</v>
      </c>
      <c r="G62" s="1" t="s">
        <v>6375</v>
      </c>
      <c r="H62" s="1" t="s">
        <v>6391</v>
      </c>
      <c r="J62" s="1" t="s">
        <v>1007</v>
      </c>
      <c r="L62" s="1" t="s">
        <v>1410</v>
      </c>
      <c r="N62" s="1" t="s">
        <v>5468</v>
      </c>
      <c r="P62" s="1" t="s">
        <v>5476</v>
      </c>
      <c r="Q62" s="3">
        <v>0</v>
      </c>
      <c r="R62" s="22" t="s">
        <v>2765</v>
      </c>
      <c r="S62" s="22" t="s">
        <v>5099</v>
      </c>
      <c r="T62" s="51">
        <v>33</v>
      </c>
      <c r="U62" s="3" t="s">
        <v>6381</v>
      </c>
      <c r="V62" s="41" t="str">
        <f>HYPERLINK("http://ictvonline.org/taxonomy/p/taxonomy-history?taxnode_id=20181559","ICTVonline=20181559")</f>
        <v>ICTVonline=20181559</v>
      </c>
    </row>
    <row r="63" spans="1:22">
      <c r="A63" s="3">
        <v>62</v>
      </c>
      <c r="F63" s="1" t="s">
        <v>6374</v>
      </c>
      <c r="G63" s="1" t="s">
        <v>6375</v>
      </c>
      <c r="H63" s="1" t="s">
        <v>6391</v>
      </c>
      <c r="J63" s="1" t="s">
        <v>1007</v>
      </c>
      <c r="L63" s="1" t="s">
        <v>1411</v>
      </c>
      <c r="N63" s="1" t="s">
        <v>2304</v>
      </c>
      <c r="P63" s="1" t="s">
        <v>2305</v>
      </c>
      <c r="Q63" s="3">
        <v>1</v>
      </c>
      <c r="R63" s="22" t="s">
        <v>2765</v>
      </c>
      <c r="S63" s="22" t="s">
        <v>5099</v>
      </c>
      <c r="T63" s="51">
        <v>33</v>
      </c>
      <c r="U63" s="3" t="s">
        <v>6381</v>
      </c>
      <c r="V63" s="41" t="str">
        <f>HYPERLINK("http://ictvonline.org/taxonomy/p/taxonomy-history?taxnode_id=20181563","ICTVonline=20181563")</f>
        <v>ICTVonline=20181563</v>
      </c>
    </row>
    <row r="64" spans="1:22">
      <c r="A64" s="3">
        <v>63</v>
      </c>
      <c r="F64" s="1" t="s">
        <v>6374</v>
      </c>
      <c r="G64" s="1" t="s">
        <v>6375</v>
      </c>
      <c r="H64" s="1" t="s">
        <v>6391</v>
      </c>
      <c r="J64" s="1" t="s">
        <v>1007</v>
      </c>
      <c r="L64" s="1" t="s">
        <v>1411</v>
      </c>
      <c r="N64" s="1" t="s">
        <v>1412</v>
      </c>
      <c r="P64" s="1" t="s">
        <v>1351</v>
      </c>
      <c r="Q64" s="3">
        <v>0</v>
      </c>
      <c r="R64" s="22" t="s">
        <v>2765</v>
      </c>
      <c r="S64" s="22" t="s">
        <v>5099</v>
      </c>
      <c r="T64" s="51">
        <v>33</v>
      </c>
      <c r="U64" s="3" t="s">
        <v>6381</v>
      </c>
      <c r="V64" s="41" t="str">
        <f>HYPERLINK("http://ictvonline.org/taxonomy/p/taxonomy-history?taxnode_id=20181565","ICTVonline=20181565")</f>
        <v>ICTVonline=20181565</v>
      </c>
    </row>
    <row r="65" spans="1:22">
      <c r="A65" s="3">
        <v>64</v>
      </c>
      <c r="F65" s="1" t="s">
        <v>6374</v>
      </c>
      <c r="G65" s="1" t="s">
        <v>6375</v>
      </c>
      <c r="H65" s="1" t="s">
        <v>6391</v>
      </c>
      <c r="J65" s="1" t="s">
        <v>1007</v>
      </c>
      <c r="L65" s="1" t="s">
        <v>1411</v>
      </c>
      <c r="N65" s="1" t="s">
        <v>1412</v>
      </c>
      <c r="P65" s="1" t="s">
        <v>1413</v>
      </c>
      <c r="Q65" s="3">
        <v>0</v>
      </c>
      <c r="R65" s="22" t="s">
        <v>2765</v>
      </c>
      <c r="S65" s="22" t="s">
        <v>5099</v>
      </c>
      <c r="T65" s="51">
        <v>33</v>
      </c>
      <c r="U65" s="3" t="s">
        <v>6381</v>
      </c>
      <c r="V65" s="41" t="str">
        <f>HYPERLINK("http://ictvonline.org/taxonomy/p/taxonomy-history?taxnode_id=20181566","ICTVonline=20181566")</f>
        <v>ICTVonline=20181566</v>
      </c>
    </row>
    <row r="66" spans="1:22">
      <c r="A66" s="3">
        <v>65</v>
      </c>
      <c r="F66" s="1" t="s">
        <v>6374</v>
      </c>
      <c r="G66" s="1" t="s">
        <v>6375</v>
      </c>
      <c r="H66" s="1" t="s">
        <v>6391</v>
      </c>
      <c r="J66" s="1" t="s">
        <v>1007</v>
      </c>
      <c r="L66" s="1" t="s">
        <v>1411</v>
      </c>
      <c r="N66" s="1" t="s">
        <v>1412</v>
      </c>
      <c r="P66" s="1" t="s">
        <v>1414</v>
      </c>
      <c r="Q66" s="3">
        <v>0</v>
      </c>
      <c r="R66" s="22" t="s">
        <v>2765</v>
      </c>
      <c r="S66" s="22" t="s">
        <v>5099</v>
      </c>
      <c r="T66" s="51">
        <v>33</v>
      </c>
      <c r="U66" s="3" t="s">
        <v>6381</v>
      </c>
      <c r="V66" s="41" t="str">
        <f>HYPERLINK("http://ictvonline.org/taxonomy/p/taxonomy-history?taxnode_id=20181567","ICTVonline=20181567")</f>
        <v>ICTVonline=20181567</v>
      </c>
    </row>
    <row r="67" spans="1:22">
      <c r="A67" s="3">
        <v>66</v>
      </c>
      <c r="F67" s="1" t="s">
        <v>6374</v>
      </c>
      <c r="G67" s="1" t="s">
        <v>6375</v>
      </c>
      <c r="H67" s="1" t="s">
        <v>6391</v>
      </c>
      <c r="J67" s="1" t="s">
        <v>1007</v>
      </c>
      <c r="L67" s="1" t="s">
        <v>1411</v>
      </c>
      <c r="N67" s="1" t="s">
        <v>1412</v>
      </c>
      <c r="P67" s="1" t="s">
        <v>5477</v>
      </c>
      <c r="Q67" s="3">
        <v>0</v>
      </c>
      <c r="R67" s="22" t="s">
        <v>2765</v>
      </c>
      <c r="S67" s="22" t="s">
        <v>5099</v>
      </c>
      <c r="T67" s="51">
        <v>33</v>
      </c>
      <c r="U67" s="3" t="s">
        <v>6381</v>
      </c>
      <c r="V67" s="41" t="str">
        <f>HYPERLINK("http://ictvonline.org/taxonomy/p/taxonomy-history?taxnode_id=20181568","ICTVonline=20181568")</f>
        <v>ICTVonline=20181568</v>
      </c>
    </row>
    <row r="68" spans="1:22">
      <c r="A68" s="3">
        <v>67</v>
      </c>
      <c r="F68" s="1" t="s">
        <v>6374</v>
      </c>
      <c r="G68" s="1" t="s">
        <v>6375</v>
      </c>
      <c r="H68" s="1" t="s">
        <v>6391</v>
      </c>
      <c r="J68" s="1" t="s">
        <v>1007</v>
      </c>
      <c r="L68" s="1" t="s">
        <v>1411</v>
      </c>
      <c r="N68" s="1" t="s">
        <v>1412</v>
      </c>
      <c r="P68" s="1" t="s">
        <v>1415</v>
      </c>
      <c r="Q68" s="3">
        <v>1</v>
      </c>
      <c r="R68" s="22" t="s">
        <v>2765</v>
      </c>
      <c r="S68" s="22" t="s">
        <v>5099</v>
      </c>
      <c r="T68" s="51">
        <v>33</v>
      </c>
      <c r="U68" s="3" t="s">
        <v>6381</v>
      </c>
      <c r="V68" s="41" t="str">
        <f>HYPERLINK("http://ictvonline.org/taxonomy/p/taxonomy-history?taxnode_id=20181569","ICTVonline=20181569")</f>
        <v>ICTVonline=20181569</v>
      </c>
    </row>
    <row r="69" spans="1:22">
      <c r="A69" s="3">
        <v>68</v>
      </c>
      <c r="F69" s="1" t="s">
        <v>6374</v>
      </c>
      <c r="G69" s="1" t="s">
        <v>6375</v>
      </c>
      <c r="H69" s="1" t="s">
        <v>6391</v>
      </c>
      <c r="J69" s="1" t="s">
        <v>1007</v>
      </c>
      <c r="L69" s="1" t="s">
        <v>1411</v>
      </c>
      <c r="N69" s="1" t="s">
        <v>1416</v>
      </c>
      <c r="P69" s="1" t="s">
        <v>1352</v>
      </c>
      <c r="Q69" s="3">
        <v>1</v>
      </c>
      <c r="R69" s="22" t="s">
        <v>2765</v>
      </c>
      <c r="S69" s="22" t="s">
        <v>5099</v>
      </c>
      <c r="T69" s="51">
        <v>33</v>
      </c>
      <c r="U69" s="3" t="s">
        <v>6381</v>
      </c>
      <c r="V69" s="41" t="str">
        <f>HYPERLINK("http://ictvonline.org/taxonomy/p/taxonomy-history?taxnode_id=20181571","ICTVonline=20181571")</f>
        <v>ICTVonline=20181571</v>
      </c>
    </row>
    <row r="70" spans="1:22">
      <c r="A70" s="3">
        <v>69</v>
      </c>
      <c r="F70" s="1" t="s">
        <v>6374</v>
      </c>
      <c r="G70" s="1" t="s">
        <v>6375</v>
      </c>
      <c r="H70" s="1" t="s">
        <v>6391</v>
      </c>
      <c r="J70" s="1" t="s">
        <v>1007</v>
      </c>
      <c r="L70" s="1" t="s">
        <v>6432</v>
      </c>
      <c r="N70" s="1" t="s">
        <v>3731</v>
      </c>
      <c r="P70" s="1" t="s">
        <v>6433</v>
      </c>
      <c r="Q70" s="3">
        <v>0</v>
      </c>
      <c r="R70" s="22" t="s">
        <v>2765</v>
      </c>
      <c r="S70" s="22" t="s">
        <v>5098</v>
      </c>
      <c r="T70" s="51">
        <v>33</v>
      </c>
      <c r="U70" s="3" t="s">
        <v>6426</v>
      </c>
      <c r="V70" s="41" t="str">
        <f>HYPERLINK("http://ictvonline.org/taxonomy/p/taxonomy-history?taxnode_id=20181820","ICTVonline=20181820")</f>
        <v>ICTVonline=20181820</v>
      </c>
    </row>
    <row r="71" spans="1:22">
      <c r="A71" s="3">
        <v>70</v>
      </c>
      <c r="F71" s="1" t="s">
        <v>6374</v>
      </c>
      <c r="G71" s="1" t="s">
        <v>6375</v>
      </c>
      <c r="H71" s="1" t="s">
        <v>6391</v>
      </c>
      <c r="J71" s="1" t="s">
        <v>1007</v>
      </c>
      <c r="L71" s="1" t="s">
        <v>6432</v>
      </c>
      <c r="N71" s="1" t="s">
        <v>3731</v>
      </c>
      <c r="P71" s="1" t="s">
        <v>6434</v>
      </c>
      <c r="Q71" s="3">
        <v>0</v>
      </c>
      <c r="R71" s="22" t="s">
        <v>2765</v>
      </c>
      <c r="S71" s="22" t="s">
        <v>5097</v>
      </c>
      <c r="T71" s="51">
        <v>33</v>
      </c>
      <c r="U71" s="3" t="s">
        <v>6426</v>
      </c>
      <c r="V71" s="41" t="str">
        <f>HYPERLINK("http://ictvonline.org/taxonomy/p/taxonomy-history?taxnode_id=20186266","ICTVonline=20186266")</f>
        <v>ICTVonline=20186266</v>
      </c>
    </row>
    <row r="72" spans="1:22">
      <c r="A72" s="3">
        <v>71</v>
      </c>
      <c r="F72" s="1" t="s">
        <v>6374</v>
      </c>
      <c r="G72" s="1" t="s">
        <v>6375</v>
      </c>
      <c r="H72" s="1" t="s">
        <v>6391</v>
      </c>
      <c r="J72" s="1" t="s">
        <v>1007</v>
      </c>
      <c r="L72" s="1" t="s">
        <v>6432</v>
      </c>
      <c r="N72" s="1" t="s">
        <v>3731</v>
      </c>
      <c r="P72" s="1" t="s">
        <v>3732</v>
      </c>
      <c r="Q72" s="3">
        <v>1</v>
      </c>
      <c r="R72" s="22" t="s">
        <v>2765</v>
      </c>
      <c r="S72" s="22" t="s">
        <v>5099</v>
      </c>
      <c r="T72" s="51">
        <v>33</v>
      </c>
      <c r="U72" s="3" t="s">
        <v>6426</v>
      </c>
      <c r="V72" s="41" t="str">
        <f>HYPERLINK("http://ictvonline.org/taxonomy/p/taxonomy-history?taxnode_id=20181814","ICTVonline=20181814")</f>
        <v>ICTVonline=20181814</v>
      </c>
    </row>
    <row r="73" spans="1:22">
      <c r="A73" s="3">
        <v>72</v>
      </c>
      <c r="F73" s="1" t="s">
        <v>6374</v>
      </c>
      <c r="G73" s="1" t="s">
        <v>6375</v>
      </c>
      <c r="H73" s="1" t="s">
        <v>6391</v>
      </c>
      <c r="J73" s="1" t="s">
        <v>1007</v>
      </c>
      <c r="L73" s="1" t="s">
        <v>6432</v>
      </c>
      <c r="N73" s="1" t="s">
        <v>3731</v>
      </c>
      <c r="P73" s="1" t="s">
        <v>6435</v>
      </c>
      <c r="Q73" s="3">
        <v>0</v>
      </c>
      <c r="R73" s="22" t="s">
        <v>2765</v>
      </c>
      <c r="S73" s="22" t="s">
        <v>5097</v>
      </c>
      <c r="T73" s="51">
        <v>33</v>
      </c>
      <c r="U73" s="3" t="s">
        <v>6426</v>
      </c>
      <c r="V73" s="41" t="str">
        <f>HYPERLINK("http://ictvonline.org/taxonomy/p/taxonomy-history?taxnode_id=20186268","ICTVonline=20186268")</f>
        <v>ICTVonline=20186268</v>
      </c>
    </row>
    <row r="74" spans="1:22">
      <c r="A74" s="3">
        <v>73</v>
      </c>
      <c r="F74" s="1" t="s">
        <v>6374</v>
      </c>
      <c r="G74" s="1" t="s">
        <v>6375</v>
      </c>
      <c r="H74" s="1" t="s">
        <v>6391</v>
      </c>
      <c r="J74" s="1" t="s">
        <v>1007</v>
      </c>
      <c r="L74" s="1" t="s">
        <v>6432</v>
      </c>
      <c r="N74" s="1" t="s">
        <v>3731</v>
      </c>
      <c r="P74" s="1" t="s">
        <v>6436</v>
      </c>
      <c r="Q74" s="3">
        <v>0</v>
      </c>
      <c r="R74" s="22" t="s">
        <v>2765</v>
      </c>
      <c r="S74" s="22" t="s">
        <v>5098</v>
      </c>
      <c r="T74" s="51">
        <v>33</v>
      </c>
      <c r="U74" s="3" t="s">
        <v>6426</v>
      </c>
      <c r="V74" s="41" t="str">
        <f>HYPERLINK("http://ictvonline.org/taxonomy/p/taxonomy-history?taxnode_id=20181816","ICTVonline=20181816")</f>
        <v>ICTVonline=20181816</v>
      </c>
    </row>
    <row r="75" spans="1:22">
      <c r="A75" s="3">
        <v>74</v>
      </c>
      <c r="F75" s="1" t="s">
        <v>6374</v>
      </c>
      <c r="G75" s="1" t="s">
        <v>6375</v>
      </c>
      <c r="H75" s="1" t="s">
        <v>6391</v>
      </c>
      <c r="J75" s="1" t="s">
        <v>1007</v>
      </c>
      <c r="L75" s="1" t="s">
        <v>6432</v>
      </c>
      <c r="N75" s="1" t="s">
        <v>3731</v>
      </c>
      <c r="P75" s="1" t="s">
        <v>6437</v>
      </c>
      <c r="Q75" s="3">
        <v>0</v>
      </c>
      <c r="R75" s="22" t="s">
        <v>2765</v>
      </c>
      <c r="S75" s="22" t="s">
        <v>5097</v>
      </c>
      <c r="T75" s="51">
        <v>33</v>
      </c>
      <c r="U75" s="3" t="s">
        <v>6426</v>
      </c>
      <c r="V75" s="41" t="str">
        <f>HYPERLINK("http://ictvonline.org/taxonomy/p/taxonomy-history?taxnode_id=20186267","ICTVonline=20186267")</f>
        <v>ICTVonline=20186267</v>
      </c>
    </row>
    <row r="76" spans="1:22">
      <c r="A76" s="3">
        <v>75</v>
      </c>
      <c r="F76" s="1" t="s">
        <v>6374</v>
      </c>
      <c r="G76" s="1" t="s">
        <v>6375</v>
      </c>
      <c r="H76" s="1" t="s">
        <v>6391</v>
      </c>
      <c r="J76" s="1" t="s">
        <v>1007</v>
      </c>
      <c r="L76" s="1" t="s">
        <v>3656</v>
      </c>
      <c r="N76" s="1" t="s">
        <v>3657</v>
      </c>
      <c r="P76" s="1" t="s">
        <v>6438</v>
      </c>
      <c r="Q76" s="3">
        <v>0</v>
      </c>
      <c r="R76" s="22" t="s">
        <v>2765</v>
      </c>
      <c r="S76" s="22" t="s">
        <v>5097</v>
      </c>
      <c r="T76" s="51">
        <v>33</v>
      </c>
      <c r="U76" s="3" t="s">
        <v>6426</v>
      </c>
      <c r="V76" s="41" t="str">
        <f>HYPERLINK("http://ictvonline.org/taxonomy/p/taxonomy-history?taxnode_id=20186247","ICTVonline=20186247")</f>
        <v>ICTVonline=20186247</v>
      </c>
    </row>
    <row r="77" spans="1:22">
      <c r="A77" s="3">
        <v>76</v>
      </c>
      <c r="F77" s="1" t="s">
        <v>6374</v>
      </c>
      <c r="G77" s="1" t="s">
        <v>6375</v>
      </c>
      <c r="H77" s="1" t="s">
        <v>6391</v>
      </c>
      <c r="J77" s="1" t="s">
        <v>1007</v>
      </c>
      <c r="L77" s="1" t="s">
        <v>3656</v>
      </c>
      <c r="N77" s="1" t="s">
        <v>3657</v>
      </c>
      <c r="P77" s="1" t="s">
        <v>6439</v>
      </c>
      <c r="Q77" s="3">
        <v>0</v>
      </c>
      <c r="R77" s="22" t="s">
        <v>2765</v>
      </c>
      <c r="S77" s="22" t="s">
        <v>5097</v>
      </c>
      <c r="T77" s="51">
        <v>33</v>
      </c>
      <c r="U77" s="3" t="s">
        <v>6426</v>
      </c>
      <c r="V77" s="41" t="str">
        <f>HYPERLINK("http://ictvonline.org/taxonomy/p/taxonomy-history?taxnode_id=20186248","ICTVonline=20186248")</f>
        <v>ICTVonline=20186248</v>
      </c>
    </row>
    <row r="78" spans="1:22">
      <c r="A78" s="3">
        <v>77</v>
      </c>
      <c r="F78" s="1" t="s">
        <v>6374</v>
      </c>
      <c r="G78" s="1" t="s">
        <v>6375</v>
      </c>
      <c r="H78" s="1" t="s">
        <v>6391</v>
      </c>
      <c r="J78" s="1" t="s">
        <v>1007</v>
      </c>
      <c r="L78" s="1" t="s">
        <v>3656</v>
      </c>
      <c r="N78" s="1" t="s">
        <v>3657</v>
      </c>
      <c r="P78" s="1" t="s">
        <v>6440</v>
      </c>
      <c r="Q78" s="3">
        <v>0</v>
      </c>
      <c r="R78" s="22" t="s">
        <v>2765</v>
      </c>
      <c r="S78" s="22" t="s">
        <v>5097</v>
      </c>
      <c r="T78" s="51">
        <v>33</v>
      </c>
      <c r="U78" s="3" t="s">
        <v>6426</v>
      </c>
      <c r="V78" s="41" t="str">
        <f>HYPERLINK("http://ictvonline.org/taxonomy/p/taxonomy-history?taxnode_id=20186243","ICTVonline=20186243")</f>
        <v>ICTVonline=20186243</v>
      </c>
    </row>
    <row r="79" spans="1:22">
      <c r="A79" s="3">
        <v>78</v>
      </c>
      <c r="F79" s="1" t="s">
        <v>6374</v>
      </c>
      <c r="G79" s="1" t="s">
        <v>6375</v>
      </c>
      <c r="H79" s="1" t="s">
        <v>6391</v>
      </c>
      <c r="J79" s="1" t="s">
        <v>1007</v>
      </c>
      <c r="L79" s="1" t="s">
        <v>3656</v>
      </c>
      <c r="N79" s="1" t="s">
        <v>3657</v>
      </c>
      <c r="P79" s="1" t="s">
        <v>6441</v>
      </c>
      <c r="Q79" s="3">
        <v>0</v>
      </c>
      <c r="R79" s="22" t="s">
        <v>2765</v>
      </c>
      <c r="S79" s="22" t="s">
        <v>5097</v>
      </c>
      <c r="T79" s="51">
        <v>33</v>
      </c>
      <c r="U79" s="3" t="s">
        <v>6426</v>
      </c>
      <c r="V79" s="41" t="str">
        <f>HYPERLINK("http://ictvonline.org/taxonomy/p/taxonomy-history?taxnode_id=20186246","ICTVonline=20186246")</f>
        <v>ICTVonline=20186246</v>
      </c>
    </row>
    <row r="80" spans="1:22">
      <c r="A80" s="3">
        <v>79</v>
      </c>
      <c r="F80" s="1" t="s">
        <v>6374</v>
      </c>
      <c r="G80" s="1" t="s">
        <v>6375</v>
      </c>
      <c r="H80" s="1" t="s">
        <v>6391</v>
      </c>
      <c r="J80" s="1" t="s">
        <v>1007</v>
      </c>
      <c r="L80" s="1" t="s">
        <v>3656</v>
      </c>
      <c r="N80" s="1" t="s">
        <v>3657</v>
      </c>
      <c r="P80" s="1" t="s">
        <v>6442</v>
      </c>
      <c r="Q80" s="3">
        <v>0</v>
      </c>
      <c r="R80" s="22" t="s">
        <v>2765</v>
      </c>
      <c r="S80" s="22" t="s">
        <v>5097</v>
      </c>
      <c r="T80" s="51">
        <v>33</v>
      </c>
      <c r="U80" s="3" t="s">
        <v>6426</v>
      </c>
      <c r="V80" s="41" t="str">
        <f>HYPERLINK("http://ictvonline.org/taxonomy/p/taxonomy-history?taxnode_id=20186244","ICTVonline=20186244")</f>
        <v>ICTVonline=20186244</v>
      </c>
    </row>
    <row r="81" spans="1:22">
      <c r="A81" s="3">
        <v>80</v>
      </c>
      <c r="F81" s="1" t="s">
        <v>6374</v>
      </c>
      <c r="G81" s="1" t="s">
        <v>6375</v>
      </c>
      <c r="H81" s="1" t="s">
        <v>6391</v>
      </c>
      <c r="J81" s="1" t="s">
        <v>1007</v>
      </c>
      <c r="L81" s="1" t="s">
        <v>3656</v>
      </c>
      <c r="N81" s="1" t="s">
        <v>3657</v>
      </c>
      <c r="P81" s="1" t="s">
        <v>6443</v>
      </c>
      <c r="Q81" s="3">
        <v>0</v>
      </c>
      <c r="R81" s="22" t="s">
        <v>2765</v>
      </c>
      <c r="S81" s="22" t="s">
        <v>5097</v>
      </c>
      <c r="T81" s="51">
        <v>33</v>
      </c>
      <c r="U81" s="3" t="s">
        <v>6426</v>
      </c>
      <c r="V81" s="41" t="str">
        <f>HYPERLINK("http://ictvonline.org/taxonomy/p/taxonomy-history?taxnode_id=20186245","ICTVonline=20186245")</f>
        <v>ICTVonline=20186245</v>
      </c>
    </row>
    <row r="82" spans="1:22">
      <c r="A82" s="3">
        <v>81</v>
      </c>
      <c r="F82" s="1" t="s">
        <v>6374</v>
      </c>
      <c r="G82" s="1" t="s">
        <v>6375</v>
      </c>
      <c r="H82" s="1" t="s">
        <v>6391</v>
      </c>
      <c r="J82" s="1" t="s">
        <v>1007</v>
      </c>
      <c r="L82" s="1" t="s">
        <v>3656</v>
      </c>
      <c r="N82" s="1" t="s">
        <v>3657</v>
      </c>
      <c r="P82" s="1" t="s">
        <v>3658</v>
      </c>
      <c r="Q82" s="3">
        <v>1</v>
      </c>
      <c r="R82" s="22" t="s">
        <v>2765</v>
      </c>
      <c r="S82" s="22" t="s">
        <v>5099</v>
      </c>
      <c r="T82" s="51">
        <v>33</v>
      </c>
      <c r="U82" s="3" t="s">
        <v>6381</v>
      </c>
      <c r="V82" s="41" t="str">
        <f>HYPERLINK("http://ictvonline.org/taxonomy/p/taxonomy-history?taxnode_id=20181575","ICTVonline=20181575")</f>
        <v>ICTVonline=20181575</v>
      </c>
    </row>
    <row r="83" spans="1:22">
      <c r="A83" s="3">
        <v>82</v>
      </c>
      <c r="F83" s="1" t="s">
        <v>6374</v>
      </c>
      <c r="G83" s="1" t="s">
        <v>6375</v>
      </c>
      <c r="H83" s="1" t="s">
        <v>6391</v>
      </c>
      <c r="J83" s="1" t="s">
        <v>1007</v>
      </c>
      <c r="L83" s="1" t="s">
        <v>2306</v>
      </c>
      <c r="N83" s="1" t="s">
        <v>6444</v>
      </c>
      <c r="P83" s="1" t="s">
        <v>6445</v>
      </c>
      <c r="Q83" s="3">
        <v>0</v>
      </c>
      <c r="R83" s="22" t="s">
        <v>2765</v>
      </c>
      <c r="S83" s="22" t="s">
        <v>5097</v>
      </c>
      <c r="T83" s="51">
        <v>33</v>
      </c>
      <c r="U83" s="3" t="s">
        <v>6426</v>
      </c>
      <c r="V83" s="41" t="str">
        <f>HYPERLINK("http://ictvonline.org/taxonomy/p/taxonomy-history?taxnode_id=20186257","ICTVonline=20186257")</f>
        <v>ICTVonline=20186257</v>
      </c>
    </row>
    <row r="84" spans="1:22">
      <c r="A84" s="3">
        <v>83</v>
      </c>
      <c r="F84" s="1" t="s">
        <v>6374</v>
      </c>
      <c r="G84" s="1" t="s">
        <v>6375</v>
      </c>
      <c r="H84" s="1" t="s">
        <v>6391</v>
      </c>
      <c r="J84" s="1" t="s">
        <v>1007</v>
      </c>
      <c r="L84" s="1" t="s">
        <v>2306</v>
      </c>
      <c r="N84" s="1" t="s">
        <v>6444</v>
      </c>
      <c r="P84" s="1" t="s">
        <v>6446</v>
      </c>
      <c r="Q84" s="3">
        <v>0</v>
      </c>
      <c r="R84" s="22" t="s">
        <v>2765</v>
      </c>
      <c r="S84" s="22" t="s">
        <v>5097</v>
      </c>
      <c r="T84" s="51">
        <v>33</v>
      </c>
      <c r="U84" s="3" t="s">
        <v>6426</v>
      </c>
      <c r="V84" s="41" t="str">
        <f>HYPERLINK("http://ictvonline.org/taxonomy/p/taxonomy-history?taxnode_id=20186258","ICTVonline=20186258")</f>
        <v>ICTVonline=20186258</v>
      </c>
    </row>
    <row r="85" spans="1:22">
      <c r="A85" s="3">
        <v>84</v>
      </c>
      <c r="F85" s="1" t="s">
        <v>6374</v>
      </c>
      <c r="G85" s="1" t="s">
        <v>6375</v>
      </c>
      <c r="H85" s="1" t="s">
        <v>6391</v>
      </c>
      <c r="J85" s="1" t="s">
        <v>1007</v>
      </c>
      <c r="L85" s="1" t="s">
        <v>2306</v>
      </c>
      <c r="N85" s="1" t="s">
        <v>6444</v>
      </c>
      <c r="P85" s="1" t="s">
        <v>6447</v>
      </c>
      <c r="Q85" s="3">
        <v>1</v>
      </c>
      <c r="R85" s="22" t="s">
        <v>2765</v>
      </c>
      <c r="S85" s="22" t="s">
        <v>5097</v>
      </c>
      <c r="T85" s="51">
        <v>33</v>
      </c>
      <c r="U85" s="3" t="s">
        <v>6426</v>
      </c>
      <c r="V85" s="41" t="str">
        <f>HYPERLINK("http://ictvonline.org/taxonomy/p/taxonomy-history?taxnode_id=20186256","ICTVonline=20186256")</f>
        <v>ICTVonline=20186256</v>
      </c>
    </row>
    <row r="86" spans="1:22">
      <c r="A86" s="3">
        <v>85</v>
      </c>
      <c r="F86" s="1" t="s">
        <v>6374</v>
      </c>
      <c r="G86" s="1" t="s">
        <v>6375</v>
      </c>
      <c r="H86" s="1" t="s">
        <v>6391</v>
      </c>
      <c r="J86" s="1" t="s">
        <v>1007</v>
      </c>
      <c r="L86" s="1" t="s">
        <v>2306</v>
      </c>
      <c r="N86" s="1" t="s">
        <v>3733</v>
      </c>
      <c r="P86" s="1" t="s">
        <v>6448</v>
      </c>
      <c r="Q86" s="3">
        <v>0</v>
      </c>
      <c r="R86" s="22" t="s">
        <v>2765</v>
      </c>
      <c r="S86" s="22" t="s">
        <v>5097</v>
      </c>
      <c r="T86" s="51">
        <v>33</v>
      </c>
      <c r="U86" s="3" t="s">
        <v>6426</v>
      </c>
      <c r="V86" s="41" t="str">
        <f>HYPERLINK("http://ictvonline.org/taxonomy/p/taxonomy-history?taxnode_id=20186250","ICTVonline=20186250")</f>
        <v>ICTVonline=20186250</v>
      </c>
    </row>
    <row r="87" spans="1:22">
      <c r="A87" s="3">
        <v>86</v>
      </c>
      <c r="F87" s="1" t="s">
        <v>6374</v>
      </c>
      <c r="G87" s="1" t="s">
        <v>6375</v>
      </c>
      <c r="H87" s="1" t="s">
        <v>6391</v>
      </c>
      <c r="J87" s="1" t="s">
        <v>1007</v>
      </c>
      <c r="L87" s="1" t="s">
        <v>2306</v>
      </c>
      <c r="N87" s="1" t="s">
        <v>3733</v>
      </c>
      <c r="P87" s="1" t="s">
        <v>6449</v>
      </c>
      <c r="Q87" s="3">
        <v>0</v>
      </c>
      <c r="R87" s="22" t="s">
        <v>2765</v>
      </c>
      <c r="S87" s="22" t="s">
        <v>5097</v>
      </c>
      <c r="T87" s="51">
        <v>33</v>
      </c>
      <c r="U87" s="3" t="s">
        <v>6426</v>
      </c>
      <c r="V87" s="41" t="str">
        <f>HYPERLINK("http://ictvonline.org/taxonomy/p/taxonomy-history?taxnode_id=20186249","ICTVonline=20186249")</f>
        <v>ICTVonline=20186249</v>
      </c>
    </row>
    <row r="88" spans="1:22">
      <c r="A88" s="3">
        <v>87</v>
      </c>
      <c r="F88" s="1" t="s">
        <v>6374</v>
      </c>
      <c r="G88" s="1" t="s">
        <v>6375</v>
      </c>
      <c r="H88" s="1" t="s">
        <v>6391</v>
      </c>
      <c r="J88" s="1" t="s">
        <v>1007</v>
      </c>
      <c r="L88" s="1" t="s">
        <v>2306</v>
      </c>
      <c r="N88" s="1" t="s">
        <v>3733</v>
      </c>
      <c r="P88" s="1" t="s">
        <v>3734</v>
      </c>
      <c r="Q88" s="3">
        <v>1</v>
      </c>
      <c r="R88" s="22" t="s">
        <v>2765</v>
      </c>
      <c r="S88" s="22" t="s">
        <v>5099</v>
      </c>
      <c r="T88" s="51">
        <v>33</v>
      </c>
      <c r="U88" s="3" t="s">
        <v>6426</v>
      </c>
      <c r="V88" s="41" t="str">
        <f>HYPERLINK("http://ictvonline.org/taxonomy/p/taxonomy-history?taxnode_id=20181818","ICTVonline=20181818")</f>
        <v>ICTVonline=20181818</v>
      </c>
    </row>
    <row r="89" spans="1:22">
      <c r="A89" s="3">
        <v>88</v>
      </c>
      <c r="F89" s="1" t="s">
        <v>6374</v>
      </c>
      <c r="G89" s="1" t="s">
        <v>6375</v>
      </c>
      <c r="H89" s="1" t="s">
        <v>6391</v>
      </c>
      <c r="J89" s="1" t="s">
        <v>1007</v>
      </c>
      <c r="L89" s="1" t="s">
        <v>2306</v>
      </c>
      <c r="N89" s="1" t="s">
        <v>2307</v>
      </c>
      <c r="P89" s="1" t="s">
        <v>2308</v>
      </c>
      <c r="Q89" s="3">
        <v>0</v>
      </c>
      <c r="R89" s="22" t="s">
        <v>2765</v>
      </c>
      <c r="S89" s="22" t="s">
        <v>5099</v>
      </c>
      <c r="T89" s="51">
        <v>33</v>
      </c>
      <c r="U89" s="3" t="s">
        <v>6381</v>
      </c>
      <c r="V89" s="41" t="str">
        <f>HYPERLINK("http://ictvonline.org/taxonomy/p/taxonomy-history?taxnode_id=20181579","ICTVonline=20181579")</f>
        <v>ICTVonline=20181579</v>
      </c>
    </row>
    <row r="90" spans="1:22">
      <c r="A90" s="3">
        <v>89</v>
      </c>
      <c r="F90" s="1" t="s">
        <v>6374</v>
      </c>
      <c r="G90" s="1" t="s">
        <v>6375</v>
      </c>
      <c r="H90" s="1" t="s">
        <v>6391</v>
      </c>
      <c r="J90" s="1" t="s">
        <v>1007</v>
      </c>
      <c r="L90" s="1" t="s">
        <v>2306</v>
      </c>
      <c r="N90" s="1" t="s">
        <v>2307</v>
      </c>
      <c r="P90" s="1" t="s">
        <v>2309</v>
      </c>
      <c r="Q90" s="3">
        <v>1</v>
      </c>
      <c r="R90" s="22" t="s">
        <v>2765</v>
      </c>
      <c r="S90" s="22" t="s">
        <v>5099</v>
      </c>
      <c r="T90" s="51">
        <v>33</v>
      </c>
      <c r="U90" s="3" t="s">
        <v>6381</v>
      </c>
      <c r="V90" s="41" t="str">
        <f>HYPERLINK("http://ictvonline.org/taxonomy/p/taxonomy-history?taxnode_id=20181580","ICTVonline=20181580")</f>
        <v>ICTVonline=20181580</v>
      </c>
    </row>
    <row r="91" spans="1:22">
      <c r="A91" s="3">
        <v>90</v>
      </c>
      <c r="F91" s="1" t="s">
        <v>6374</v>
      </c>
      <c r="G91" s="1" t="s">
        <v>6375</v>
      </c>
      <c r="H91" s="1" t="s">
        <v>6391</v>
      </c>
      <c r="J91" s="1" t="s">
        <v>1007</v>
      </c>
      <c r="L91" s="1" t="s">
        <v>2306</v>
      </c>
      <c r="N91" s="1" t="s">
        <v>2307</v>
      </c>
      <c r="P91" s="1" t="s">
        <v>2644</v>
      </c>
      <c r="Q91" s="3">
        <v>0</v>
      </c>
      <c r="R91" s="22" t="s">
        <v>2765</v>
      </c>
      <c r="S91" s="22" t="s">
        <v>5099</v>
      </c>
      <c r="T91" s="51">
        <v>33</v>
      </c>
      <c r="U91" s="3" t="s">
        <v>6381</v>
      </c>
      <c r="V91" s="41" t="str">
        <f>HYPERLINK("http://ictvonline.org/taxonomy/p/taxonomy-history?taxnode_id=20181581","ICTVonline=20181581")</f>
        <v>ICTVonline=20181581</v>
      </c>
    </row>
    <row r="92" spans="1:22">
      <c r="A92" s="3">
        <v>91</v>
      </c>
      <c r="F92" s="1" t="s">
        <v>6374</v>
      </c>
      <c r="G92" s="1" t="s">
        <v>6375</v>
      </c>
      <c r="H92" s="1" t="s">
        <v>6391</v>
      </c>
      <c r="J92" s="1" t="s">
        <v>1007</v>
      </c>
      <c r="L92" s="1" t="s">
        <v>2306</v>
      </c>
      <c r="N92" s="1" t="s">
        <v>6450</v>
      </c>
      <c r="P92" s="1" t="s">
        <v>6451</v>
      </c>
      <c r="Q92" s="3">
        <v>1</v>
      </c>
      <c r="R92" s="22" t="s">
        <v>2765</v>
      </c>
      <c r="S92" s="22" t="s">
        <v>5097</v>
      </c>
      <c r="T92" s="51">
        <v>33</v>
      </c>
      <c r="U92" s="3" t="s">
        <v>6426</v>
      </c>
      <c r="V92" s="41" t="str">
        <f>HYPERLINK("http://ictvonline.org/taxonomy/p/taxonomy-history?taxnode_id=20186252","ICTVonline=20186252")</f>
        <v>ICTVonline=20186252</v>
      </c>
    </row>
    <row r="93" spans="1:22">
      <c r="A93" s="3">
        <v>92</v>
      </c>
      <c r="F93" s="1" t="s">
        <v>6374</v>
      </c>
      <c r="G93" s="1" t="s">
        <v>6375</v>
      </c>
      <c r="H93" s="1" t="s">
        <v>6391</v>
      </c>
      <c r="J93" s="1" t="s">
        <v>1007</v>
      </c>
      <c r="L93" s="1" t="s">
        <v>2306</v>
      </c>
      <c r="N93" s="1" t="s">
        <v>3659</v>
      </c>
      <c r="P93" s="1" t="s">
        <v>3660</v>
      </c>
      <c r="Q93" s="3">
        <v>1</v>
      </c>
      <c r="R93" s="22" t="s">
        <v>2765</v>
      </c>
      <c r="S93" s="22" t="s">
        <v>5099</v>
      </c>
      <c r="T93" s="51">
        <v>33</v>
      </c>
      <c r="U93" s="3" t="s">
        <v>6381</v>
      </c>
      <c r="V93" s="41" t="str">
        <f>HYPERLINK("http://ictvonline.org/taxonomy/p/taxonomy-history?taxnode_id=20181585","ICTVonline=20181585")</f>
        <v>ICTVonline=20181585</v>
      </c>
    </row>
    <row r="94" spans="1:22">
      <c r="A94" s="3">
        <v>93</v>
      </c>
      <c r="F94" s="1" t="s">
        <v>6374</v>
      </c>
      <c r="G94" s="1" t="s">
        <v>6375</v>
      </c>
      <c r="H94" s="1" t="s">
        <v>6391</v>
      </c>
      <c r="J94" s="1" t="s">
        <v>1007</v>
      </c>
      <c r="L94" s="1" t="s">
        <v>2306</v>
      </c>
      <c r="N94" s="1" t="s">
        <v>6452</v>
      </c>
      <c r="P94" s="1" t="s">
        <v>6453</v>
      </c>
      <c r="Q94" s="3">
        <v>1</v>
      </c>
      <c r="R94" s="22" t="s">
        <v>2765</v>
      </c>
      <c r="S94" s="22" t="s">
        <v>5097</v>
      </c>
      <c r="T94" s="51">
        <v>33</v>
      </c>
      <c r="U94" s="3" t="s">
        <v>6426</v>
      </c>
      <c r="V94" s="41" t="str">
        <f>HYPERLINK("http://ictvonline.org/taxonomy/p/taxonomy-history?taxnode_id=20186254","ICTVonline=20186254")</f>
        <v>ICTVonline=20186254</v>
      </c>
    </row>
    <row r="95" spans="1:22">
      <c r="A95" s="3">
        <v>94</v>
      </c>
      <c r="F95" s="1" t="s">
        <v>6374</v>
      </c>
      <c r="G95" s="1" t="s">
        <v>6375</v>
      </c>
      <c r="H95" s="1" t="s">
        <v>6391</v>
      </c>
      <c r="J95" s="1" t="s">
        <v>1007</v>
      </c>
      <c r="L95" s="1" t="s">
        <v>1417</v>
      </c>
      <c r="N95" s="1" t="s">
        <v>1353</v>
      </c>
      <c r="P95" s="1" t="s">
        <v>5116</v>
      </c>
      <c r="Q95" s="3">
        <v>1</v>
      </c>
      <c r="R95" s="22" t="s">
        <v>2765</v>
      </c>
      <c r="S95" s="22" t="s">
        <v>5099</v>
      </c>
      <c r="T95" s="51">
        <v>33</v>
      </c>
      <c r="U95" s="3" t="s">
        <v>6381</v>
      </c>
      <c r="V95" s="41" t="str">
        <f>HYPERLINK("http://ictvonline.org/taxonomy/p/taxonomy-history?taxnode_id=20181589","ICTVonline=20181589")</f>
        <v>ICTVonline=20181589</v>
      </c>
    </row>
    <row r="96" spans="1:22">
      <c r="A96" s="3">
        <v>95</v>
      </c>
      <c r="F96" s="1" t="s">
        <v>6374</v>
      </c>
      <c r="G96" s="1" t="s">
        <v>6375</v>
      </c>
      <c r="H96" s="1" t="s">
        <v>6391</v>
      </c>
      <c r="J96" s="1" t="s">
        <v>1007</v>
      </c>
      <c r="L96" s="1" t="s">
        <v>1417</v>
      </c>
      <c r="N96" s="1" t="s">
        <v>1418</v>
      </c>
      <c r="P96" s="1" t="s">
        <v>5117</v>
      </c>
      <c r="Q96" s="3">
        <v>1</v>
      </c>
      <c r="R96" s="22" t="s">
        <v>2765</v>
      </c>
      <c r="S96" s="22" t="s">
        <v>5099</v>
      </c>
      <c r="T96" s="51">
        <v>33</v>
      </c>
      <c r="U96" s="3" t="s">
        <v>6381</v>
      </c>
      <c r="V96" s="41" t="str">
        <f>HYPERLINK("http://ictvonline.org/taxonomy/p/taxonomy-history?taxnode_id=20181591","ICTVonline=20181591")</f>
        <v>ICTVonline=20181591</v>
      </c>
    </row>
    <row r="97" spans="1:22">
      <c r="A97" s="3">
        <v>96</v>
      </c>
      <c r="F97" s="1" t="s">
        <v>6374</v>
      </c>
      <c r="G97" s="1" t="s">
        <v>6375</v>
      </c>
      <c r="H97" s="1" t="s">
        <v>6391</v>
      </c>
      <c r="J97" s="1" t="s">
        <v>1007</v>
      </c>
      <c r="L97" s="1" t="s">
        <v>1417</v>
      </c>
      <c r="N97" s="1" t="s">
        <v>1418</v>
      </c>
      <c r="P97" s="1" t="s">
        <v>5118</v>
      </c>
      <c r="Q97" s="3">
        <v>0</v>
      </c>
      <c r="R97" s="22" t="s">
        <v>2765</v>
      </c>
      <c r="S97" s="22" t="s">
        <v>5099</v>
      </c>
      <c r="T97" s="51">
        <v>33</v>
      </c>
      <c r="U97" s="3" t="s">
        <v>6381</v>
      </c>
      <c r="V97" s="41" t="str">
        <f>HYPERLINK("http://ictvonline.org/taxonomy/p/taxonomy-history?taxnode_id=20181592","ICTVonline=20181592")</f>
        <v>ICTVonline=20181592</v>
      </c>
    </row>
    <row r="98" spans="1:22">
      <c r="A98" s="3">
        <v>97</v>
      </c>
      <c r="F98" s="1" t="s">
        <v>6374</v>
      </c>
      <c r="G98" s="1" t="s">
        <v>6375</v>
      </c>
      <c r="H98" s="1" t="s">
        <v>6391</v>
      </c>
      <c r="J98" s="1" t="s">
        <v>1007</v>
      </c>
      <c r="L98" s="1" t="s">
        <v>1417</v>
      </c>
      <c r="N98" s="1" t="s">
        <v>1418</v>
      </c>
      <c r="P98" s="1" t="s">
        <v>5119</v>
      </c>
      <c r="Q98" s="3">
        <v>0</v>
      </c>
      <c r="R98" s="22" t="s">
        <v>2765</v>
      </c>
      <c r="S98" s="22" t="s">
        <v>5099</v>
      </c>
      <c r="T98" s="51">
        <v>33</v>
      </c>
      <c r="U98" s="3" t="s">
        <v>6381</v>
      </c>
      <c r="V98" s="41" t="str">
        <f>HYPERLINK("http://ictvonline.org/taxonomy/p/taxonomy-history?taxnode_id=20181593","ICTVonline=20181593")</f>
        <v>ICTVonline=20181593</v>
      </c>
    </row>
    <row r="99" spans="1:22">
      <c r="A99" s="3">
        <v>98</v>
      </c>
      <c r="F99" s="1" t="s">
        <v>6374</v>
      </c>
      <c r="G99" s="1" t="s">
        <v>6375</v>
      </c>
      <c r="H99" s="1" t="s">
        <v>6391</v>
      </c>
      <c r="J99" s="1" t="s">
        <v>1007</v>
      </c>
      <c r="L99" s="1" t="s">
        <v>1417</v>
      </c>
      <c r="N99" s="1" t="s">
        <v>1418</v>
      </c>
      <c r="P99" s="1" t="s">
        <v>5120</v>
      </c>
      <c r="Q99" s="3">
        <v>0</v>
      </c>
      <c r="R99" s="22" t="s">
        <v>2765</v>
      </c>
      <c r="S99" s="22" t="s">
        <v>5099</v>
      </c>
      <c r="T99" s="51">
        <v>33</v>
      </c>
      <c r="U99" s="3" t="s">
        <v>6381</v>
      </c>
      <c r="V99" s="41" t="str">
        <f>HYPERLINK("http://ictvonline.org/taxonomy/p/taxonomy-history?taxnode_id=20181594","ICTVonline=20181594")</f>
        <v>ICTVonline=20181594</v>
      </c>
    </row>
    <row r="100" spans="1:22">
      <c r="A100" s="3">
        <v>99</v>
      </c>
      <c r="F100" s="1" t="s">
        <v>6374</v>
      </c>
      <c r="G100" s="1" t="s">
        <v>6375</v>
      </c>
      <c r="H100" s="1" t="s">
        <v>6391</v>
      </c>
      <c r="J100" s="1" t="s">
        <v>1007</v>
      </c>
      <c r="L100" s="1" t="s">
        <v>1417</v>
      </c>
      <c r="N100" s="1" t="s">
        <v>1418</v>
      </c>
      <c r="P100" s="1" t="s">
        <v>5121</v>
      </c>
      <c r="Q100" s="3">
        <v>0</v>
      </c>
      <c r="R100" s="22" t="s">
        <v>2765</v>
      </c>
      <c r="S100" s="22" t="s">
        <v>5099</v>
      </c>
      <c r="T100" s="51">
        <v>33</v>
      </c>
      <c r="U100" s="3" t="s">
        <v>6381</v>
      </c>
      <c r="V100" s="41" t="str">
        <f>HYPERLINK("http://ictvonline.org/taxonomy/p/taxonomy-history?taxnode_id=20181595","ICTVonline=20181595")</f>
        <v>ICTVonline=20181595</v>
      </c>
    </row>
    <row r="101" spans="1:22">
      <c r="A101" s="3">
        <v>100</v>
      </c>
      <c r="F101" s="1" t="s">
        <v>6374</v>
      </c>
      <c r="G101" s="1" t="s">
        <v>6375</v>
      </c>
      <c r="H101" s="1" t="s">
        <v>6391</v>
      </c>
      <c r="J101" s="1" t="s">
        <v>1007</v>
      </c>
      <c r="L101" s="1" t="s">
        <v>1417</v>
      </c>
      <c r="N101" s="1" t="s">
        <v>1418</v>
      </c>
      <c r="P101" s="1" t="s">
        <v>5122</v>
      </c>
      <c r="Q101" s="3">
        <v>0</v>
      </c>
      <c r="R101" s="22" t="s">
        <v>2765</v>
      </c>
      <c r="S101" s="22" t="s">
        <v>5099</v>
      </c>
      <c r="T101" s="51">
        <v>33</v>
      </c>
      <c r="U101" s="3" t="s">
        <v>6381</v>
      </c>
      <c r="V101" s="41" t="str">
        <f>HYPERLINK("http://ictvonline.org/taxonomy/p/taxonomy-history?taxnode_id=20181596","ICTVonline=20181596")</f>
        <v>ICTVonline=20181596</v>
      </c>
    </row>
    <row r="102" spans="1:22">
      <c r="A102" s="3">
        <v>101</v>
      </c>
      <c r="F102" s="1" t="s">
        <v>6374</v>
      </c>
      <c r="G102" s="1" t="s">
        <v>6375</v>
      </c>
      <c r="H102" s="1" t="s">
        <v>6391</v>
      </c>
      <c r="J102" s="1" t="s">
        <v>1007</v>
      </c>
      <c r="L102" s="1" t="s">
        <v>1417</v>
      </c>
      <c r="N102" s="1" t="s">
        <v>1418</v>
      </c>
      <c r="P102" s="1" t="s">
        <v>5123</v>
      </c>
      <c r="Q102" s="3">
        <v>0</v>
      </c>
      <c r="R102" s="22" t="s">
        <v>2765</v>
      </c>
      <c r="S102" s="22" t="s">
        <v>5099</v>
      </c>
      <c r="T102" s="51">
        <v>33</v>
      </c>
      <c r="U102" s="3" t="s">
        <v>6381</v>
      </c>
      <c r="V102" s="41" t="str">
        <f>HYPERLINK("http://ictvonline.org/taxonomy/p/taxonomy-history?taxnode_id=20181597","ICTVonline=20181597")</f>
        <v>ICTVonline=20181597</v>
      </c>
    </row>
    <row r="103" spans="1:22">
      <c r="A103" s="3">
        <v>102</v>
      </c>
      <c r="F103" s="1" t="s">
        <v>6374</v>
      </c>
      <c r="G103" s="1" t="s">
        <v>6375</v>
      </c>
      <c r="H103" s="1" t="s">
        <v>6391</v>
      </c>
      <c r="J103" s="1" t="s">
        <v>1007</v>
      </c>
      <c r="L103" s="1" t="s">
        <v>1417</v>
      </c>
      <c r="N103" s="1" t="s">
        <v>1418</v>
      </c>
      <c r="P103" s="1" t="s">
        <v>5124</v>
      </c>
      <c r="Q103" s="3">
        <v>0</v>
      </c>
      <c r="R103" s="22" t="s">
        <v>2765</v>
      </c>
      <c r="S103" s="22" t="s">
        <v>5099</v>
      </c>
      <c r="T103" s="51">
        <v>33</v>
      </c>
      <c r="U103" s="3" t="s">
        <v>6381</v>
      </c>
      <c r="V103" s="41" t="str">
        <f>HYPERLINK("http://ictvonline.org/taxonomy/p/taxonomy-history?taxnode_id=20181598","ICTVonline=20181598")</f>
        <v>ICTVonline=20181598</v>
      </c>
    </row>
    <row r="104" spans="1:22">
      <c r="A104" s="3">
        <v>103</v>
      </c>
      <c r="F104" s="1" t="s">
        <v>6374</v>
      </c>
      <c r="G104" s="1" t="s">
        <v>6375</v>
      </c>
      <c r="H104" s="1" t="s">
        <v>6391</v>
      </c>
      <c r="J104" s="1" t="s">
        <v>1007</v>
      </c>
      <c r="L104" s="1" t="s">
        <v>1417</v>
      </c>
      <c r="N104" s="1" t="s">
        <v>1418</v>
      </c>
      <c r="P104" s="1" t="s">
        <v>5125</v>
      </c>
      <c r="Q104" s="3">
        <v>0</v>
      </c>
      <c r="R104" s="22" t="s">
        <v>2765</v>
      </c>
      <c r="S104" s="22" t="s">
        <v>5099</v>
      </c>
      <c r="T104" s="51">
        <v>33</v>
      </c>
      <c r="U104" s="3" t="s">
        <v>6381</v>
      </c>
      <c r="V104" s="41" t="str">
        <f>HYPERLINK("http://ictvonline.org/taxonomy/p/taxonomy-history?taxnode_id=20181599","ICTVonline=20181599")</f>
        <v>ICTVonline=20181599</v>
      </c>
    </row>
    <row r="105" spans="1:22">
      <c r="A105" s="3">
        <v>104</v>
      </c>
      <c r="F105" s="1" t="s">
        <v>6374</v>
      </c>
      <c r="G105" s="1" t="s">
        <v>6375</v>
      </c>
      <c r="H105" s="1" t="s">
        <v>6391</v>
      </c>
      <c r="J105" s="1" t="s">
        <v>1007</v>
      </c>
      <c r="L105" s="1" t="s">
        <v>1417</v>
      </c>
      <c r="N105" s="1" t="s">
        <v>1418</v>
      </c>
      <c r="P105" s="1" t="s">
        <v>5126</v>
      </c>
      <c r="Q105" s="3">
        <v>0</v>
      </c>
      <c r="R105" s="22" t="s">
        <v>2765</v>
      </c>
      <c r="S105" s="22" t="s">
        <v>5099</v>
      </c>
      <c r="T105" s="51">
        <v>33</v>
      </c>
      <c r="U105" s="3" t="s">
        <v>6381</v>
      </c>
      <c r="V105" s="41" t="str">
        <f>HYPERLINK("http://ictvonline.org/taxonomy/p/taxonomy-history?taxnode_id=20181600","ICTVonline=20181600")</f>
        <v>ICTVonline=20181600</v>
      </c>
    </row>
    <row r="106" spans="1:22">
      <c r="A106" s="3">
        <v>105</v>
      </c>
      <c r="F106" s="1" t="s">
        <v>6374</v>
      </c>
      <c r="G106" s="1" t="s">
        <v>6375</v>
      </c>
      <c r="H106" s="1" t="s">
        <v>6391</v>
      </c>
      <c r="J106" s="1" t="s">
        <v>1007</v>
      </c>
      <c r="L106" s="1" t="s">
        <v>1417</v>
      </c>
      <c r="N106" s="1" t="s">
        <v>1418</v>
      </c>
      <c r="P106" s="1" t="s">
        <v>5127</v>
      </c>
      <c r="Q106" s="3">
        <v>0</v>
      </c>
      <c r="R106" s="22" t="s">
        <v>2765</v>
      </c>
      <c r="S106" s="22" t="s">
        <v>5099</v>
      </c>
      <c r="T106" s="51">
        <v>33</v>
      </c>
      <c r="U106" s="3" t="s">
        <v>6381</v>
      </c>
      <c r="V106" s="41" t="str">
        <f>HYPERLINK("http://ictvonline.org/taxonomy/p/taxonomy-history?taxnode_id=20181601","ICTVonline=20181601")</f>
        <v>ICTVonline=20181601</v>
      </c>
    </row>
    <row r="107" spans="1:22">
      <c r="A107" s="3">
        <v>106</v>
      </c>
      <c r="F107" s="1" t="s">
        <v>6374</v>
      </c>
      <c r="G107" s="1" t="s">
        <v>6375</v>
      </c>
      <c r="H107" s="1" t="s">
        <v>6391</v>
      </c>
      <c r="J107" s="1" t="s">
        <v>1007</v>
      </c>
      <c r="L107" s="1" t="s">
        <v>1417</v>
      </c>
      <c r="N107" s="1" t="s">
        <v>1418</v>
      </c>
      <c r="P107" s="1" t="s">
        <v>5128</v>
      </c>
      <c r="Q107" s="3">
        <v>0</v>
      </c>
      <c r="R107" s="22" t="s">
        <v>2765</v>
      </c>
      <c r="S107" s="22" t="s">
        <v>5099</v>
      </c>
      <c r="T107" s="51">
        <v>33</v>
      </c>
      <c r="U107" s="3" t="s">
        <v>6381</v>
      </c>
      <c r="V107" s="41" t="str">
        <f>HYPERLINK("http://ictvonline.org/taxonomy/p/taxonomy-history?taxnode_id=20181602","ICTVonline=20181602")</f>
        <v>ICTVonline=20181602</v>
      </c>
    </row>
    <row r="108" spans="1:22">
      <c r="A108" s="3">
        <v>107</v>
      </c>
      <c r="F108" s="1" t="s">
        <v>6374</v>
      </c>
      <c r="G108" s="1" t="s">
        <v>6375</v>
      </c>
      <c r="H108" s="1" t="s">
        <v>6391</v>
      </c>
      <c r="J108" s="1" t="s">
        <v>1007</v>
      </c>
      <c r="L108" s="1" t="s">
        <v>1417</v>
      </c>
      <c r="N108" s="1" t="s">
        <v>1418</v>
      </c>
      <c r="P108" s="1" t="s">
        <v>4675</v>
      </c>
      <c r="Q108" s="3">
        <v>0</v>
      </c>
      <c r="R108" s="22" t="s">
        <v>2765</v>
      </c>
      <c r="S108" s="22" t="s">
        <v>5099</v>
      </c>
      <c r="T108" s="51">
        <v>33</v>
      </c>
      <c r="U108" s="3" t="s">
        <v>6381</v>
      </c>
      <c r="V108" s="41" t="str">
        <f>HYPERLINK("http://ictvonline.org/taxonomy/p/taxonomy-history?taxnode_id=20181603","ICTVonline=20181603")</f>
        <v>ICTVonline=20181603</v>
      </c>
    </row>
    <row r="109" spans="1:22">
      <c r="A109" s="3">
        <v>108</v>
      </c>
      <c r="F109" s="1" t="s">
        <v>6374</v>
      </c>
      <c r="G109" s="1" t="s">
        <v>6375</v>
      </c>
      <c r="H109" s="1" t="s">
        <v>6391</v>
      </c>
      <c r="J109" s="1" t="s">
        <v>1007</v>
      </c>
      <c r="L109" s="1" t="s">
        <v>1417</v>
      </c>
      <c r="N109" s="1" t="s">
        <v>1418</v>
      </c>
      <c r="P109" s="1" t="s">
        <v>5479</v>
      </c>
      <c r="Q109" s="3">
        <v>0</v>
      </c>
      <c r="R109" s="22" t="s">
        <v>2765</v>
      </c>
      <c r="S109" s="22" t="s">
        <v>5099</v>
      </c>
      <c r="T109" s="51">
        <v>33</v>
      </c>
      <c r="U109" s="3" t="s">
        <v>6381</v>
      </c>
      <c r="V109" s="41" t="str">
        <f>HYPERLINK("http://ictvonline.org/taxonomy/p/taxonomy-history?taxnode_id=20185574","ICTVonline=20185574")</f>
        <v>ICTVonline=20185574</v>
      </c>
    </row>
    <row r="110" spans="1:22">
      <c r="A110" s="3">
        <v>109</v>
      </c>
      <c r="F110" s="1" t="s">
        <v>6374</v>
      </c>
      <c r="G110" s="1" t="s">
        <v>6375</v>
      </c>
      <c r="H110" s="1" t="s">
        <v>6391</v>
      </c>
      <c r="J110" s="1" t="s">
        <v>1007</v>
      </c>
      <c r="L110" s="1" t="s">
        <v>1417</v>
      </c>
      <c r="N110" s="1" t="s">
        <v>1418</v>
      </c>
      <c r="P110" s="1" t="s">
        <v>5480</v>
      </c>
      <c r="Q110" s="3">
        <v>0</v>
      </c>
      <c r="R110" s="22" t="s">
        <v>2765</v>
      </c>
      <c r="S110" s="22" t="s">
        <v>5099</v>
      </c>
      <c r="T110" s="51">
        <v>33</v>
      </c>
      <c r="U110" s="3" t="s">
        <v>6381</v>
      </c>
      <c r="V110" s="41" t="str">
        <f>HYPERLINK("http://ictvonline.org/taxonomy/p/taxonomy-history?taxnode_id=20185575","ICTVonline=20185575")</f>
        <v>ICTVonline=20185575</v>
      </c>
    </row>
    <row r="111" spans="1:22">
      <c r="A111" s="3">
        <v>110</v>
      </c>
      <c r="F111" s="1" t="s">
        <v>6374</v>
      </c>
      <c r="G111" s="1" t="s">
        <v>6375</v>
      </c>
      <c r="H111" s="1" t="s">
        <v>6391</v>
      </c>
      <c r="J111" s="1" t="s">
        <v>1007</v>
      </c>
      <c r="L111" s="1" t="s">
        <v>1417</v>
      </c>
      <c r="N111" s="1" t="s">
        <v>1418</v>
      </c>
      <c r="P111" s="1" t="s">
        <v>5481</v>
      </c>
      <c r="Q111" s="3">
        <v>0</v>
      </c>
      <c r="R111" s="22" t="s">
        <v>2765</v>
      </c>
      <c r="S111" s="22" t="s">
        <v>5099</v>
      </c>
      <c r="T111" s="51">
        <v>33</v>
      </c>
      <c r="U111" s="3" t="s">
        <v>6381</v>
      </c>
      <c r="V111" s="41" t="str">
        <f>HYPERLINK("http://ictvonline.org/taxonomy/p/taxonomy-history?taxnode_id=20185576","ICTVonline=20185576")</f>
        <v>ICTVonline=20185576</v>
      </c>
    </row>
    <row r="112" spans="1:22">
      <c r="A112" s="3">
        <v>111</v>
      </c>
      <c r="F112" s="1" t="s">
        <v>6374</v>
      </c>
      <c r="G112" s="1" t="s">
        <v>6375</v>
      </c>
      <c r="H112" s="1" t="s">
        <v>6391</v>
      </c>
      <c r="J112" s="1" t="s">
        <v>1007</v>
      </c>
      <c r="L112" s="1" t="s">
        <v>1417</v>
      </c>
      <c r="N112" s="1" t="s">
        <v>1418</v>
      </c>
      <c r="P112" s="1" t="s">
        <v>5482</v>
      </c>
      <c r="Q112" s="3">
        <v>0</v>
      </c>
      <c r="R112" s="22" t="s">
        <v>2765</v>
      </c>
      <c r="S112" s="22" t="s">
        <v>5099</v>
      </c>
      <c r="T112" s="51">
        <v>33</v>
      </c>
      <c r="U112" s="3" t="s">
        <v>6381</v>
      </c>
      <c r="V112" s="41" t="str">
        <f>HYPERLINK("http://ictvonline.org/taxonomy/p/taxonomy-history?taxnode_id=20185577","ICTVonline=20185577")</f>
        <v>ICTVonline=20185577</v>
      </c>
    </row>
    <row r="113" spans="1:22">
      <c r="A113" s="3">
        <v>112</v>
      </c>
      <c r="F113" s="1" t="s">
        <v>6374</v>
      </c>
      <c r="G113" s="1" t="s">
        <v>6375</v>
      </c>
      <c r="H113" s="1" t="s">
        <v>6391</v>
      </c>
      <c r="J113" s="1" t="s">
        <v>1007</v>
      </c>
      <c r="L113" s="1" t="s">
        <v>1417</v>
      </c>
      <c r="N113" s="1" t="s">
        <v>1418</v>
      </c>
      <c r="P113" s="1" t="s">
        <v>5483</v>
      </c>
      <c r="Q113" s="3">
        <v>0</v>
      </c>
      <c r="R113" s="22" t="s">
        <v>2765</v>
      </c>
      <c r="S113" s="22" t="s">
        <v>5099</v>
      </c>
      <c r="T113" s="51">
        <v>33</v>
      </c>
      <c r="U113" s="3" t="s">
        <v>6381</v>
      </c>
      <c r="V113" s="41" t="str">
        <f>HYPERLINK("http://ictvonline.org/taxonomy/p/taxonomy-history?taxnode_id=20185578","ICTVonline=20185578")</f>
        <v>ICTVonline=20185578</v>
      </c>
    </row>
    <row r="114" spans="1:22">
      <c r="A114" s="3">
        <v>113</v>
      </c>
      <c r="F114" s="1" t="s">
        <v>6374</v>
      </c>
      <c r="G114" s="1" t="s">
        <v>6375</v>
      </c>
      <c r="H114" s="1" t="s">
        <v>6391</v>
      </c>
      <c r="J114" s="1" t="s">
        <v>1007</v>
      </c>
      <c r="L114" s="1" t="s">
        <v>1417</v>
      </c>
      <c r="N114" s="1" t="s">
        <v>1418</v>
      </c>
      <c r="P114" s="1" t="s">
        <v>5484</v>
      </c>
      <c r="Q114" s="3">
        <v>0</v>
      </c>
      <c r="R114" s="22" t="s">
        <v>2765</v>
      </c>
      <c r="S114" s="22" t="s">
        <v>5099</v>
      </c>
      <c r="T114" s="51">
        <v>33</v>
      </c>
      <c r="U114" s="3" t="s">
        <v>6381</v>
      </c>
      <c r="V114" s="41" t="str">
        <f>HYPERLINK("http://ictvonline.org/taxonomy/p/taxonomy-history?taxnode_id=20185579","ICTVonline=20185579")</f>
        <v>ICTVonline=20185579</v>
      </c>
    </row>
    <row r="115" spans="1:22">
      <c r="A115" s="3">
        <v>114</v>
      </c>
      <c r="F115" s="1" t="s">
        <v>6374</v>
      </c>
      <c r="G115" s="1" t="s">
        <v>6375</v>
      </c>
      <c r="H115" s="1" t="s">
        <v>6391</v>
      </c>
      <c r="J115" s="1" t="s">
        <v>1007</v>
      </c>
      <c r="L115" s="1" t="s">
        <v>1417</v>
      </c>
      <c r="N115" s="1" t="s">
        <v>1354</v>
      </c>
      <c r="P115" s="1" t="s">
        <v>5129</v>
      </c>
      <c r="Q115" s="3">
        <v>1</v>
      </c>
      <c r="R115" s="22" t="s">
        <v>2765</v>
      </c>
      <c r="S115" s="22" t="s">
        <v>5099</v>
      </c>
      <c r="T115" s="51">
        <v>33</v>
      </c>
      <c r="U115" s="3" t="s">
        <v>6381</v>
      </c>
      <c r="V115" s="41" t="str">
        <f>HYPERLINK("http://ictvonline.org/taxonomy/p/taxonomy-history?taxnode_id=20181605","ICTVonline=20181605")</f>
        <v>ICTVonline=20181605</v>
      </c>
    </row>
    <row r="116" spans="1:22">
      <c r="A116" s="3">
        <v>115</v>
      </c>
      <c r="F116" s="1" t="s">
        <v>6374</v>
      </c>
      <c r="G116" s="1" t="s">
        <v>6375</v>
      </c>
      <c r="H116" s="1" t="s">
        <v>6391</v>
      </c>
      <c r="J116" s="1" t="s">
        <v>1007</v>
      </c>
      <c r="L116" s="1" t="s">
        <v>1417</v>
      </c>
      <c r="N116" s="1" t="s">
        <v>1330</v>
      </c>
      <c r="P116" s="4" t="s">
        <v>3661</v>
      </c>
      <c r="Q116" s="3">
        <v>0</v>
      </c>
      <c r="R116" s="23" t="s">
        <v>2765</v>
      </c>
      <c r="S116" s="23" t="s">
        <v>5099</v>
      </c>
      <c r="T116" s="51">
        <v>33</v>
      </c>
      <c r="U116" s="3" t="s">
        <v>6381</v>
      </c>
      <c r="V116" s="41" t="str">
        <f>HYPERLINK("http://ictvonline.org/taxonomy/p/taxonomy-history?taxnode_id=20181607","ICTVonline=20181607")</f>
        <v>ICTVonline=20181607</v>
      </c>
    </row>
    <row r="117" spans="1:22">
      <c r="A117" s="3">
        <v>116</v>
      </c>
      <c r="F117" s="1" t="s">
        <v>6374</v>
      </c>
      <c r="G117" s="1" t="s">
        <v>6375</v>
      </c>
      <c r="H117" s="1" t="s">
        <v>6391</v>
      </c>
      <c r="J117" s="1" t="s">
        <v>1007</v>
      </c>
      <c r="L117" s="1" t="s">
        <v>1417</v>
      </c>
      <c r="N117" s="1" t="s">
        <v>1330</v>
      </c>
      <c r="P117" s="1" t="s">
        <v>3662</v>
      </c>
      <c r="Q117" s="3">
        <v>0</v>
      </c>
      <c r="R117" s="22" t="s">
        <v>2765</v>
      </c>
      <c r="S117" s="22" t="s">
        <v>5099</v>
      </c>
      <c r="T117" s="51">
        <v>33</v>
      </c>
      <c r="U117" s="3" t="s">
        <v>6381</v>
      </c>
      <c r="V117" s="41" t="str">
        <f>HYPERLINK("http://ictvonline.org/taxonomy/p/taxonomy-history?taxnode_id=20181608","ICTVonline=20181608")</f>
        <v>ICTVonline=20181608</v>
      </c>
    </row>
    <row r="118" spans="1:22">
      <c r="A118" s="3">
        <v>117</v>
      </c>
      <c r="F118" s="1" t="s">
        <v>6374</v>
      </c>
      <c r="G118" s="1" t="s">
        <v>6375</v>
      </c>
      <c r="H118" s="1" t="s">
        <v>6391</v>
      </c>
      <c r="J118" s="1" t="s">
        <v>1007</v>
      </c>
      <c r="L118" s="1" t="s">
        <v>1417</v>
      </c>
      <c r="N118" s="1" t="s">
        <v>1330</v>
      </c>
      <c r="P118" s="1" t="s">
        <v>5130</v>
      </c>
      <c r="Q118" s="3">
        <v>1</v>
      </c>
      <c r="R118" s="22" t="s">
        <v>2765</v>
      </c>
      <c r="S118" s="22" t="s">
        <v>5099</v>
      </c>
      <c r="T118" s="51">
        <v>33</v>
      </c>
      <c r="U118" s="3" t="s">
        <v>6381</v>
      </c>
      <c r="V118" s="41" t="str">
        <f>HYPERLINK("http://ictvonline.org/taxonomy/p/taxonomy-history?taxnode_id=20181609","ICTVonline=20181609")</f>
        <v>ICTVonline=20181609</v>
      </c>
    </row>
    <row r="119" spans="1:22">
      <c r="A119" s="3">
        <v>118</v>
      </c>
      <c r="F119" s="1" t="s">
        <v>6374</v>
      </c>
      <c r="G119" s="1" t="s">
        <v>6375</v>
      </c>
      <c r="H119" s="1" t="s">
        <v>6391</v>
      </c>
      <c r="J119" s="1" t="s">
        <v>1007</v>
      </c>
      <c r="L119" s="1" t="s">
        <v>1417</v>
      </c>
      <c r="N119" s="1" t="s">
        <v>1330</v>
      </c>
      <c r="P119" s="1" t="s">
        <v>3663</v>
      </c>
      <c r="Q119" s="3">
        <v>0</v>
      </c>
      <c r="R119" s="22" t="s">
        <v>2765</v>
      </c>
      <c r="S119" s="22" t="s">
        <v>5099</v>
      </c>
      <c r="T119" s="51">
        <v>33</v>
      </c>
      <c r="U119" s="3" t="s">
        <v>6381</v>
      </c>
      <c r="V119" s="41" t="str">
        <f>HYPERLINK("http://ictvonline.org/taxonomy/p/taxonomy-history?taxnode_id=20181610","ICTVonline=20181610")</f>
        <v>ICTVonline=20181610</v>
      </c>
    </row>
    <row r="120" spans="1:22">
      <c r="A120" s="3">
        <v>119</v>
      </c>
      <c r="F120" s="1" t="s">
        <v>6374</v>
      </c>
      <c r="G120" s="1" t="s">
        <v>6375</v>
      </c>
      <c r="H120" s="1" t="s">
        <v>6391</v>
      </c>
      <c r="J120" s="1" t="s">
        <v>1007</v>
      </c>
      <c r="L120" s="1" t="s">
        <v>1417</v>
      </c>
      <c r="N120" s="1" t="s">
        <v>1330</v>
      </c>
      <c r="P120" s="1" t="s">
        <v>5131</v>
      </c>
      <c r="Q120" s="3">
        <v>0</v>
      </c>
      <c r="R120" s="22" t="s">
        <v>2765</v>
      </c>
      <c r="S120" s="22" t="s">
        <v>5099</v>
      </c>
      <c r="T120" s="51">
        <v>33</v>
      </c>
      <c r="U120" s="3" t="s">
        <v>6381</v>
      </c>
      <c r="V120" s="41" t="str">
        <f>HYPERLINK("http://ictvonline.org/taxonomy/p/taxonomy-history?taxnode_id=20181611","ICTVonline=20181611")</f>
        <v>ICTVonline=20181611</v>
      </c>
    </row>
    <row r="121" spans="1:22">
      <c r="A121" s="3">
        <v>120</v>
      </c>
      <c r="F121" s="1" t="s">
        <v>6374</v>
      </c>
      <c r="G121" s="1" t="s">
        <v>6375</v>
      </c>
      <c r="H121" s="1" t="s">
        <v>6391</v>
      </c>
      <c r="J121" s="1" t="s">
        <v>1007</v>
      </c>
      <c r="L121" s="1" t="s">
        <v>1417</v>
      </c>
      <c r="N121" s="1" t="s">
        <v>1331</v>
      </c>
      <c r="P121" s="1" t="s">
        <v>5132</v>
      </c>
      <c r="Q121" s="3">
        <v>0</v>
      </c>
      <c r="R121" s="22" t="s">
        <v>2765</v>
      </c>
      <c r="S121" s="22" t="s">
        <v>5099</v>
      </c>
      <c r="T121" s="51">
        <v>33</v>
      </c>
      <c r="U121" s="3" t="s">
        <v>6381</v>
      </c>
      <c r="V121" s="41" t="str">
        <f>HYPERLINK("http://ictvonline.org/taxonomy/p/taxonomy-history?taxnode_id=20181613","ICTVonline=20181613")</f>
        <v>ICTVonline=20181613</v>
      </c>
    </row>
    <row r="122" spans="1:22">
      <c r="A122" s="3">
        <v>121</v>
      </c>
      <c r="F122" s="1" t="s">
        <v>6374</v>
      </c>
      <c r="G122" s="1" t="s">
        <v>6375</v>
      </c>
      <c r="H122" s="1" t="s">
        <v>6391</v>
      </c>
      <c r="J122" s="1" t="s">
        <v>1007</v>
      </c>
      <c r="L122" s="1" t="s">
        <v>1417</v>
      </c>
      <c r="N122" s="1" t="s">
        <v>1331</v>
      </c>
      <c r="P122" s="1" t="s">
        <v>1332</v>
      </c>
      <c r="Q122" s="3">
        <v>0</v>
      </c>
      <c r="R122" s="22" t="s">
        <v>2765</v>
      </c>
      <c r="S122" s="22" t="s">
        <v>5099</v>
      </c>
      <c r="T122" s="51">
        <v>33</v>
      </c>
      <c r="U122" s="3" t="s">
        <v>6381</v>
      </c>
      <c r="V122" s="41" t="str">
        <f>HYPERLINK("http://ictvonline.org/taxonomy/p/taxonomy-history?taxnode_id=20181614","ICTVonline=20181614")</f>
        <v>ICTVonline=20181614</v>
      </c>
    </row>
    <row r="123" spans="1:22">
      <c r="A123" s="3">
        <v>122</v>
      </c>
      <c r="F123" s="1" t="s">
        <v>6374</v>
      </c>
      <c r="G123" s="1" t="s">
        <v>6375</v>
      </c>
      <c r="H123" s="1" t="s">
        <v>6391</v>
      </c>
      <c r="J123" s="1" t="s">
        <v>1007</v>
      </c>
      <c r="L123" s="1" t="s">
        <v>1417</v>
      </c>
      <c r="N123" s="1" t="s">
        <v>1331</v>
      </c>
      <c r="P123" s="1" t="s">
        <v>3664</v>
      </c>
      <c r="Q123" s="3">
        <v>0</v>
      </c>
      <c r="R123" s="22" t="s">
        <v>2765</v>
      </c>
      <c r="S123" s="22" t="s">
        <v>5099</v>
      </c>
      <c r="T123" s="51">
        <v>33</v>
      </c>
      <c r="U123" s="3" t="s">
        <v>6381</v>
      </c>
      <c r="V123" s="41" t="str">
        <f>HYPERLINK("http://ictvonline.org/taxonomy/p/taxonomy-history?taxnode_id=20181615","ICTVonline=20181615")</f>
        <v>ICTVonline=20181615</v>
      </c>
    </row>
    <row r="124" spans="1:22">
      <c r="A124" s="3">
        <v>123</v>
      </c>
      <c r="F124" s="1" t="s">
        <v>6374</v>
      </c>
      <c r="G124" s="1" t="s">
        <v>6375</v>
      </c>
      <c r="H124" s="1" t="s">
        <v>6391</v>
      </c>
      <c r="J124" s="1" t="s">
        <v>1007</v>
      </c>
      <c r="L124" s="1" t="s">
        <v>1417</v>
      </c>
      <c r="N124" s="1" t="s">
        <v>1331</v>
      </c>
      <c r="P124" s="1" t="s">
        <v>5133</v>
      </c>
      <c r="Q124" s="3">
        <v>1</v>
      </c>
      <c r="R124" s="22" t="s">
        <v>2765</v>
      </c>
      <c r="S124" s="22" t="s">
        <v>5099</v>
      </c>
      <c r="T124" s="51">
        <v>33</v>
      </c>
      <c r="U124" s="3" t="s">
        <v>6381</v>
      </c>
      <c r="V124" s="41" t="str">
        <f>HYPERLINK("http://ictvonline.org/taxonomy/p/taxonomy-history?taxnode_id=20181616","ICTVonline=20181616")</f>
        <v>ICTVonline=20181616</v>
      </c>
    </row>
    <row r="125" spans="1:22">
      <c r="A125" s="3">
        <v>124</v>
      </c>
      <c r="F125" s="1" t="s">
        <v>6374</v>
      </c>
      <c r="G125" s="1" t="s">
        <v>6375</v>
      </c>
      <c r="H125" s="1" t="s">
        <v>6391</v>
      </c>
      <c r="J125" s="1" t="s">
        <v>1007</v>
      </c>
      <c r="L125" s="1" t="s">
        <v>1417</v>
      </c>
      <c r="N125" s="1" t="s">
        <v>1331</v>
      </c>
      <c r="P125" s="1" t="s">
        <v>5134</v>
      </c>
      <c r="Q125" s="3">
        <v>0</v>
      </c>
      <c r="R125" s="22" t="s">
        <v>2765</v>
      </c>
      <c r="S125" s="22" t="s">
        <v>5099</v>
      </c>
      <c r="T125" s="51">
        <v>33</v>
      </c>
      <c r="U125" s="3" t="s">
        <v>6381</v>
      </c>
      <c r="V125" s="41" t="str">
        <f>HYPERLINK("http://ictvonline.org/taxonomy/p/taxonomy-history?taxnode_id=20181617","ICTVonline=20181617")</f>
        <v>ICTVonline=20181617</v>
      </c>
    </row>
    <row r="126" spans="1:22">
      <c r="A126" s="3">
        <v>125</v>
      </c>
      <c r="F126" s="1" t="s">
        <v>6374</v>
      </c>
      <c r="G126" s="1" t="s">
        <v>6375</v>
      </c>
      <c r="H126" s="1" t="s">
        <v>6391</v>
      </c>
      <c r="J126" s="1" t="s">
        <v>1007</v>
      </c>
      <c r="L126" s="1" t="s">
        <v>1417</v>
      </c>
      <c r="N126" s="1" t="s">
        <v>1331</v>
      </c>
      <c r="P126" s="1" t="s">
        <v>5135</v>
      </c>
      <c r="Q126" s="3">
        <v>0</v>
      </c>
      <c r="R126" s="22" t="s">
        <v>2765</v>
      </c>
      <c r="S126" s="22" t="s">
        <v>5099</v>
      </c>
      <c r="T126" s="51">
        <v>33</v>
      </c>
      <c r="U126" s="3" t="s">
        <v>6381</v>
      </c>
      <c r="V126" s="41" t="str">
        <f>HYPERLINK("http://ictvonline.org/taxonomy/p/taxonomy-history?taxnode_id=20181618","ICTVonline=20181618")</f>
        <v>ICTVonline=20181618</v>
      </c>
    </row>
    <row r="127" spans="1:22">
      <c r="A127" s="3">
        <v>126</v>
      </c>
      <c r="F127" s="1" t="s">
        <v>6374</v>
      </c>
      <c r="G127" s="1" t="s">
        <v>6375</v>
      </c>
      <c r="H127" s="1" t="s">
        <v>6391</v>
      </c>
      <c r="J127" s="1" t="s">
        <v>1007</v>
      </c>
      <c r="L127" s="1" t="s">
        <v>1417</v>
      </c>
      <c r="N127" s="1" t="s">
        <v>1331</v>
      </c>
      <c r="P127" s="1" t="s">
        <v>5136</v>
      </c>
      <c r="Q127" s="3">
        <v>0</v>
      </c>
      <c r="R127" s="22" t="s">
        <v>2765</v>
      </c>
      <c r="S127" s="22" t="s">
        <v>5099</v>
      </c>
      <c r="T127" s="51">
        <v>33</v>
      </c>
      <c r="U127" s="3" t="s">
        <v>6381</v>
      </c>
      <c r="V127" s="41" t="str">
        <f>HYPERLINK("http://ictvonline.org/taxonomy/p/taxonomy-history?taxnode_id=20181619","ICTVonline=20181619")</f>
        <v>ICTVonline=20181619</v>
      </c>
    </row>
    <row r="128" spans="1:22">
      <c r="A128" s="3">
        <v>127</v>
      </c>
      <c r="F128" s="1" t="s">
        <v>6374</v>
      </c>
      <c r="G128" s="1" t="s">
        <v>6375</v>
      </c>
      <c r="H128" s="1" t="s">
        <v>6391</v>
      </c>
      <c r="J128" s="1" t="s">
        <v>1007</v>
      </c>
      <c r="L128" s="1" t="s">
        <v>1417</v>
      </c>
      <c r="N128" s="1" t="s">
        <v>1333</v>
      </c>
      <c r="P128" s="1" t="s">
        <v>5137</v>
      </c>
      <c r="Q128" s="3">
        <v>0</v>
      </c>
      <c r="R128" s="22" t="s">
        <v>2765</v>
      </c>
      <c r="S128" s="22" t="s">
        <v>5099</v>
      </c>
      <c r="T128" s="51">
        <v>33</v>
      </c>
      <c r="U128" s="3" t="s">
        <v>6381</v>
      </c>
      <c r="V128" s="41" t="str">
        <f>HYPERLINK("http://ictvonline.org/taxonomy/p/taxonomy-history?taxnode_id=20181621","ICTVonline=20181621")</f>
        <v>ICTVonline=20181621</v>
      </c>
    </row>
    <row r="129" spans="1:22">
      <c r="A129" s="3">
        <v>128</v>
      </c>
      <c r="F129" s="1" t="s">
        <v>6374</v>
      </c>
      <c r="G129" s="1" t="s">
        <v>6375</v>
      </c>
      <c r="H129" s="1" t="s">
        <v>6391</v>
      </c>
      <c r="J129" s="1" t="s">
        <v>1007</v>
      </c>
      <c r="L129" s="1" t="s">
        <v>1417</v>
      </c>
      <c r="N129" s="1" t="s">
        <v>1333</v>
      </c>
      <c r="P129" s="1" t="s">
        <v>5138</v>
      </c>
      <c r="Q129" s="3">
        <v>0</v>
      </c>
      <c r="R129" s="22" t="s">
        <v>2765</v>
      </c>
      <c r="S129" s="22" t="s">
        <v>5099</v>
      </c>
      <c r="T129" s="51">
        <v>33</v>
      </c>
      <c r="U129" s="3" t="s">
        <v>6381</v>
      </c>
      <c r="V129" s="41" t="str">
        <f>HYPERLINK("http://ictvonline.org/taxonomy/p/taxonomy-history?taxnode_id=20181622","ICTVonline=20181622")</f>
        <v>ICTVonline=20181622</v>
      </c>
    </row>
    <row r="130" spans="1:22">
      <c r="A130" s="3">
        <v>129</v>
      </c>
      <c r="F130" s="1" t="s">
        <v>6374</v>
      </c>
      <c r="G130" s="1" t="s">
        <v>6375</v>
      </c>
      <c r="H130" s="1" t="s">
        <v>6391</v>
      </c>
      <c r="J130" s="1" t="s">
        <v>1007</v>
      </c>
      <c r="L130" s="1" t="s">
        <v>1417</v>
      </c>
      <c r="N130" s="1" t="s">
        <v>1333</v>
      </c>
      <c r="P130" s="1" t="s">
        <v>5139</v>
      </c>
      <c r="Q130" s="3">
        <v>0</v>
      </c>
      <c r="R130" s="22" t="s">
        <v>2765</v>
      </c>
      <c r="S130" s="22" t="s">
        <v>5099</v>
      </c>
      <c r="T130" s="51">
        <v>33</v>
      </c>
      <c r="U130" s="3" t="s">
        <v>6381</v>
      </c>
      <c r="V130" s="41" t="str">
        <f>HYPERLINK("http://ictvonline.org/taxonomy/p/taxonomy-history?taxnode_id=20181623","ICTVonline=20181623")</f>
        <v>ICTVonline=20181623</v>
      </c>
    </row>
    <row r="131" spans="1:22">
      <c r="A131" s="3">
        <v>130</v>
      </c>
      <c r="F131" s="1" t="s">
        <v>6374</v>
      </c>
      <c r="G131" s="1" t="s">
        <v>6375</v>
      </c>
      <c r="H131" s="1" t="s">
        <v>6391</v>
      </c>
      <c r="J131" s="1" t="s">
        <v>1007</v>
      </c>
      <c r="L131" s="1" t="s">
        <v>1417</v>
      </c>
      <c r="N131" s="1" t="s">
        <v>1333</v>
      </c>
      <c r="P131" s="1" t="s">
        <v>5140</v>
      </c>
      <c r="Q131" s="3">
        <v>1</v>
      </c>
      <c r="R131" s="22" t="s">
        <v>2765</v>
      </c>
      <c r="S131" s="22" t="s">
        <v>5099</v>
      </c>
      <c r="T131" s="51">
        <v>33</v>
      </c>
      <c r="U131" s="3" t="s">
        <v>6381</v>
      </c>
      <c r="V131" s="41" t="str">
        <f>HYPERLINK("http://ictvonline.org/taxonomy/p/taxonomy-history?taxnode_id=20181624","ICTVonline=20181624")</f>
        <v>ICTVonline=20181624</v>
      </c>
    </row>
    <row r="132" spans="1:22">
      <c r="A132" s="3">
        <v>131</v>
      </c>
      <c r="F132" s="1" t="s">
        <v>6374</v>
      </c>
      <c r="G132" s="1" t="s">
        <v>6375</v>
      </c>
      <c r="H132" s="1" t="s">
        <v>6391</v>
      </c>
      <c r="J132" s="1" t="s">
        <v>1007</v>
      </c>
      <c r="L132" s="1" t="s">
        <v>1417</v>
      </c>
      <c r="N132" s="1" t="s">
        <v>1333</v>
      </c>
      <c r="P132" s="1" t="s">
        <v>5141</v>
      </c>
      <c r="Q132" s="3">
        <v>0</v>
      </c>
      <c r="R132" s="22" t="s">
        <v>2765</v>
      </c>
      <c r="S132" s="22" t="s">
        <v>5099</v>
      </c>
      <c r="T132" s="51">
        <v>33</v>
      </c>
      <c r="U132" s="3" t="s">
        <v>6381</v>
      </c>
      <c r="V132" s="41" t="str">
        <f>HYPERLINK("http://ictvonline.org/taxonomy/p/taxonomy-history?taxnode_id=20181625","ICTVonline=20181625")</f>
        <v>ICTVonline=20181625</v>
      </c>
    </row>
    <row r="133" spans="1:22">
      <c r="A133" s="3">
        <v>132</v>
      </c>
      <c r="F133" s="1" t="s">
        <v>6374</v>
      </c>
      <c r="G133" s="1" t="s">
        <v>6375</v>
      </c>
      <c r="H133" s="1" t="s">
        <v>6391</v>
      </c>
      <c r="J133" s="1" t="s">
        <v>1007</v>
      </c>
      <c r="L133" s="1" t="s">
        <v>1417</v>
      </c>
      <c r="N133" s="1" t="s">
        <v>1440</v>
      </c>
      <c r="P133" s="1" t="s">
        <v>4676</v>
      </c>
      <c r="Q133" s="3">
        <v>0</v>
      </c>
      <c r="R133" s="22" t="s">
        <v>2765</v>
      </c>
      <c r="S133" s="22" t="s">
        <v>5099</v>
      </c>
      <c r="T133" s="51">
        <v>33</v>
      </c>
      <c r="U133" s="3" t="s">
        <v>6381</v>
      </c>
      <c r="V133" s="41" t="str">
        <f>HYPERLINK("http://ictvonline.org/taxonomy/p/taxonomy-history?taxnode_id=20181627","ICTVonline=20181627")</f>
        <v>ICTVonline=20181627</v>
      </c>
    </row>
    <row r="134" spans="1:22">
      <c r="A134" s="3">
        <v>133</v>
      </c>
      <c r="F134" s="1" t="s">
        <v>6374</v>
      </c>
      <c r="G134" s="1" t="s">
        <v>6375</v>
      </c>
      <c r="H134" s="1" t="s">
        <v>6391</v>
      </c>
      <c r="J134" s="1" t="s">
        <v>1007</v>
      </c>
      <c r="L134" s="1" t="s">
        <v>1417</v>
      </c>
      <c r="N134" s="1" t="s">
        <v>1440</v>
      </c>
      <c r="P134" s="1" t="s">
        <v>4677</v>
      </c>
      <c r="Q134" s="3">
        <v>0</v>
      </c>
      <c r="R134" s="22" t="s">
        <v>2765</v>
      </c>
      <c r="S134" s="22" t="s">
        <v>5099</v>
      </c>
      <c r="T134" s="51">
        <v>33</v>
      </c>
      <c r="U134" s="3" t="s">
        <v>6381</v>
      </c>
      <c r="V134" s="41" t="str">
        <f>HYPERLINK("http://ictvonline.org/taxonomy/p/taxonomy-history?taxnode_id=20181628","ICTVonline=20181628")</f>
        <v>ICTVonline=20181628</v>
      </c>
    </row>
    <row r="135" spans="1:22">
      <c r="A135" s="3">
        <v>134</v>
      </c>
      <c r="F135" s="1" t="s">
        <v>6374</v>
      </c>
      <c r="G135" s="1" t="s">
        <v>6375</v>
      </c>
      <c r="H135" s="1" t="s">
        <v>6391</v>
      </c>
      <c r="J135" s="1" t="s">
        <v>1007</v>
      </c>
      <c r="L135" s="1" t="s">
        <v>1417</v>
      </c>
      <c r="N135" s="1" t="s">
        <v>1440</v>
      </c>
      <c r="P135" s="1" t="s">
        <v>4678</v>
      </c>
      <c r="Q135" s="3">
        <v>0</v>
      </c>
      <c r="R135" s="22" t="s">
        <v>2765</v>
      </c>
      <c r="S135" s="22" t="s">
        <v>5099</v>
      </c>
      <c r="T135" s="51">
        <v>33</v>
      </c>
      <c r="U135" s="3" t="s">
        <v>6381</v>
      </c>
      <c r="V135" s="41" t="str">
        <f>HYPERLINK("http://ictvonline.org/taxonomy/p/taxonomy-history?taxnode_id=20181629","ICTVonline=20181629")</f>
        <v>ICTVonline=20181629</v>
      </c>
    </row>
    <row r="136" spans="1:22">
      <c r="A136" s="3">
        <v>135</v>
      </c>
      <c r="F136" s="1" t="s">
        <v>6374</v>
      </c>
      <c r="G136" s="1" t="s">
        <v>6375</v>
      </c>
      <c r="H136" s="1" t="s">
        <v>6391</v>
      </c>
      <c r="J136" s="1" t="s">
        <v>1007</v>
      </c>
      <c r="L136" s="1" t="s">
        <v>1417</v>
      </c>
      <c r="N136" s="1" t="s">
        <v>1440</v>
      </c>
      <c r="P136" s="1" t="s">
        <v>5142</v>
      </c>
      <c r="Q136" s="3">
        <v>0</v>
      </c>
      <c r="R136" s="22" t="s">
        <v>2765</v>
      </c>
      <c r="S136" s="22" t="s">
        <v>5099</v>
      </c>
      <c r="T136" s="51">
        <v>33</v>
      </c>
      <c r="U136" s="3" t="s">
        <v>6381</v>
      </c>
      <c r="V136" s="41" t="str">
        <f>HYPERLINK("http://ictvonline.org/taxonomy/p/taxonomy-history?taxnode_id=20181630","ICTVonline=20181630")</f>
        <v>ICTVonline=20181630</v>
      </c>
    </row>
    <row r="137" spans="1:22">
      <c r="A137" s="3">
        <v>136</v>
      </c>
      <c r="F137" s="1" t="s">
        <v>6374</v>
      </c>
      <c r="G137" s="1" t="s">
        <v>6375</v>
      </c>
      <c r="H137" s="1" t="s">
        <v>6391</v>
      </c>
      <c r="J137" s="1" t="s">
        <v>1007</v>
      </c>
      <c r="L137" s="1" t="s">
        <v>1417</v>
      </c>
      <c r="N137" s="1" t="s">
        <v>1440</v>
      </c>
      <c r="P137" s="1" t="s">
        <v>5143</v>
      </c>
      <c r="Q137" s="3">
        <v>0</v>
      </c>
      <c r="R137" s="22" t="s">
        <v>2765</v>
      </c>
      <c r="S137" s="22" t="s">
        <v>5099</v>
      </c>
      <c r="T137" s="51">
        <v>33</v>
      </c>
      <c r="U137" s="3" t="s">
        <v>6381</v>
      </c>
      <c r="V137" s="41" t="str">
        <f>HYPERLINK("http://ictvonline.org/taxonomy/p/taxonomy-history?taxnode_id=20181631","ICTVonline=20181631")</f>
        <v>ICTVonline=20181631</v>
      </c>
    </row>
    <row r="138" spans="1:22">
      <c r="A138" s="3">
        <v>137</v>
      </c>
      <c r="F138" s="1" t="s">
        <v>6374</v>
      </c>
      <c r="G138" s="1" t="s">
        <v>6375</v>
      </c>
      <c r="H138" s="1" t="s">
        <v>6391</v>
      </c>
      <c r="J138" s="1" t="s">
        <v>1007</v>
      </c>
      <c r="L138" s="1" t="s">
        <v>1417</v>
      </c>
      <c r="N138" s="1" t="s">
        <v>1440</v>
      </c>
      <c r="P138" s="1" t="s">
        <v>5144</v>
      </c>
      <c r="Q138" s="3">
        <v>0</v>
      </c>
      <c r="R138" s="22" t="s">
        <v>2765</v>
      </c>
      <c r="S138" s="22" t="s">
        <v>5099</v>
      </c>
      <c r="T138" s="51">
        <v>33</v>
      </c>
      <c r="U138" s="3" t="s">
        <v>6381</v>
      </c>
      <c r="V138" s="41" t="str">
        <f>HYPERLINK("http://ictvonline.org/taxonomy/p/taxonomy-history?taxnode_id=20181632","ICTVonline=20181632")</f>
        <v>ICTVonline=20181632</v>
      </c>
    </row>
    <row r="139" spans="1:22">
      <c r="A139" s="3">
        <v>138</v>
      </c>
      <c r="F139" s="1" t="s">
        <v>6374</v>
      </c>
      <c r="G139" s="1" t="s">
        <v>6375</v>
      </c>
      <c r="H139" s="1" t="s">
        <v>6391</v>
      </c>
      <c r="J139" s="1" t="s">
        <v>1007</v>
      </c>
      <c r="L139" s="1" t="s">
        <v>1417</v>
      </c>
      <c r="N139" s="1" t="s">
        <v>1440</v>
      </c>
      <c r="P139" s="1" t="s">
        <v>5145</v>
      </c>
      <c r="Q139" s="3">
        <v>0</v>
      </c>
      <c r="R139" s="22" t="s">
        <v>2765</v>
      </c>
      <c r="S139" s="22" t="s">
        <v>5099</v>
      </c>
      <c r="T139" s="51">
        <v>33</v>
      </c>
      <c r="U139" s="3" t="s">
        <v>6381</v>
      </c>
      <c r="V139" s="41" t="str">
        <f>HYPERLINK("http://ictvonline.org/taxonomy/p/taxonomy-history?taxnode_id=20181633","ICTVonline=20181633")</f>
        <v>ICTVonline=20181633</v>
      </c>
    </row>
    <row r="140" spans="1:22">
      <c r="A140" s="3">
        <v>139</v>
      </c>
      <c r="F140" s="1" t="s">
        <v>6374</v>
      </c>
      <c r="G140" s="1" t="s">
        <v>6375</v>
      </c>
      <c r="H140" s="1" t="s">
        <v>6391</v>
      </c>
      <c r="J140" s="1" t="s">
        <v>1007</v>
      </c>
      <c r="L140" s="1" t="s">
        <v>1417</v>
      </c>
      <c r="N140" s="1" t="s">
        <v>1440</v>
      </c>
      <c r="P140" s="1" t="s">
        <v>4679</v>
      </c>
      <c r="Q140" s="3">
        <v>0</v>
      </c>
      <c r="R140" s="22" t="s">
        <v>2765</v>
      </c>
      <c r="S140" s="22" t="s">
        <v>5099</v>
      </c>
      <c r="T140" s="51">
        <v>33</v>
      </c>
      <c r="U140" s="3" t="s">
        <v>6381</v>
      </c>
      <c r="V140" s="41" t="str">
        <f>HYPERLINK("http://ictvonline.org/taxonomy/p/taxonomy-history?taxnode_id=20181634","ICTVonline=20181634")</f>
        <v>ICTVonline=20181634</v>
      </c>
    </row>
    <row r="141" spans="1:22">
      <c r="A141" s="3">
        <v>140</v>
      </c>
      <c r="F141" s="1" t="s">
        <v>6374</v>
      </c>
      <c r="G141" s="1" t="s">
        <v>6375</v>
      </c>
      <c r="H141" s="1" t="s">
        <v>6391</v>
      </c>
      <c r="J141" s="1" t="s">
        <v>1007</v>
      </c>
      <c r="L141" s="1" t="s">
        <v>1417</v>
      </c>
      <c r="N141" s="1" t="s">
        <v>1440</v>
      </c>
      <c r="P141" s="1" t="s">
        <v>5146</v>
      </c>
      <c r="Q141" s="3">
        <v>1</v>
      </c>
      <c r="R141" s="22" t="s">
        <v>2765</v>
      </c>
      <c r="S141" s="22" t="s">
        <v>5099</v>
      </c>
      <c r="T141" s="51">
        <v>33</v>
      </c>
      <c r="U141" s="3" t="s">
        <v>6381</v>
      </c>
      <c r="V141" s="41" t="str">
        <f>HYPERLINK("http://ictvonline.org/taxonomy/p/taxonomy-history?taxnode_id=20181635","ICTVonline=20181635")</f>
        <v>ICTVonline=20181635</v>
      </c>
    </row>
    <row r="142" spans="1:22">
      <c r="A142" s="3">
        <v>141</v>
      </c>
      <c r="F142" s="1" t="s">
        <v>6374</v>
      </c>
      <c r="G142" s="1" t="s">
        <v>6375</v>
      </c>
      <c r="H142" s="1" t="s">
        <v>6391</v>
      </c>
      <c r="J142" s="1" t="s">
        <v>1007</v>
      </c>
      <c r="L142" s="1" t="s">
        <v>1417</v>
      </c>
      <c r="N142" s="1" t="s">
        <v>1440</v>
      </c>
      <c r="P142" s="1" t="s">
        <v>1441</v>
      </c>
      <c r="Q142" s="3">
        <v>0</v>
      </c>
      <c r="R142" s="22" t="s">
        <v>2765</v>
      </c>
      <c r="S142" s="22" t="s">
        <v>5099</v>
      </c>
      <c r="T142" s="51">
        <v>33</v>
      </c>
      <c r="U142" s="3" t="s">
        <v>6381</v>
      </c>
      <c r="V142" s="41" t="str">
        <f>HYPERLINK("http://ictvonline.org/taxonomy/p/taxonomy-history?taxnode_id=20181636","ICTVonline=20181636")</f>
        <v>ICTVonline=20181636</v>
      </c>
    </row>
    <row r="143" spans="1:22">
      <c r="A143" s="3">
        <v>142</v>
      </c>
      <c r="F143" s="1" t="s">
        <v>6374</v>
      </c>
      <c r="G143" s="1" t="s">
        <v>6375</v>
      </c>
      <c r="H143" s="1" t="s">
        <v>6391</v>
      </c>
      <c r="J143" s="1" t="s">
        <v>1007</v>
      </c>
      <c r="L143" s="1" t="s">
        <v>1417</v>
      </c>
      <c r="N143" s="1" t="s">
        <v>1440</v>
      </c>
      <c r="P143" s="1" t="s">
        <v>5147</v>
      </c>
      <c r="Q143" s="3">
        <v>0</v>
      </c>
      <c r="R143" s="22" t="s">
        <v>2765</v>
      </c>
      <c r="S143" s="22" t="s">
        <v>5099</v>
      </c>
      <c r="T143" s="51">
        <v>33</v>
      </c>
      <c r="U143" s="3" t="s">
        <v>6381</v>
      </c>
      <c r="V143" s="41" t="str">
        <f>HYPERLINK("http://ictvonline.org/taxonomy/p/taxonomy-history?taxnode_id=20181637","ICTVonline=20181637")</f>
        <v>ICTVonline=20181637</v>
      </c>
    </row>
    <row r="144" spans="1:22">
      <c r="A144" s="3">
        <v>143</v>
      </c>
      <c r="F144" s="1" t="s">
        <v>6374</v>
      </c>
      <c r="G144" s="1" t="s">
        <v>6375</v>
      </c>
      <c r="H144" s="1" t="s">
        <v>6391</v>
      </c>
      <c r="J144" s="1" t="s">
        <v>1007</v>
      </c>
      <c r="L144" s="1" t="s">
        <v>1417</v>
      </c>
      <c r="N144" s="1" t="s">
        <v>1440</v>
      </c>
      <c r="P144" s="1" t="s">
        <v>4680</v>
      </c>
      <c r="Q144" s="3">
        <v>0</v>
      </c>
      <c r="R144" s="22" t="s">
        <v>2765</v>
      </c>
      <c r="S144" s="22" t="s">
        <v>5099</v>
      </c>
      <c r="T144" s="51">
        <v>33</v>
      </c>
      <c r="U144" s="3" t="s">
        <v>6381</v>
      </c>
      <c r="V144" s="41" t="str">
        <f>HYPERLINK("http://ictvonline.org/taxonomy/p/taxonomy-history?taxnode_id=20181638","ICTVonline=20181638")</f>
        <v>ICTVonline=20181638</v>
      </c>
    </row>
    <row r="145" spans="1:22">
      <c r="A145" s="3">
        <v>144</v>
      </c>
      <c r="F145" s="1" t="s">
        <v>6374</v>
      </c>
      <c r="G145" s="1" t="s">
        <v>6375</v>
      </c>
      <c r="H145" s="1" t="s">
        <v>6391</v>
      </c>
      <c r="J145" s="1" t="s">
        <v>1007</v>
      </c>
      <c r="L145" s="1" t="s">
        <v>1417</v>
      </c>
      <c r="N145" s="1" t="s">
        <v>1440</v>
      </c>
      <c r="P145" s="1" t="s">
        <v>4681</v>
      </c>
      <c r="Q145" s="3">
        <v>0</v>
      </c>
      <c r="R145" s="22" t="s">
        <v>2765</v>
      </c>
      <c r="S145" s="22" t="s">
        <v>5099</v>
      </c>
      <c r="T145" s="51">
        <v>33</v>
      </c>
      <c r="U145" s="3" t="s">
        <v>6381</v>
      </c>
      <c r="V145" s="41" t="str">
        <f>HYPERLINK("http://ictvonline.org/taxonomy/p/taxonomy-history?taxnode_id=20181639","ICTVonline=20181639")</f>
        <v>ICTVonline=20181639</v>
      </c>
    </row>
    <row r="146" spans="1:22">
      <c r="A146" s="3">
        <v>145</v>
      </c>
      <c r="F146" s="1" t="s">
        <v>6374</v>
      </c>
      <c r="G146" s="1" t="s">
        <v>6375</v>
      </c>
      <c r="H146" s="1" t="s">
        <v>6391</v>
      </c>
      <c r="J146" s="1" t="s">
        <v>1007</v>
      </c>
      <c r="L146" s="1" t="s">
        <v>1417</v>
      </c>
      <c r="N146" s="1" t="s">
        <v>1440</v>
      </c>
      <c r="P146" s="1" t="s">
        <v>4682</v>
      </c>
      <c r="Q146" s="3">
        <v>0</v>
      </c>
      <c r="R146" s="22" t="s">
        <v>2765</v>
      </c>
      <c r="S146" s="22" t="s">
        <v>5099</v>
      </c>
      <c r="T146" s="51">
        <v>33</v>
      </c>
      <c r="U146" s="3" t="s">
        <v>6381</v>
      </c>
      <c r="V146" s="41" t="str">
        <f>HYPERLINK("http://ictvonline.org/taxonomy/p/taxonomy-history?taxnode_id=20181640","ICTVonline=20181640")</f>
        <v>ICTVonline=20181640</v>
      </c>
    </row>
    <row r="147" spans="1:22">
      <c r="A147" s="3">
        <v>146</v>
      </c>
      <c r="F147" s="1" t="s">
        <v>6374</v>
      </c>
      <c r="G147" s="1" t="s">
        <v>6375</v>
      </c>
      <c r="H147" s="1" t="s">
        <v>6391</v>
      </c>
      <c r="J147" s="1" t="s">
        <v>1007</v>
      </c>
      <c r="L147" s="1" t="s">
        <v>1417</v>
      </c>
      <c r="N147" s="1" t="s">
        <v>1440</v>
      </c>
      <c r="P147" s="1" t="s">
        <v>4683</v>
      </c>
      <c r="Q147" s="3">
        <v>0</v>
      </c>
      <c r="R147" s="22" t="s">
        <v>2765</v>
      </c>
      <c r="S147" s="22" t="s">
        <v>5099</v>
      </c>
      <c r="T147" s="51">
        <v>33</v>
      </c>
      <c r="U147" s="3" t="s">
        <v>6381</v>
      </c>
      <c r="V147" s="41" t="str">
        <f>HYPERLINK("http://ictvonline.org/taxonomy/p/taxonomy-history?taxnode_id=20181641","ICTVonline=20181641")</f>
        <v>ICTVonline=20181641</v>
      </c>
    </row>
    <row r="148" spans="1:22">
      <c r="A148" s="3">
        <v>147</v>
      </c>
      <c r="F148" s="1" t="s">
        <v>6374</v>
      </c>
      <c r="G148" s="1" t="s">
        <v>6375</v>
      </c>
      <c r="H148" s="1" t="s">
        <v>6391</v>
      </c>
      <c r="J148" s="1" t="s">
        <v>1007</v>
      </c>
      <c r="L148" s="1" t="s">
        <v>1417</v>
      </c>
      <c r="N148" s="1" t="s">
        <v>1440</v>
      </c>
      <c r="P148" s="1" t="s">
        <v>4684</v>
      </c>
      <c r="Q148" s="3">
        <v>0</v>
      </c>
      <c r="R148" s="22" t="s">
        <v>2765</v>
      </c>
      <c r="S148" s="22" t="s">
        <v>5099</v>
      </c>
      <c r="T148" s="51">
        <v>33</v>
      </c>
      <c r="U148" s="3" t="s">
        <v>6381</v>
      </c>
      <c r="V148" s="41" t="str">
        <f>HYPERLINK("http://ictvonline.org/taxonomy/p/taxonomy-history?taxnode_id=20181642","ICTVonline=20181642")</f>
        <v>ICTVonline=20181642</v>
      </c>
    </row>
    <row r="149" spans="1:22">
      <c r="A149" s="3">
        <v>148</v>
      </c>
      <c r="F149" s="1" t="s">
        <v>6374</v>
      </c>
      <c r="G149" s="1" t="s">
        <v>6375</v>
      </c>
      <c r="H149" s="1" t="s">
        <v>6391</v>
      </c>
      <c r="J149" s="1" t="s">
        <v>1007</v>
      </c>
      <c r="L149" s="1" t="s">
        <v>1417</v>
      </c>
      <c r="N149" s="1" t="s">
        <v>1440</v>
      </c>
      <c r="P149" s="1" t="s">
        <v>4685</v>
      </c>
      <c r="Q149" s="3">
        <v>0</v>
      </c>
      <c r="R149" s="22" t="s">
        <v>2765</v>
      </c>
      <c r="S149" s="22" t="s">
        <v>5099</v>
      </c>
      <c r="T149" s="51">
        <v>33</v>
      </c>
      <c r="U149" s="3" t="s">
        <v>6381</v>
      </c>
      <c r="V149" s="41" t="str">
        <f>HYPERLINK("http://ictvonline.org/taxonomy/p/taxonomy-history?taxnode_id=20181643","ICTVonline=20181643")</f>
        <v>ICTVonline=20181643</v>
      </c>
    </row>
    <row r="150" spans="1:22">
      <c r="A150" s="3">
        <v>149</v>
      </c>
      <c r="F150" s="1" t="s">
        <v>6374</v>
      </c>
      <c r="G150" s="1" t="s">
        <v>6375</v>
      </c>
      <c r="H150" s="1" t="s">
        <v>6391</v>
      </c>
      <c r="J150" s="1" t="s">
        <v>1007</v>
      </c>
      <c r="L150" s="1" t="s">
        <v>3665</v>
      </c>
      <c r="N150" s="1" t="s">
        <v>4166</v>
      </c>
      <c r="P150" s="1" t="s">
        <v>1442</v>
      </c>
      <c r="Q150" s="3">
        <v>1</v>
      </c>
      <c r="R150" s="22" t="s">
        <v>2765</v>
      </c>
      <c r="S150" s="22" t="s">
        <v>5099</v>
      </c>
      <c r="T150" s="51">
        <v>33</v>
      </c>
      <c r="U150" s="3" t="s">
        <v>6381</v>
      </c>
      <c r="V150" s="41" t="str">
        <f>HYPERLINK("http://ictvonline.org/taxonomy/p/taxonomy-history?taxnode_id=20181647","ICTVonline=20181647")</f>
        <v>ICTVonline=20181647</v>
      </c>
    </row>
    <row r="151" spans="1:22">
      <c r="A151" s="3">
        <v>150</v>
      </c>
      <c r="F151" s="1" t="s">
        <v>6374</v>
      </c>
      <c r="G151" s="1" t="s">
        <v>6375</v>
      </c>
      <c r="H151" s="1" t="s">
        <v>6391</v>
      </c>
      <c r="J151" s="1" t="s">
        <v>1007</v>
      </c>
      <c r="L151" s="1" t="s">
        <v>3665</v>
      </c>
      <c r="N151" s="1" t="s">
        <v>4166</v>
      </c>
      <c r="P151" s="1" t="s">
        <v>1443</v>
      </c>
      <c r="Q151" s="3">
        <v>0</v>
      </c>
      <c r="R151" s="22" t="s">
        <v>2765</v>
      </c>
      <c r="S151" s="22" t="s">
        <v>5099</v>
      </c>
      <c r="T151" s="51">
        <v>33</v>
      </c>
      <c r="U151" s="3" t="s">
        <v>6381</v>
      </c>
      <c r="V151" s="41" t="str">
        <f>HYPERLINK("http://ictvonline.org/taxonomy/p/taxonomy-history?taxnode_id=20181648","ICTVonline=20181648")</f>
        <v>ICTVonline=20181648</v>
      </c>
    </row>
    <row r="152" spans="1:22">
      <c r="A152" s="3">
        <v>151</v>
      </c>
      <c r="F152" s="1" t="s">
        <v>6374</v>
      </c>
      <c r="G152" s="1" t="s">
        <v>6375</v>
      </c>
      <c r="H152" s="1" t="s">
        <v>6391</v>
      </c>
      <c r="J152" s="1" t="s">
        <v>1007</v>
      </c>
      <c r="L152" s="1" t="s">
        <v>3665</v>
      </c>
      <c r="N152" s="1" t="s">
        <v>3666</v>
      </c>
      <c r="P152" s="1" t="s">
        <v>5148</v>
      </c>
      <c r="Q152" s="3">
        <v>0</v>
      </c>
      <c r="R152" s="22" t="s">
        <v>2765</v>
      </c>
      <c r="S152" s="22" t="s">
        <v>5099</v>
      </c>
      <c r="T152" s="51">
        <v>33</v>
      </c>
      <c r="U152" s="3" t="s">
        <v>6381</v>
      </c>
      <c r="V152" s="41" t="str">
        <f>HYPERLINK("http://ictvonline.org/taxonomy/p/taxonomy-history?taxnode_id=20181650","ICTVonline=20181650")</f>
        <v>ICTVonline=20181650</v>
      </c>
    </row>
    <row r="153" spans="1:22">
      <c r="A153" s="3">
        <v>152</v>
      </c>
      <c r="F153" s="1" t="s">
        <v>6374</v>
      </c>
      <c r="G153" s="1" t="s">
        <v>6375</v>
      </c>
      <c r="H153" s="1" t="s">
        <v>6391</v>
      </c>
      <c r="J153" s="1" t="s">
        <v>1007</v>
      </c>
      <c r="L153" s="1" t="s">
        <v>3665</v>
      </c>
      <c r="N153" s="1" t="s">
        <v>3666</v>
      </c>
      <c r="P153" s="1" t="s">
        <v>5149</v>
      </c>
      <c r="Q153" s="3">
        <v>1</v>
      </c>
      <c r="R153" s="22" t="s">
        <v>2765</v>
      </c>
      <c r="S153" s="22" t="s">
        <v>5099</v>
      </c>
      <c r="T153" s="51">
        <v>33</v>
      </c>
      <c r="U153" s="3" t="s">
        <v>6381</v>
      </c>
      <c r="V153" s="41" t="str">
        <f>HYPERLINK("http://ictvonline.org/taxonomy/p/taxonomy-history?taxnode_id=20181651","ICTVonline=20181651")</f>
        <v>ICTVonline=20181651</v>
      </c>
    </row>
    <row r="154" spans="1:22">
      <c r="A154" s="3">
        <v>153</v>
      </c>
      <c r="F154" s="1" t="s">
        <v>6374</v>
      </c>
      <c r="G154" s="1" t="s">
        <v>6375</v>
      </c>
      <c r="H154" s="1" t="s">
        <v>6391</v>
      </c>
      <c r="J154" s="1" t="s">
        <v>1007</v>
      </c>
      <c r="L154" s="1" t="s">
        <v>3665</v>
      </c>
      <c r="N154" s="1" t="s">
        <v>3666</v>
      </c>
      <c r="P154" s="1" t="s">
        <v>5150</v>
      </c>
      <c r="Q154" s="3">
        <v>0</v>
      </c>
      <c r="R154" s="22" t="s">
        <v>2765</v>
      </c>
      <c r="S154" s="22" t="s">
        <v>5099</v>
      </c>
      <c r="T154" s="51">
        <v>33</v>
      </c>
      <c r="U154" s="3" t="s">
        <v>6381</v>
      </c>
      <c r="V154" s="41" t="str">
        <f>HYPERLINK("http://ictvonline.org/taxonomy/p/taxonomy-history?taxnode_id=20181652","ICTVonline=20181652")</f>
        <v>ICTVonline=20181652</v>
      </c>
    </row>
    <row r="155" spans="1:22">
      <c r="A155" s="3">
        <v>154</v>
      </c>
      <c r="F155" s="1" t="s">
        <v>6374</v>
      </c>
      <c r="G155" s="1" t="s">
        <v>6375</v>
      </c>
      <c r="H155" s="1" t="s">
        <v>6391</v>
      </c>
      <c r="J155" s="1" t="s">
        <v>1007</v>
      </c>
      <c r="L155" s="1" t="s">
        <v>1445</v>
      </c>
      <c r="N155" s="1" t="s">
        <v>4686</v>
      </c>
      <c r="P155" s="1" t="s">
        <v>4687</v>
      </c>
      <c r="Q155" s="3">
        <v>0</v>
      </c>
      <c r="R155" s="22" t="s">
        <v>2765</v>
      </c>
      <c r="S155" s="22" t="s">
        <v>5099</v>
      </c>
      <c r="T155" s="51">
        <v>33</v>
      </c>
      <c r="U155" s="3" t="s">
        <v>6381</v>
      </c>
      <c r="V155" s="41" t="str">
        <f>HYPERLINK("http://ictvonline.org/taxonomy/p/taxonomy-history?taxnode_id=20181656","ICTVonline=20181656")</f>
        <v>ICTVonline=20181656</v>
      </c>
    </row>
    <row r="156" spans="1:22">
      <c r="A156" s="3">
        <v>155</v>
      </c>
      <c r="F156" s="1" t="s">
        <v>6374</v>
      </c>
      <c r="G156" s="1" t="s">
        <v>6375</v>
      </c>
      <c r="H156" s="1" t="s">
        <v>6391</v>
      </c>
      <c r="J156" s="1" t="s">
        <v>1007</v>
      </c>
      <c r="L156" s="1" t="s">
        <v>1445</v>
      </c>
      <c r="N156" s="1" t="s">
        <v>4686</v>
      </c>
      <c r="P156" s="1" t="s">
        <v>4688</v>
      </c>
      <c r="Q156" s="3">
        <v>0</v>
      </c>
      <c r="R156" s="22" t="s">
        <v>2765</v>
      </c>
      <c r="S156" s="22" t="s">
        <v>5099</v>
      </c>
      <c r="T156" s="51">
        <v>33</v>
      </c>
      <c r="U156" s="3" t="s">
        <v>6381</v>
      </c>
      <c r="V156" s="41" t="str">
        <f>HYPERLINK("http://ictvonline.org/taxonomy/p/taxonomy-history?taxnode_id=20181657","ICTVonline=20181657")</f>
        <v>ICTVonline=20181657</v>
      </c>
    </row>
    <row r="157" spans="1:22">
      <c r="A157" s="3">
        <v>156</v>
      </c>
      <c r="F157" s="1" t="s">
        <v>6374</v>
      </c>
      <c r="G157" s="1" t="s">
        <v>6375</v>
      </c>
      <c r="H157" s="1" t="s">
        <v>6391</v>
      </c>
      <c r="J157" s="1" t="s">
        <v>1007</v>
      </c>
      <c r="L157" s="1" t="s">
        <v>1445</v>
      </c>
      <c r="N157" s="1" t="s">
        <v>4686</v>
      </c>
      <c r="P157" s="1" t="s">
        <v>4689</v>
      </c>
      <c r="Q157" s="3">
        <v>0</v>
      </c>
      <c r="R157" s="22" t="s">
        <v>2765</v>
      </c>
      <c r="S157" s="22" t="s">
        <v>5099</v>
      </c>
      <c r="T157" s="51">
        <v>33</v>
      </c>
      <c r="U157" s="3" t="s">
        <v>6381</v>
      </c>
      <c r="V157" s="41" t="str">
        <f>HYPERLINK("http://ictvonline.org/taxonomy/p/taxonomy-history?taxnode_id=20181658","ICTVonline=20181658")</f>
        <v>ICTVonline=20181658</v>
      </c>
    </row>
    <row r="158" spans="1:22">
      <c r="A158" s="3">
        <v>157</v>
      </c>
      <c r="F158" s="1" t="s">
        <v>6374</v>
      </c>
      <c r="G158" s="1" t="s">
        <v>6375</v>
      </c>
      <c r="H158" s="1" t="s">
        <v>6391</v>
      </c>
      <c r="J158" s="1" t="s">
        <v>1007</v>
      </c>
      <c r="L158" s="1" t="s">
        <v>1445</v>
      </c>
      <c r="N158" s="1" t="s">
        <v>4686</v>
      </c>
      <c r="P158" s="1" t="s">
        <v>4690</v>
      </c>
      <c r="Q158" s="3">
        <v>1</v>
      </c>
      <c r="R158" s="22" t="s">
        <v>2765</v>
      </c>
      <c r="S158" s="22" t="s">
        <v>5099</v>
      </c>
      <c r="T158" s="51">
        <v>33</v>
      </c>
      <c r="U158" s="3" t="s">
        <v>6381</v>
      </c>
      <c r="V158" s="41" t="str">
        <f>HYPERLINK("http://ictvonline.org/taxonomy/p/taxonomy-history?taxnode_id=20181659","ICTVonline=20181659")</f>
        <v>ICTVonline=20181659</v>
      </c>
    </row>
    <row r="159" spans="1:22">
      <c r="A159" s="3">
        <v>158</v>
      </c>
      <c r="F159" s="1" t="s">
        <v>6374</v>
      </c>
      <c r="G159" s="1" t="s">
        <v>6375</v>
      </c>
      <c r="H159" s="1" t="s">
        <v>6391</v>
      </c>
      <c r="J159" s="1" t="s">
        <v>1007</v>
      </c>
      <c r="L159" s="1" t="s">
        <v>1445</v>
      </c>
      <c r="N159" s="1" t="s">
        <v>4686</v>
      </c>
      <c r="P159" s="1" t="s">
        <v>4691</v>
      </c>
      <c r="Q159" s="3">
        <v>0</v>
      </c>
      <c r="R159" s="22" t="s">
        <v>2765</v>
      </c>
      <c r="S159" s="22" t="s">
        <v>5099</v>
      </c>
      <c r="T159" s="51">
        <v>33</v>
      </c>
      <c r="U159" s="3" t="s">
        <v>6381</v>
      </c>
      <c r="V159" s="41" t="str">
        <f>HYPERLINK("http://ictvonline.org/taxonomy/p/taxonomy-history?taxnode_id=20181660","ICTVonline=20181660")</f>
        <v>ICTVonline=20181660</v>
      </c>
    </row>
    <row r="160" spans="1:22">
      <c r="A160" s="3">
        <v>159</v>
      </c>
      <c r="F160" s="1" t="s">
        <v>6374</v>
      </c>
      <c r="G160" s="1" t="s">
        <v>6375</v>
      </c>
      <c r="H160" s="1" t="s">
        <v>6391</v>
      </c>
      <c r="J160" s="1" t="s">
        <v>1007</v>
      </c>
      <c r="L160" s="1" t="s">
        <v>1445</v>
      </c>
      <c r="N160" s="1" t="s">
        <v>4692</v>
      </c>
      <c r="P160" s="1" t="s">
        <v>4693</v>
      </c>
      <c r="Q160" s="3">
        <v>1</v>
      </c>
      <c r="R160" s="22" t="s">
        <v>2765</v>
      </c>
      <c r="S160" s="22" t="s">
        <v>5099</v>
      </c>
      <c r="T160" s="51">
        <v>33</v>
      </c>
      <c r="U160" s="3" t="s">
        <v>6381</v>
      </c>
      <c r="V160" s="41" t="str">
        <f>HYPERLINK("http://ictvonline.org/taxonomy/p/taxonomy-history?taxnode_id=20181662","ICTVonline=20181662")</f>
        <v>ICTVonline=20181662</v>
      </c>
    </row>
    <row r="161" spans="1:22">
      <c r="A161" s="3">
        <v>160</v>
      </c>
      <c r="F161" s="1" t="s">
        <v>6374</v>
      </c>
      <c r="G161" s="1" t="s">
        <v>6375</v>
      </c>
      <c r="H161" s="1" t="s">
        <v>6391</v>
      </c>
      <c r="J161" s="1" t="s">
        <v>1007</v>
      </c>
      <c r="L161" s="1" t="s">
        <v>1445</v>
      </c>
      <c r="N161" s="1" t="s">
        <v>4692</v>
      </c>
      <c r="P161" s="1" t="s">
        <v>4694</v>
      </c>
      <c r="Q161" s="3">
        <v>0</v>
      </c>
      <c r="R161" s="22" t="s">
        <v>2765</v>
      </c>
      <c r="S161" s="22" t="s">
        <v>5099</v>
      </c>
      <c r="T161" s="51">
        <v>33</v>
      </c>
      <c r="U161" s="3" t="s">
        <v>6381</v>
      </c>
      <c r="V161" s="41" t="str">
        <f>HYPERLINK("http://ictvonline.org/taxonomy/p/taxonomy-history?taxnode_id=20181663","ICTVonline=20181663")</f>
        <v>ICTVonline=20181663</v>
      </c>
    </row>
    <row r="162" spans="1:22">
      <c r="A162" s="3">
        <v>161</v>
      </c>
      <c r="F162" s="1" t="s">
        <v>6374</v>
      </c>
      <c r="G162" s="1" t="s">
        <v>6375</v>
      </c>
      <c r="H162" s="1" t="s">
        <v>6391</v>
      </c>
      <c r="J162" s="1" t="s">
        <v>1007</v>
      </c>
      <c r="L162" s="1" t="s">
        <v>1445</v>
      </c>
      <c r="N162" s="1" t="s">
        <v>4692</v>
      </c>
      <c r="P162" s="1" t="s">
        <v>4695</v>
      </c>
      <c r="Q162" s="3">
        <v>0</v>
      </c>
      <c r="R162" s="22" t="s">
        <v>2765</v>
      </c>
      <c r="S162" s="22" t="s">
        <v>5099</v>
      </c>
      <c r="T162" s="51">
        <v>33</v>
      </c>
      <c r="U162" s="3" t="s">
        <v>6381</v>
      </c>
      <c r="V162" s="41" t="str">
        <f>HYPERLINK("http://ictvonline.org/taxonomy/p/taxonomy-history?taxnode_id=20181664","ICTVonline=20181664")</f>
        <v>ICTVonline=20181664</v>
      </c>
    </row>
    <row r="163" spans="1:22">
      <c r="A163" s="3">
        <v>162</v>
      </c>
      <c r="F163" s="1" t="s">
        <v>6374</v>
      </c>
      <c r="G163" s="1" t="s">
        <v>6375</v>
      </c>
      <c r="H163" s="1" t="s">
        <v>6391</v>
      </c>
      <c r="J163" s="1" t="s">
        <v>1007</v>
      </c>
      <c r="L163" s="1" t="s">
        <v>1445</v>
      </c>
      <c r="N163" s="1" t="s">
        <v>4692</v>
      </c>
      <c r="P163" s="1" t="s">
        <v>4696</v>
      </c>
      <c r="Q163" s="3">
        <v>0</v>
      </c>
      <c r="R163" s="22" t="s">
        <v>2765</v>
      </c>
      <c r="S163" s="22" t="s">
        <v>5099</v>
      </c>
      <c r="T163" s="51">
        <v>33</v>
      </c>
      <c r="U163" s="3" t="s">
        <v>6381</v>
      </c>
      <c r="V163" s="41" t="str">
        <f>HYPERLINK("http://ictvonline.org/taxonomy/p/taxonomy-history?taxnode_id=20181665","ICTVonline=20181665")</f>
        <v>ICTVonline=20181665</v>
      </c>
    </row>
    <row r="164" spans="1:22">
      <c r="A164" s="3">
        <v>163</v>
      </c>
      <c r="F164" s="1" t="s">
        <v>6374</v>
      </c>
      <c r="G164" s="1" t="s">
        <v>6375</v>
      </c>
      <c r="H164" s="1" t="s">
        <v>6391</v>
      </c>
      <c r="J164" s="1" t="s">
        <v>1007</v>
      </c>
      <c r="L164" s="1" t="s">
        <v>1445</v>
      </c>
      <c r="N164" s="1" t="s">
        <v>1446</v>
      </c>
      <c r="P164" s="1" t="s">
        <v>3667</v>
      </c>
      <c r="Q164" s="3">
        <v>0</v>
      </c>
      <c r="R164" s="22" t="s">
        <v>2765</v>
      </c>
      <c r="S164" s="22" t="s">
        <v>5099</v>
      </c>
      <c r="T164" s="51">
        <v>33</v>
      </c>
      <c r="U164" s="3" t="s">
        <v>6381</v>
      </c>
      <c r="V164" s="41" t="str">
        <f>HYPERLINK("http://ictvonline.org/taxonomy/p/taxonomy-history?taxnode_id=20181667","ICTVonline=20181667")</f>
        <v>ICTVonline=20181667</v>
      </c>
    </row>
    <row r="165" spans="1:22">
      <c r="A165" s="3">
        <v>164</v>
      </c>
      <c r="F165" s="1" t="s">
        <v>6374</v>
      </c>
      <c r="G165" s="1" t="s">
        <v>6375</v>
      </c>
      <c r="H165" s="1" t="s">
        <v>6391</v>
      </c>
      <c r="J165" s="1" t="s">
        <v>1007</v>
      </c>
      <c r="L165" s="1" t="s">
        <v>1445</v>
      </c>
      <c r="N165" s="1" t="s">
        <v>1446</v>
      </c>
      <c r="P165" s="1" t="s">
        <v>3668</v>
      </c>
      <c r="Q165" s="3">
        <v>0</v>
      </c>
      <c r="R165" s="22" t="s">
        <v>2765</v>
      </c>
      <c r="S165" s="22" t="s">
        <v>5099</v>
      </c>
      <c r="T165" s="51">
        <v>33</v>
      </c>
      <c r="U165" s="3" t="s">
        <v>6381</v>
      </c>
      <c r="V165" s="41" t="str">
        <f>HYPERLINK("http://ictvonline.org/taxonomy/p/taxonomy-history?taxnode_id=20181668","ICTVonline=20181668")</f>
        <v>ICTVonline=20181668</v>
      </c>
    </row>
    <row r="166" spans="1:22">
      <c r="A166" s="3">
        <v>165</v>
      </c>
      <c r="F166" s="1" t="s">
        <v>6374</v>
      </c>
      <c r="G166" s="1" t="s">
        <v>6375</v>
      </c>
      <c r="H166" s="1" t="s">
        <v>6391</v>
      </c>
      <c r="J166" s="1" t="s">
        <v>1007</v>
      </c>
      <c r="L166" s="1" t="s">
        <v>1445</v>
      </c>
      <c r="N166" s="1" t="s">
        <v>1446</v>
      </c>
      <c r="P166" s="1" t="s">
        <v>3669</v>
      </c>
      <c r="Q166" s="3">
        <v>0</v>
      </c>
      <c r="R166" s="22" t="s">
        <v>2765</v>
      </c>
      <c r="S166" s="22" t="s">
        <v>5099</v>
      </c>
      <c r="T166" s="51">
        <v>33</v>
      </c>
      <c r="U166" s="3" t="s">
        <v>6381</v>
      </c>
      <c r="V166" s="41" t="str">
        <f>HYPERLINK("http://ictvonline.org/taxonomy/p/taxonomy-history?taxnode_id=20181669","ICTVonline=20181669")</f>
        <v>ICTVonline=20181669</v>
      </c>
    </row>
    <row r="167" spans="1:22">
      <c r="A167" s="3">
        <v>166</v>
      </c>
      <c r="F167" s="1" t="s">
        <v>6374</v>
      </c>
      <c r="G167" s="1" t="s">
        <v>6375</v>
      </c>
      <c r="H167" s="1" t="s">
        <v>6391</v>
      </c>
      <c r="J167" s="1" t="s">
        <v>1007</v>
      </c>
      <c r="L167" s="1" t="s">
        <v>1445</v>
      </c>
      <c r="N167" s="1" t="s">
        <v>1446</v>
      </c>
      <c r="P167" s="1" t="s">
        <v>4697</v>
      </c>
      <c r="Q167" s="3">
        <v>0</v>
      </c>
      <c r="R167" s="22" t="s">
        <v>2765</v>
      </c>
      <c r="S167" s="22" t="s">
        <v>5099</v>
      </c>
      <c r="T167" s="51">
        <v>33</v>
      </c>
      <c r="U167" s="3" t="s">
        <v>6381</v>
      </c>
      <c r="V167" s="41" t="str">
        <f>HYPERLINK("http://ictvonline.org/taxonomy/p/taxonomy-history?taxnode_id=20181670","ICTVonline=20181670")</f>
        <v>ICTVonline=20181670</v>
      </c>
    </row>
    <row r="168" spans="1:22">
      <c r="A168" s="3">
        <v>167</v>
      </c>
      <c r="F168" s="1" t="s">
        <v>6374</v>
      </c>
      <c r="G168" s="1" t="s">
        <v>6375</v>
      </c>
      <c r="H168" s="1" t="s">
        <v>6391</v>
      </c>
      <c r="J168" s="1" t="s">
        <v>1007</v>
      </c>
      <c r="L168" s="1" t="s">
        <v>1445</v>
      </c>
      <c r="N168" s="1" t="s">
        <v>1446</v>
      </c>
      <c r="P168" s="1" t="s">
        <v>3670</v>
      </c>
      <c r="Q168" s="3">
        <v>0</v>
      </c>
      <c r="R168" s="22" t="s">
        <v>2765</v>
      </c>
      <c r="S168" s="22" t="s">
        <v>5099</v>
      </c>
      <c r="T168" s="51">
        <v>33</v>
      </c>
      <c r="U168" s="3" t="s">
        <v>6381</v>
      </c>
      <c r="V168" s="41" t="str">
        <f>HYPERLINK("http://ictvonline.org/taxonomy/p/taxonomy-history?taxnode_id=20181671","ICTVonline=20181671")</f>
        <v>ICTVonline=20181671</v>
      </c>
    </row>
    <row r="169" spans="1:22">
      <c r="A169" s="3">
        <v>168</v>
      </c>
      <c r="F169" s="1" t="s">
        <v>6374</v>
      </c>
      <c r="G169" s="1" t="s">
        <v>6375</v>
      </c>
      <c r="H169" s="1" t="s">
        <v>6391</v>
      </c>
      <c r="J169" s="1" t="s">
        <v>1007</v>
      </c>
      <c r="L169" s="1" t="s">
        <v>1445</v>
      </c>
      <c r="N169" s="1" t="s">
        <v>1446</v>
      </c>
      <c r="P169" s="1" t="s">
        <v>3671</v>
      </c>
      <c r="Q169" s="3">
        <v>1</v>
      </c>
      <c r="R169" s="22" t="s">
        <v>2765</v>
      </c>
      <c r="S169" s="22" t="s">
        <v>5099</v>
      </c>
      <c r="T169" s="51">
        <v>33</v>
      </c>
      <c r="U169" s="3" t="s">
        <v>6381</v>
      </c>
      <c r="V169" s="41" t="str">
        <f>HYPERLINK("http://ictvonline.org/taxonomy/p/taxonomy-history?taxnode_id=20181672","ICTVonline=20181672")</f>
        <v>ICTVonline=20181672</v>
      </c>
    </row>
    <row r="170" spans="1:22">
      <c r="A170" s="3">
        <v>169</v>
      </c>
      <c r="F170" s="1" t="s">
        <v>6374</v>
      </c>
      <c r="G170" s="1" t="s">
        <v>6375</v>
      </c>
      <c r="H170" s="1" t="s">
        <v>6391</v>
      </c>
      <c r="J170" s="1" t="s">
        <v>1007</v>
      </c>
      <c r="L170" s="1" t="s">
        <v>1445</v>
      </c>
      <c r="N170" s="1" t="s">
        <v>1446</v>
      </c>
      <c r="P170" s="1" t="s">
        <v>3672</v>
      </c>
      <c r="Q170" s="3">
        <v>0</v>
      </c>
      <c r="R170" s="22" t="s">
        <v>2765</v>
      </c>
      <c r="S170" s="22" t="s">
        <v>5099</v>
      </c>
      <c r="T170" s="51">
        <v>33</v>
      </c>
      <c r="U170" s="3" t="s">
        <v>6381</v>
      </c>
      <c r="V170" s="41" t="str">
        <f>HYPERLINK("http://ictvonline.org/taxonomy/p/taxonomy-history?taxnode_id=20181673","ICTVonline=20181673")</f>
        <v>ICTVonline=20181673</v>
      </c>
    </row>
    <row r="171" spans="1:22">
      <c r="A171" s="3">
        <v>170</v>
      </c>
      <c r="F171" s="1" t="s">
        <v>6374</v>
      </c>
      <c r="G171" s="1" t="s">
        <v>6375</v>
      </c>
      <c r="H171" s="1" t="s">
        <v>6391</v>
      </c>
      <c r="J171" s="1" t="s">
        <v>1007</v>
      </c>
      <c r="L171" s="1" t="s">
        <v>1445</v>
      </c>
      <c r="N171" s="1" t="s">
        <v>1446</v>
      </c>
      <c r="P171" s="1" t="s">
        <v>3673</v>
      </c>
      <c r="Q171" s="3">
        <v>0</v>
      </c>
      <c r="R171" s="22" t="s">
        <v>2765</v>
      </c>
      <c r="S171" s="22" t="s">
        <v>5099</v>
      </c>
      <c r="T171" s="51">
        <v>33</v>
      </c>
      <c r="U171" s="3" t="s">
        <v>6381</v>
      </c>
      <c r="V171" s="41" t="str">
        <f>HYPERLINK("http://ictvonline.org/taxonomy/p/taxonomy-history?taxnode_id=20181674","ICTVonline=20181674")</f>
        <v>ICTVonline=20181674</v>
      </c>
    </row>
    <row r="172" spans="1:22">
      <c r="A172" s="3">
        <v>171</v>
      </c>
      <c r="F172" s="1" t="s">
        <v>6374</v>
      </c>
      <c r="G172" s="1" t="s">
        <v>6375</v>
      </c>
      <c r="H172" s="1" t="s">
        <v>6391</v>
      </c>
      <c r="J172" s="1" t="s">
        <v>1007</v>
      </c>
      <c r="L172" s="1" t="s">
        <v>1445</v>
      </c>
      <c r="N172" s="1" t="s">
        <v>1446</v>
      </c>
      <c r="P172" s="1" t="s">
        <v>3674</v>
      </c>
      <c r="Q172" s="3">
        <v>0</v>
      </c>
      <c r="R172" s="22" t="s">
        <v>2765</v>
      </c>
      <c r="S172" s="22" t="s">
        <v>5099</v>
      </c>
      <c r="T172" s="51">
        <v>33</v>
      </c>
      <c r="U172" s="3" t="s">
        <v>6381</v>
      </c>
      <c r="V172" s="41" t="str">
        <f>HYPERLINK("http://ictvonline.org/taxonomy/p/taxonomy-history?taxnode_id=20181675","ICTVonline=20181675")</f>
        <v>ICTVonline=20181675</v>
      </c>
    </row>
    <row r="173" spans="1:22">
      <c r="A173" s="3">
        <v>172</v>
      </c>
      <c r="F173" s="1" t="s">
        <v>6374</v>
      </c>
      <c r="G173" s="1" t="s">
        <v>6375</v>
      </c>
      <c r="H173" s="1" t="s">
        <v>6391</v>
      </c>
      <c r="J173" s="1" t="s">
        <v>1007</v>
      </c>
      <c r="L173" s="1" t="s">
        <v>1445</v>
      </c>
      <c r="N173" s="1" t="s">
        <v>1446</v>
      </c>
      <c r="P173" s="1" t="s">
        <v>3675</v>
      </c>
      <c r="Q173" s="3">
        <v>0</v>
      </c>
      <c r="R173" s="22" t="s">
        <v>2765</v>
      </c>
      <c r="S173" s="22" t="s">
        <v>5099</v>
      </c>
      <c r="T173" s="51">
        <v>33</v>
      </c>
      <c r="U173" s="3" t="s">
        <v>6381</v>
      </c>
      <c r="V173" s="41" t="str">
        <f>HYPERLINK("http://ictvonline.org/taxonomy/p/taxonomy-history?taxnode_id=20181676","ICTVonline=20181676")</f>
        <v>ICTVonline=20181676</v>
      </c>
    </row>
    <row r="174" spans="1:22">
      <c r="A174" s="3">
        <v>173</v>
      </c>
      <c r="F174" s="1" t="s">
        <v>6374</v>
      </c>
      <c r="G174" s="1" t="s">
        <v>6375</v>
      </c>
      <c r="H174" s="1" t="s">
        <v>6391</v>
      </c>
      <c r="J174" s="1" t="s">
        <v>1007</v>
      </c>
      <c r="L174" s="1" t="s">
        <v>1445</v>
      </c>
      <c r="N174" s="1" t="s">
        <v>1446</v>
      </c>
      <c r="P174" s="1" t="s">
        <v>3676</v>
      </c>
      <c r="Q174" s="3">
        <v>0</v>
      </c>
      <c r="R174" s="22" t="s">
        <v>2765</v>
      </c>
      <c r="S174" s="22" t="s">
        <v>5099</v>
      </c>
      <c r="T174" s="51">
        <v>33</v>
      </c>
      <c r="U174" s="3" t="s">
        <v>6381</v>
      </c>
      <c r="V174" s="41" t="str">
        <f>HYPERLINK("http://ictvonline.org/taxonomy/p/taxonomy-history?taxnode_id=20181677","ICTVonline=20181677")</f>
        <v>ICTVonline=20181677</v>
      </c>
    </row>
    <row r="175" spans="1:22">
      <c r="A175" s="3">
        <v>174</v>
      </c>
      <c r="F175" s="1" t="s">
        <v>6374</v>
      </c>
      <c r="G175" s="1" t="s">
        <v>6375</v>
      </c>
      <c r="H175" s="1" t="s">
        <v>6391</v>
      </c>
      <c r="J175" s="1" t="s">
        <v>1007</v>
      </c>
      <c r="L175" s="1" t="s">
        <v>1445</v>
      </c>
      <c r="N175" s="1" t="s">
        <v>3677</v>
      </c>
      <c r="P175" s="1" t="s">
        <v>3678</v>
      </c>
      <c r="Q175" s="3">
        <v>0</v>
      </c>
      <c r="R175" s="22" t="s">
        <v>2765</v>
      </c>
      <c r="S175" s="22" t="s">
        <v>5099</v>
      </c>
      <c r="T175" s="51">
        <v>33</v>
      </c>
      <c r="U175" s="3" t="s">
        <v>6381</v>
      </c>
      <c r="V175" s="41" t="str">
        <f>HYPERLINK("http://ictvonline.org/taxonomy/p/taxonomy-history?taxnode_id=20181679","ICTVonline=20181679")</f>
        <v>ICTVonline=20181679</v>
      </c>
    </row>
    <row r="176" spans="1:22">
      <c r="A176" s="3">
        <v>175</v>
      </c>
      <c r="F176" s="1" t="s">
        <v>6374</v>
      </c>
      <c r="G176" s="1" t="s">
        <v>6375</v>
      </c>
      <c r="H176" s="1" t="s">
        <v>6391</v>
      </c>
      <c r="J176" s="1" t="s">
        <v>1007</v>
      </c>
      <c r="L176" s="1" t="s">
        <v>1445</v>
      </c>
      <c r="N176" s="1" t="s">
        <v>3677</v>
      </c>
      <c r="P176" s="1" t="s">
        <v>3679</v>
      </c>
      <c r="Q176" s="3">
        <v>1</v>
      </c>
      <c r="R176" s="22" t="s">
        <v>2765</v>
      </c>
      <c r="S176" s="22" t="s">
        <v>5099</v>
      </c>
      <c r="T176" s="51">
        <v>33</v>
      </c>
      <c r="U176" s="3" t="s">
        <v>6381</v>
      </c>
      <c r="V176" s="41" t="str">
        <f>HYPERLINK("http://ictvonline.org/taxonomy/p/taxonomy-history?taxnode_id=20181680","ICTVonline=20181680")</f>
        <v>ICTVonline=20181680</v>
      </c>
    </row>
    <row r="177" spans="1:22">
      <c r="A177" s="3">
        <v>176</v>
      </c>
      <c r="F177" s="1" t="s">
        <v>6374</v>
      </c>
      <c r="G177" s="1" t="s">
        <v>6375</v>
      </c>
      <c r="H177" s="1" t="s">
        <v>6391</v>
      </c>
      <c r="J177" s="1" t="s">
        <v>1007</v>
      </c>
      <c r="L177" s="1" t="s">
        <v>1445</v>
      </c>
      <c r="N177" s="1" t="s">
        <v>1385</v>
      </c>
      <c r="P177" s="1" t="s">
        <v>3680</v>
      </c>
      <c r="Q177" s="3">
        <v>0</v>
      </c>
      <c r="R177" s="22" t="s">
        <v>2765</v>
      </c>
      <c r="S177" s="22" t="s">
        <v>5099</v>
      </c>
      <c r="T177" s="51">
        <v>33</v>
      </c>
      <c r="U177" s="3" t="s">
        <v>6381</v>
      </c>
      <c r="V177" s="41" t="str">
        <f>HYPERLINK("http://ictvonline.org/taxonomy/p/taxonomy-history?taxnode_id=20181682","ICTVonline=20181682")</f>
        <v>ICTVonline=20181682</v>
      </c>
    </row>
    <row r="178" spans="1:22">
      <c r="A178" s="3">
        <v>177</v>
      </c>
      <c r="F178" s="1" t="s">
        <v>6374</v>
      </c>
      <c r="G178" s="1" t="s">
        <v>6375</v>
      </c>
      <c r="H178" s="1" t="s">
        <v>6391</v>
      </c>
      <c r="J178" s="1" t="s">
        <v>1007</v>
      </c>
      <c r="L178" s="1" t="s">
        <v>1445</v>
      </c>
      <c r="N178" s="1" t="s">
        <v>1385</v>
      </c>
      <c r="P178" s="1" t="s">
        <v>3681</v>
      </c>
      <c r="Q178" s="3">
        <v>0</v>
      </c>
      <c r="R178" s="22" t="s">
        <v>2765</v>
      </c>
      <c r="S178" s="22" t="s">
        <v>5099</v>
      </c>
      <c r="T178" s="51">
        <v>33</v>
      </c>
      <c r="U178" s="3" t="s">
        <v>6381</v>
      </c>
      <c r="V178" s="41" t="str">
        <f>HYPERLINK("http://ictvonline.org/taxonomy/p/taxonomy-history?taxnode_id=20181683","ICTVonline=20181683")</f>
        <v>ICTVonline=20181683</v>
      </c>
    </row>
    <row r="179" spans="1:22">
      <c r="A179" s="3">
        <v>178</v>
      </c>
      <c r="F179" s="1" t="s">
        <v>6374</v>
      </c>
      <c r="G179" s="1" t="s">
        <v>6375</v>
      </c>
      <c r="H179" s="1" t="s">
        <v>6391</v>
      </c>
      <c r="J179" s="1" t="s">
        <v>1007</v>
      </c>
      <c r="L179" s="1" t="s">
        <v>1445</v>
      </c>
      <c r="N179" s="1" t="s">
        <v>1385</v>
      </c>
      <c r="P179" s="1" t="s">
        <v>3682</v>
      </c>
      <c r="Q179" s="3">
        <v>1</v>
      </c>
      <c r="R179" s="22" t="s">
        <v>2765</v>
      </c>
      <c r="S179" s="22" t="s">
        <v>5099</v>
      </c>
      <c r="T179" s="51">
        <v>33</v>
      </c>
      <c r="U179" s="3" t="s">
        <v>6381</v>
      </c>
      <c r="V179" s="41" t="str">
        <f>HYPERLINK("http://ictvonline.org/taxonomy/p/taxonomy-history?taxnode_id=20181684","ICTVonline=20181684")</f>
        <v>ICTVonline=20181684</v>
      </c>
    </row>
    <row r="180" spans="1:22">
      <c r="A180" s="3">
        <v>179</v>
      </c>
      <c r="F180" s="1" t="s">
        <v>6374</v>
      </c>
      <c r="G180" s="1" t="s">
        <v>6375</v>
      </c>
      <c r="H180" s="1" t="s">
        <v>6391</v>
      </c>
      <c r="J180" s="1" t="s">
        <v>1007</v>
      </c>
      <c r="L180" s="1" t="s">
        <v>1445</v>
      </c>
      <c r="N180" s="1" t="s">
        <v>1385</v>
      </c>
      <c r="P180" s="1" t="s">
        <v>4698</v>
      </c>
      <c r="Q180" s="3">
        <v>0</v>
      </c>
      <c r="R180" s="22" t="s">
        <v>2765</v>
      </c>
      <c r="S180" s="22" t="s">
        <v>5099</v>
      </c>
      <c r="T180" s="51">
        <v>33</v>
      </c>
      <c r="U180" s="3" t="s">
        <v>6381</v>
      </c>
      <c r="V180" s="41" t="str">
        <f>HYPERLINK("http://ictvonline.org/taxonomy/p/taxonomy-history?taxnode_id=20181685","ICTVonline=20181685")</f>
        <v>ICTVonline=20181685</v>
      </c>
    </row>
    <row r="181" spans="1:22">
      <c r="A181" s="3">
        <v>180</v>
      </c>
      <c r="F181" s="1" t="s">
        <v>6374</v>
      </c>
      <c r="G181" s="1" t="s">
        <v>6375</v>
      </c>
      <c r="H181" s="1" t="s">
        <v>6391</v>
      </c>
      <c r="J181" s="1" t="s">
        <v>1007</v>
      </c>
      <c r="L181" s="1" t="s">
        <v>1445</v>
      </c>
      <c r="N181" s="1" t="s">
        <v>1385</v>
      </c>
      <c r="P181" s="1" t="s">
        <v>4699</v>
      </c>
      <c r="Q181" s="3">
        <v>0</v>
      </c>
      <c r="R181" s="22" t="s">
        <v>2765</v>
      </c>
      <c r="S181" s="22" t="s">
        <v>5099</v>
      </c>
      <c r="T181" s="51">
        <v>33</v>
      </c>
      <c r="U181" s="3" t="s">
        <v>6381</v>
      </c>
      <c r="V181" s="41" t="str">
        <f>HYPERLINK("http://ictvonline.org/taxonomy/p/taxonomy-history?taxnode_id=20181686","ICTVonline=20181686")</f>
        <v>ICTVonline=20181686</v>
      </c>
    </row>
    <row r="182" spans="1:22">
      <c r="A182" s="3">
        <v>181</v>
      </c>
      <c r="F182" s="1" t="s">
        <v>6374</v>
      </c>
      <c r="G182" s="1" t="s">
        <v>6375</v>
      </c>
      <c r="H182" s="1" t="s">
        <v>6391</v>
      </c>
      <c r="J182" s="1" t="s">
        <v>1007</v>
      </c>
      <c r="L182" s="1" t="s">
        <v>1445</v>
      </c>
      <c r="N182" s="1" t="s">
        <v>1385</v>
      </c>
      <c r="P182" s="1" t="s">
        <v>4167</v>
      </c>
      <c r="Q182" s="3">
        <v>0</v>
      </c>
      <c r="R182" s="22" t="s">
        <v>2765</v>
      </c>
      <c r="S182" s="22" t="s">
        <v>5099</v>
      </c>
      <c r="T182" s="51">
        <v>33</v>
      </c>
      <c r="U182" s="3" t="s">
        <v>6381</v>
      </c>
      <c r="V182" s="41" t="str">
        <f>HYPERLINK("http://ictvonline.org/taxonomy/p/taxonomy-history?taxnode_id=20181687","ICTVonline=20181687")</f>
        <v>ICTVonline=20181687</v>
      </c>
    </row>
    <row r="183" spans="1:22">
      <c r="A183" s="3">
        <v>182</v>
      </c>
      <c r="F183" s="1" t="s">
        <v>6374</v>
      </c>
      <c r="G183" s="1" t="s">
        <v>6375</v>
      </c>
      <c r="H183" s="1" t="s">
        <v>6391</v>
      </c>
      <c r="J183" s="1" t="s">
        <v>1007</v>
      </c>
      <c r="L183" s="1" t="s">
        <v>1445</v>
      </c>
      <c r="N183" s="1" t="s">
        <v>1385</v>
      </c>
      <c r="P183" s="1" t="s">
        <v>3683</v>
      </c>
      <c r="Q183" s="3">
        <v>0</v>
      </c>
      <c r="R183" s="22" t="s">
        <v>2765</v>
      </c>
      <c r="S183" s="22" t="s">
        <v>5099</v>
      </c>
      <c r="T183" s="51">
        <v>33</v>
      </c>
      <c r="U183" s="3" t="s">
        <v>6381</v>
      </c>
      <c r="V183" s="41" t="str">
        <f>HYPERLINK("http://ictvonline.org/taxonomy/p/taxonomy-history?taxnode_id=20181688","ICTVonline=20181688")</f>
        <v>ICTVonline=20181688</v>
      </c>
    </row>
    <row r="184" spans="1:22">
      <c r="A184" s="3">
        <v>183</v>
      </c>
      <c r="F184" s="1" t="s">
        <v>6374</v>
      </c>
      <c r="G184" s="1" t="s">
        <v>6375</v>
      </c>
      <c r="H184" s="1" t="s">
        <v>6391</v>
      </c>
      <c r="J184" s="1" t="s">
        <v>1007</v>
      </c>
      <c r="L184" s="1" t="s">
        <v>1445</v>
      </c>
      <c r="N184" s="1" t="s">
        <v>1385</v>
      </c>
      <c r="P184" s="1" t="s">
        <v>4700</v>
      </c>
      <c r="Q184" s="3">
        <v>0</v>
      </c>
      <c r="R184" s="22" t="s">
        <v>2765</v>
      </c>
      <c r="S184" s="22" t="s">
        <v>5099</v>
      </c>
      <c r="T184" s="51">
        <v>33</v>
      </c>
      <c r="U184" s="3" t="s">
        <v>6381</v>
      </c>
      <c r="V184" s="41" t="str">
        <f>HYPERLINK("http://ictvonline.org/taxonomy/p/taxonomy-history?taxnode_id=20181689","ICTVonline=20181689")</f>
        <v>ICTVonline=20181689</v>
      </c>
    </row>
    <row r="185" spans="1:22">
      <c r="A185" s="3">
        <v>184</v>
      </c>
      <c r="F185" s="1" t="s">
        <v>6374</v>
      </c>
      <c r="G185" s="1" t="s">
        <v>6375</v>
      </c>
      <c r="H185" s="1" t="s">
        <v>6391</v>
      </c>
      <c r="J185" s="1" t="s">
        <v>1007</v>
      </c>
      <c r="L185" s="1" t="s">
        <v>1445</v>
      </c>
      <c r="N185" s="1" t="s">
        <v>4248</v>
      </c>
      <c r="P185" s="1" t="s">
        <v>4249</v>
      </c>
      <c r="Q185" s="3">
        <v>1</v>
      </c>
      <c r="R185" s="22" t="s">
        <v>2765</v>
      </c>
      <c r="S185" s="22" t="s">
        <v>5099</v>
      </c>
      <c r="T185" s="51">
        <v>33</v>
      </c>
      <c r="U185" s="3" t="s">
        <v>6381</v>
      </c>
      <c r="V185" s="41" t="str">
        <f>HYPERLINK("http://ictvonline.org/taxonomy/p/taxonomy-history?taxnode_id=20181691","ICTVonline=20181691")</f>
        <v>ICTVonline=20181691</v>
      </c>
    </row>
    <row r="186" spans="1:22">
      <c r="A186" s="3">
        <v>185</v>
      </c>
      <c r="F186" s="1" t="s">
        <v>6374</v>
      </c>
      <c r="G186" s="1" t="s">
        <v>6375</v>
      </c>
      <c r="H186" s="1" t="s">
        <v>6391</v>
      </c>
      <c r="J186" s="1" t="s">
        <v>1007</v>
      </c>
      <c r="L186" s="1" t="s">
        <v>1445</v>
      </c>
      <c r="N186" s="1" t="s">
        <v>4248</v>
      </c>
      <c r="P186" s="1" t="s">
        <v>4701</v>
      </c>
      <c r="Q186" s="3">
        <v>0</v>
      </c>
      <c r="R186" s="22" t="s">
        <v>2765</v>
      </c>
      <c r="S186" s="22" t="s">
        <v>5099</v>
      </c>
      <c r="T186" s="51">
        <v>33</v>
      </c>
      <c r="U186" s="3" t="s">
        <v>6381</v>
      </c>
      <c r="V186" s="41" t="str">
        <f>HYPERLINK("http://ictvonline.org/taxonomy/p/taxonomy-history?taxnode_id=20181692","ICTVonline=20181692")</f>
        <v>ICTVonline=20181692</v>
      </c>
    </row>
    <row r="187" spans="1:22">
      <c r="A187" s="3">
        <v>186</v>
      </c>
      <c r="F187" s="1" t="s">
        <v>6374</v>
      </c>
      <c r="G187" s="1" t="s">
        <v>6375</v>
      </c>
      <c r="H187" s="1" t="s">
        <v>6391</v>
      </c>
      <c r="J187" s="1" t="s">
        <v>1007</v>
      </c>
      <c r="L187" s="1" t="s">
        <v>1445</v>
      </c>
      <c r="N187" s="1" t="s">
        <v>4248</v>
      </c>
      <c r="P187" s="1" t="s">
        <v>4702</v>
      </c>
      <c r="Q187" s="3">
        <v>0</v>
      </c>
      <c r="R187" s="22" t="s">
        <v>2765</v>
      </c>
      <c r="S187" s="22" t="s">
        <v>5099</v>
      </c>
      <c r="T187" s="51">
        <v>33</v>
      </c>
      <c r="U187" s="3" t="s">
        <v>6381</v>
      </c>
      <c r="V187" s="41" t="str">
        <f>HYPERLINK("http://ictvonline.org/taxonomy/p/taxonomy-history?taxnode_id=20181693","ICTVonline=20181693")</f>
        <v>ICTVonline=20181693</v>
      </c>
    </row>
    <row r="188" spans="1:22">
      <c r="A188" s="3">
        <v>187</v>
      </c>
      <c r="F188" s="1" t="s">
        <v>6374</v>
      </c>
      <c r="G188" s="1" t="s">
        <v>6375</v>
      </c>
      <c r="H188" s="1" t="s">
        <v>6391</v>
      </c>
      <c r="J188" s="1" t="s">
        <v>1007</v>
      </c>
      <c r="L188" s="1" t="s">
        <v>1445</v>
      </c>
      <c r="N188" s="1" t="s">
        <v>4248</v>
      </c>
      <c r="P188" s="1" t="s">
        <v>4703</v>
      </c>
      <c r="Q188" s="3">
        <v>0</v>
      </c>
      <c r="R188" s="22" t="s">
        <v>2765</v>
      </c>
      <c r="S188" s="22" t="s">
        <v>5099</v>
      </c>
      <c r="T188" s="51">
        <v>33</v>
      </c>
      <c r="U188" s="3" t="s">
        <v>6381</v>
      </c>
      <c r="V188" s="41" t="str">
        <f>HYPERLINK("http://ictvonline.org/taxonomy/p/taxonomy-history?taxnode_id=20181694","ICTVonline=20181694")</f>
        <v>ICTVonline=20181694</v>
      </c>
    </row>
    <row r="189" spans="1:22">
      <c r="A189" s="3">
        <v>188</v>
      </c>
      <c r="F189" s="1" t="s">
        <v>6374</v>
      </c>
      <c r="G189" s="1" t="s">
        <v>6375</v>
      </c>
      <c r="H189" s="1" t="s">
        <v>6391</v>
      </c>
      <c r="J189" s="1" t="s">
        <v>1007</v>
      </c>
      <c r="L189" s="1" t="s">
        <v>1445</v>
      </c>
      <c r="N189" s="1" t="s">
        <v>4248</v>
      </c>
      <c r="P189" s="1" t="s">
        <v>4704</v>
      </c>
      <c r="Q189" s="3">
        <v>0</v>
      </c>
      <c r="R189" s="22" t="s">
        <v>2765</v>
      </c>
      <c r="S189" s="22" t="s">
        <v>5099</v>
      </c>
      <c r="T189" s="51">
        <v>33</v>
      </c>
      <c r="U189" s="3" t="s">
        <v>6381</v>
      </c>
      <c r="V189" s="41" t="str">
        <f>HYPERLINK("http://ictvonline.org/taxonomy/p/taxonomy-history?taxnode_id=20181695","ICTVonline=20181695")</f>
        <v>ICTVonline=20181695</v>
      </c>
    </row>
    <row r="190" spans="1:22">
      <c r="A190" s="3">
        <v>189</v>
      </c>
      <c r="F190" s="1" t="s">
        <v>6374</v>
      </c>
      <c r="G190" s="1" t="s">
        <v>6375</v>
      </c>
      <c r="H190" s="1" t="s">
        <v>6391</v>
      </c>
      <c r="J190" s="1" t="s">
        <v>1007</v>
      </c>
      <c r="L190" s="1" t="s">
        <v>1445</v>
      </c>
      <c r="N190" s="1" t="s">
        <v>4248</v>
      </c>
      <c r="P190" s="1" t="s">
        <v>4705</v>
      </c>
      <c r="Q190" s="3">
        <v>0</v>
      </c>
      <c r="R190" s="22" t="s">
        <v>2765</v>
      </c>
      <c r="S190" s="22" t="s">
        <v>5099</v>
      </c>
      <c r="T190" s="51">
        <v>33</v>
      </c>
      <c r="U190" s="3" t="s">
        <v>6381</v>
      </c>
      <c r="V190" s="41" t="str">
        <f>HYPERLINK("http://ictvonline.org/taxonomy/p/taxonomy-history?taxnode_id=20181696","ICTVonline=20181696")</f>
        <v>ICTVonline=20181696</v>
      </c>
    </row>
    <row r="191" spans="1:22">
      <c r="A191" s="3">
        <v>190</v>
      </c>
      <c r="F191" s="1" t="s">
        <v>6374</v>
      </c>
      <c r="G191" s="1" t="s">
        <v>6375</v>
      </c>
      <c r="H191" s="1" t="s">
        <v>6391</v>
      </c>
      <c r="J191" s="1" t="s">
        <v>1007</v>
      </c>
      <c r="L191" s="1" t="s">
        <v>1445</v>
      </c>
      <c r="N191" s="1" t="s">
        <v>4248</v>
      </c>
      <c r="P191" s="1" t="s">
        <v>4706</v>
      </c>
      <c r="Q191" s="3">
        <v>0</v>
      </c>
      <c r="R191" s="22" t="s">
        <v>2765</v>
      </c>
      <c r="S191" s="22" t="s">
        <v>5099</v>
      </c>
      <c r="T191" s="51">
        <v>33</v>
      </c>
      <c r="U191" s="3" t="s">
        <v>6381</v>
      </c>
      <c r="V191" s="41" t="str">
        <f>HYPERLINK("http://ictvonline.org/taxonomy/p/taxonomy-history?taxnode_id=20181697","ICTVonline=20181697")</f>
        <v>ICTVonline=20181697</v>
      </c>
    </row>
    <row r="192" spans="1:22">
      <c r="A192" s="3">
        <v>191</v>
      </c>
      <c r="F192" s="1" t="s">
        <v>6374</v>
      </c>
      <c r="G192" s="1" t="s">
        <v>6375</v>
      </c>
      <c r="H192" s="1" t="s">
        <v>6391</v>
      </c>
      <c r="J192" s="1" t="s">
        <v>1007</v>
      </c>
      <c r="L192" s="1" t="s">
        <v>1445</v>
      </c>
      <c r="N192" s="1" t="s">
        <v>4248</v>
      </c>
      <c r="P192" s="1" t="s">
        <v>4707</v>
      </c>
      <c r="Q192" s="3">
        <v>0</v>
      </c>
      <c r="R192" s="22" t="s">
        <v>2765</v>
      </c>
      <c r="S192" s="22" t="s">
        <v>5099</v>
      </c>
      <c r="T192" s="51">
        <v>33</v>
      </c>
      <c r="U192" s="3" t="s">
        <v>6381</v>
      </c>
      <c r="V192" s="41" t="str">
        <f>HYPERLINK("http://ictvonline.org/taxonomy/p/taxonomy-history?taxnode_id=20181698","ICTVonline=20181698")</f>
        <v>ICTVonline=20181698</v>
      </c>
    </row>
    <row r="193" spans="1:22">
      <c r="A193" s="3">
        <v>192</v>
      </c>
      <c r="F193" s="1" t="s">
        <v>6374</v>
      </c>
      <c r="G193" s="1" t="s">
        <v>6375</v>
      </c>
      <c r="H193" s="1" t="s">
        <v>6391</v>
      </c>
      <c r="J193" s="1" t="s">
        <v>1007</v>
      </c>
      <c r="L193" s="1" t="s">
        <v>1445</v>
      </c>
      <c r="N193" s="1" t="s">
        <v>4248</v>
      </c>
      <c r="P193" s="1" t="s">
        <v>4708</v>
      </c>
      <c r="Q193" s="3">
        <v>0</v>
      </c>
      <c r="R193" s="22" t="s">
        <v>2765</v>
      </c>
      <c r="S193" s="22" t="s">
        <v>5099</v>
      </c>
      <c r="T193" s="51">
        <v>33</v>
      </c>
      <c r="U193" s="3" t="s">
        <v>6381</v>
      </c>
      <c r="V193" s="41" t="str">
        <f>HYPERLINK("http://ictvonline.org/taxonomy/p/taxonomy-history?taxnode_id=20181699","ICTVonline=20181699")</f>
        <v>ICTVonline=20181699</v>
      </c>
    </row>
    <row r="194" spans="1:22">
      <c r="A194" s="3">
        <v>193</v>
      </c>
      <c r="F194" s="1" t="s">
        <v>6374</v>
      </c>
      <c r="G194" s="1" t="s">
        <v>6375</v>
      </c>
      <c r="H194" s="1" t="s">
        <v>6391</v>
      </c>
      <c r="J194" s="1" t="s">
        <v>1007</v>
      </c>
      <c r="L194" s="1" t="s">
        <v>1445</v>
      </c>
      <c r="N194" s="1" t="s">
        <v>4248</v>
      </c>
      <c r="P194" s="1" t="s">
        <v>4709</v>
      </c>
      <c r="Q194" s="3">
        <v>0</v>
      </c>
      <c r="R194" s="22" t="s">
        <v>2765</v>
      </c>
      <c r="S194" s="22" t="s">
        <v>5099</v>
      </c>
      <c r="T194" s="51">
        <v>33</v>
      </c>
      <c r="U194" s="3" t="s">
        <v>6381</v>
      </c>
      <c r="V194" s="41" t="str">
        <f>HYPERLINK("http://ictvonline.org/taxonomy/p/taxonomy-history?taxnode_id=20181700","ICTVonline=20181700")</f>
        <v>ICTVonline=20181700</v>
      </c>
    </row>
    <row r="195" spans="1:22">
      <c r="A195" s="3">
        <v>194</v>
      </c>
      <c r="F195" s="1" t="s">
        <v>6374</v>
      </c>
      <c r="G195" s="1" t="s">
        <v>6375</v>
      </c>
      <c r="H195" s="1" t="s">
        <v>6391</v>
      </c>
      <c r="J195" s="1" t="s">
        <v>1007</v>
      </c>
      <c r="L195" s="1" t="s">
        <v>1445</v>
      </c>
      <c r="N195" s="1" t="s">
        <v>4248</v>
      </c>
      <c r="P195" s="1" t="s">
        <v>4710</v>
      </c>
      <c r="Q195" s="3">
        <v>0</v>
      </c>
      <c r="R195" s="22" t="s">
        <v>2765</v>
      </c>
      <c r="S195" s="22" t="s">
        <v>5099</v>
      </c>
      <c r="T195" s="51">
        <v>33</v>
      </c>
      <c r="U195" s="3" t="s">
        <v>6381</v>
      </c>
      <c r="V195" s="41" t="str">
        <f>HYPERLINK("http://ictvonline.org/taxonomy/p/taxonomy-history?taxnode_id=20181701","ICTVonline=20181701")</f>
        <v>ICTVonline=20181701</v>
      </c>
    </row>
    <row r="196" spans="1:22">
      <c r="A196" s="3">
        <v>195</v>
      </c>
      <c r="F196" s="1" t="s">
        <v>6374</v>
      </c>
      <c r="G196" s="1" t="s">
        <v>6375</v>
      </c>
      <c r="H196" s="1" t="s">
        <v>6391</v>
      </c>
      <c r="J196" s="1" t="s">
        <v>1007</v>
      </c>
      <c r="L196" s="1" t="s">
        <v>1445</v>
      </c>
      <c r="N196" s="1" t="s">
        <v>4248</v>
      </c>
      <c r="P196" s="1" t="s">
        <v>4250</v>
      </c>
      <c r="Q196" s="3">
        <v>0</v>
      </c>
      <c r="R196" s="22" t="s">
        <v>2765</v>
      </c>
      <c r="S196" s="22" t="s">
        <v>5099</v>
      </c>
      <c r="T196" s="51">
        <v>33</v>
      </c>
      <c r="U196" s="3" t="s">
        <v>6381</v>
      </c>
      <c r="V196" s="41" t="str">
        <f>HYPERLINK("http://ictvonline.org/taxonomy/p/taxonomy-history?taxnode_id=20181702","ICTVonline=20181702")</f>
        <v>ICTVonline=20181702</v>
      </c>
    </row>
    <row r="197" spans="1:22">
      <c r="A197" s="3">
        <v>196</v>
      </c>
      <c r="F197" s="1" t="s">
        <v>6374</v>
      </c>
      <c r="G197" s="1" t="s">
        <v>6375</v>
      </c>
      <c r="H197" s="1" t="s">
        <v>6391</v>
      </c>
      <c r="J197" s="1" t="s">
        <v>1007</v>
      </c>
      <c r="L197" s="1" t="s">
        <v>1445</v>
      </c>
      <c r="N197" s="1" t="s">
        <v>4248</v>
      </c>
      <c r="P197" s="1" t="s">
        <v>4711</v>
      </c>
      <c r="Q197" s="3">
        <v>0</v>
      </c>
      <c r="R197" s="22" t="s">
        <v>2765</v>
      </c>
      <c r="S197" s="22" t="s">
        <v>5099</v>
      </c>
      <c r="T197" s="51">
        <v>33</v>
      </c>
      <c r="U197" s="3" t="s">
        <v>6381</v>
      </c>
      <c r="V197" s="41" t="str">
        <f>HYPERLINK("http://ictvonline.org/taxonomy/p/taxonomy-history?taxnode_id=20181703","ICTVonline=20181703")</f>
        <v>ICTVonline=20181703</v>
      </c>
    </row>
    <row r="198" spans="1:22">
      <c r="A198" s="3">
        <v>197</v>
      </c>
      <c r="F198" s="1" t="s">
        <v>6374</v>
      </c>
      <c r="G198" s="1" t="s">
        <v>6375</v>
      </c>
      <c r="H198" s="1" t="s">
        <v>6391</v>
      </c>
      <c r="J198" s="1" t="s">
        <v>1007</v>
      </c>
      <c r="L198" s="1" t="s">
        <v>1445</v>
      </c>
      <c r="N198" s="1" t="s">
        <v>4248</v>
      </c>
      <c r="P198" s="1" t="s">
        <v>4712</v>
      </c>
      <c r="Q198" s="3">
        <v>0</v>
      </c>
      <c r="R198" s="22" t="s">
        <v>2765</v>
      </c>
      <c r="S198" s="22" t="s">
        <v>5099</v>
      </c>
      <c r="T198" s="51">
        <v>33</v>
      </c>
      <c r="U198" s="3" t="s">
        <v>6381</v>
      </c>
      <c r="V198" s="41" t="str">
        <f>HYPERLINK("http://ictvonline.org/taxonomy/p/taxonomy-history?taxnode_id=20181704","ICTVonline=20181704")</f>
        <v>ICTVonline=20181704</v>
      </c>
    </row>
    <row r="199" spans="1:22">
      <c r="A199" s="3">
        <v>198</v>
      </c>
      <c r="F199" s="1" t="s">
        <v>6374</v>
      </c>
      <c r="G199" s="1" t="s">
        <v>6375</v>
      </c>
      <c r="H199" s="1" t="s">
        <v>6391</v>
      </c>
      <c r="J199" s="1" t="s">
        <v>1007</v>
      </c>
      <c r="L199" s="1" t="s">
        <v>1445</v>
      </c>
      <c r="N199" s="1" t="s">
        <v>4248</v>
      </c>
      <c r="P199" s="1" t="s">
        <v>4251</v>
      </c>
      <c r="Q199" s="3">
        <v>0</v>
      </c>
      <c r="R199" s="22" t="s">
        <v>2765</v>
      </c>
      <c r="S199" s="22" t="s">
        <v>5099</v>
      </c>
      <c r="T199" s="51">
        <v>33</v>
      </c>
      <c r="U199" s="3" t="s">
        <v>6381</v>
      </c>
      <c r="V199" s="41" t="str">
        <f>HYPERLINK("http://ictvonline.org/taxonomy/p/taxonomy-history?taxnode_id=20181705","ICTVonline=20181705")</f>
        <v>ICTVonline=20181705</v>
      </c>
    </row>
    <row r="200" spans="1:22">
      <c r="A200" s="3">
        <v>199</v>
      </c>
      <c r="F200" s="1" t="s">
        <v>6374</v>
      </c>
      <c r="G200" s="1" t="s">
        <v>6375</v>
      </c>
      <c r="H200" s="1" t="s">
        <v>6391</v>
      </c>
      <c r="J200" s="1" t="s">
        <v>1007</v>
      </c>
      <c r="L200" s="1" t="s">
        <v>1445</v>
      </c>
      <c r="N200" s="1" t="s">
        <v>4713</v>
      </c>
      <c r="P200" s="1" t="s">
        <v>4714</v>
      </c>
      <c r="Q200" s="3">
        <v>0</v>
      </c>
      <c r="R200" s="22" t="s">
        <v>2765</v>
      </c>
      <c r="S200" s="22" t="s">
        <v>5099</v>
      </c>
      <c r="T200" s="51">
        <v>33</v>
      </c>
      <c r="U200" s="3" t="s">
        <v>6381</v>
      </c>
      <c r="V200" s="41" t="str">
        <f>HYPERLINK("http://ictvonline.org/taxonomy/p/taxonomy-history?taxnode_id=20181707","ICTVonline=20181707")</f>
        <v>ICTVonline=20181707</v>
      </c>
    </row>
    <row r="201" spans="1:22">
      <c r="A201" s="3">
        <v>200</v>
      </c>
      <c r="F201" s="1" t="s">
        <v>6374</v>
      </c>
      <c r="G201" s="1" t="s">
        <v>6375</v>
      </c>
      <c r="H201" s="1" t="s">
        <v>6391</v>
      </c>
      <c r="J201" s="1" t="s">
        <v>1007</v>
      </c>
      <c r="L201" s="1" t="s">
        <v>1445</v>
      </c>
      <c r="N201" s="1" t="s">
        <v>4713</v>
      </c>
      <c r="P201" s="1" t="s">
        <v>4715</v>
      </c>
      <c r="Q201" s="3">
        <v>0</v>
      </c>
      <c r="R201" s="22" t="s">
        <v>2765</v>
      </c>
      <c r="S201" s="22" t="s">
        <v>5099</v>
      </c>
      <c r="T201" s="51">
        <v>33</v>
      </c>
      <c r="U201" s="3" t="s">
        <v>6381</v>
      </c>
      <c r="V201" s="41" t="str">
        <f>HYPERLINK("http://ictvonline.org/taxonomy/p/taxonomy-history?taxnode_id=20181708","ICTVonline=20181708")</f>
        <v>ICTVonline=20181708</v>
      </c>
    </row>
    <row r="202" spans="1:22">
      <c r="A202" s="3">
        <v>201</v>
      </c>
      <c r="F202" s="1" t="s">
        <v>6374</v>
      </c>
      <c r="G202" s="1" t="s">
        <v>6375</v>
      </c>
      <c r="H202" s="1" t="s">
        <v>6391</v>
      </c>
      <c r="J202" s="1" t="s">
        <v>1007</v>
      </c>
      <c r="L202" s="1" t="s">
        <v>1445</v>
      </c>
      <c r="N202" s="1" t="s">
        <v>4713</v>
      </c>
      <c r="P202" s="1" t="s">
        <v>4716</v>
      </c>
      <c r="Q202" s="3">
        <v>0</v>
      </c>
      <c r="R202" s="22" t="s">
        <v>2765</v>
      </c>
      <c r="S202" s="22" t="s">
        <v>5099</v>
      </c>
      <c r="T202" s="51">
        <v>33</v>
      </c>
      <c r="U202" s="3" t="s">
        <v>6381</v>
      </c>
      <c r="V202" s="41" t="str">
        <f>HYPERLINK("http://ictvonline.org/taxonomy/p/taxonomy-history?taxnode_id=20181709","ICTVonline=20181709")</f>
        <v>ICTVonline=20181709</v>
      </c>
    </row>
    <row r="203" spans="1:22">
      <c r="A203" s="3">
        <v>202</v>
      </c>
      <c r="F203" s="1" t="s">
        <v>6374</v>
      </c>
      <c r="G203" s="1" t="s">
        <v>6375</v>
      </c>
      <c r="H203" s="1" t="s">
        <v>6391</v>
      </c>
      <c r="J203" s="1" t="s">
        <v>1007</v>
      </c>
      <c r="L203" s="1" t="s">
        <v>1445</v>
      </c>
      <c r="N203" s="1" t="s">
        <v>4713</v>
      </c>
      <c r="P203" s="1" t="s">
        <v>5485</v>
      </c>
      <c r="Q203" s="3">
        <v>0</v>
      </c>
      <c r="R203" s="22" t="s">
        <v>2765</v>
      </c>
      <c r="S203" s="22" t="s">
        <v>5099</v>
      </c>
      <c r="T203" s="51">
        <v>33</v>
      </c>
      <c r="U203" s="3" t="s">
        <v>6381</v>
      </c>
      <c r="V203" s="41" t="str">
        <f>HYPERLINK("http://ictvonline.org/taxonomy/p/taxonomy-history?taxnode_id=20185580","ICTVonline=20185580")</f>
        <v>ICTVonline=20185580</v>
      </c>
    </row>
    <row r="204" spans="1:22">
      <c r="A204" s="3">
        <v>203</v>
      </c>
      <c r="F204" s="1" t="s">
        <v>6374</v>
      </c>
      <c r="G204" s="1" t="s">
        <v>6375</v>
      </c>
      <c r="H204" s="1" t="s">
        <v>6391</v>
      </c>
      <c r="J204" s="1" t="s">
        <v>1007</v>
      </c>
      <c r="L204" s="1" t="s">
        <v>1445</v>
      </c>
      <c r="N204" s="1" t="s">
        <v>4713</v>
      </c>
      <c r="P204" s="1" t="s">
        <v>4717</v>
      </c>
      <c r="Q204" s="3">
        <v>0</v>
      </c>
      <c r="R204" s="22" t="s">
        <v>2765</v>
      </c>
      <c r="S204" s="22" t="s">
        <v>5099</v>
      </c>
      <c r="T204" s="51">
        <v>33</v>
      </c>
      <c r="U204" s="3" t="s">
        <v>6381</v>
      </c>
      <c r="V204" s="41" t="str">
        <f>HYPERLINK("http://ictvonline.org/taxonomy/p/taxonomy-history?taxnode_id=20181710","ICTVonline=20181710")</f>
        <v>ICTVonline=20181710</v>
      </c>
    </row>
    <row r="205" spans="1:22">
      <c r="A205" s="3">
        <v>204</v>
      </c>
      <c r="F205" s="1" t="s">
        <v>6374</v>
      </c>
      <c r="G205" s="1" t="s">
        <v>6375</v>
      </c>
      <c r="H205" s="1" t="s">
        <v>6391</v>
      </c>
      <c r="J205" s="1" t="s">
        <v>1007</v>
      </c>
      <c r="L205" s="1" t="s">
        <v>1445</v>
      </c>
      <c r="N205" s="1" t="s">
        <v>4713</v>
      </c>
      <c r="P205" s="1" t="s">
        <v>4718</v>
      </c>
      <c r="Q205" s="3">
        <v>0</v>
      </c>
      <c r="R205" s="22" t="s">
        <v>2765</v>
      </c>
      <c r="S205" s="22" t="s">
        <v>5099</v>
      </c>
      <c r="T205" s="51">
        <v>33</v>
      </c>
      <c r="U205" s="3" t="s">
        <v>6381</v>
      </c>
      <c r="V205" s="41" t="str">
        <f>HYPERLINK("http://ictvonline.org/taxonomy/p/taxonomy-history?taxnode_id=20181711","ICTVonline=20181711")</f>
        <v>ICTVonline=20181711</v>
      </c>
    </row>
    <row r="206" spans="1:22">
      <c r="A206" s="3">
        <v>205</v>
      </c>
      <c r="F206" s="1" t="s">
        <v>6374</v>
      </c>
      <c r="G206" s="1" t="s">
        <v>6375</v>
      </c>
      <c r="H206" s="1" t="s">
        <v>6391</v>
      </c>
      <c r="J206" s="1" t="s">
        <v>1007</v>
      </c>
      <c r="L206" s="1" t="s">
        <v>1445</v>
      </c>
      <c r="N206" s="1" t="s">
        <v>4713</v>
      </c>
      <c r="P206" s="1" t="s">
        <v>4719</v>
      </c>
      <c r="Q206" s="3">
        <v>0</v>
      </c>
      <c r="R206" s="22" t="s">
        <v>2765</v>
      </c>
      <c r="S206" s="22" t="s">
        <v>5099</v>
      </c>
      <c r="T206" s="51">
        <v>33</v>
      </c>
      <c r="U206" s="3" t="s">
        <v>6381</v>
      </c>
      <c r="V206" s="41" t="str">
        <f>HYPERLINK("http://ictvonline.org/taxonomy/p/taxonomy-history?taxnode_id=20181712","ICTVonline=20181712")</f>
        <v>ICTVonline=20181712</v>
      </c>
    </row>
    <row r="207" spans="1:22">
      <c r="A207" s="3">
        <v>206</v>
      </c>
      <c r="F207" s="1" t="s">
        <v>6374</v>
      </c>
      <c r="G207" s="1" t="s">
        <v>6375</v>
      </c>
      <c r="H207" s="1" t="s">
        <v>6391</v>
      </c>
      <c r="J207" s="1" t="s">
        <v>1007</v>
      </c>
      <c r="L207" s="1" t="s">
        <v>1445</v>
      </c>
      <c r="N207" s="1" t="s">
        <v>4713</v>
      </c>
      <c r="P207" s="1" t="s">
        <v>4720</v>
      </c>
      <c r="Q207" s="3">
        <v>0</v>
      </c>
      <c r="R207" s="22" t="s">
        <v>2765</v>
      </c>
      <c r="S207" s="22" t="s">
        <v>5099</v>
      </c>
      <c r="T207" s="51">
        <v>33</v>
      </c>
      <c r="U207" s="3" t="s">
        <v>6381</v>
      </c>
      <c r="V207" s="41" t="str">
        <f>HYPERLINK("http://ictvonline.org/taxonomy/p/taxonomy-history?taxnode_id=20181713","ICTVonline=20181713")</f>
        <v>ICTVonline=20181713</v>
      </c>
    </row>
    <row r="208" spans="1:22">
      <c r="A208" s="3">
        <v>207</v>
      </c>
      <c r="F208" s="1" t="s">
        <v>6374</v>
      </c>
      <c r="G208" s="1" t="s">
        <v>6375</v>
      </c>
      <c r="H208" s="1" t="s">
        <v>6391</v>
      </c>
      <c r="J208" s="1" t="s">
        <v>1007</v>
      </c>
      <c r="L208" s="1" t="s">
        <v>1445</v>
      </c>
      <c r="N208" s="1" t="s">
        <v>4713</v>
      </c>
      <c r="P208" s="1" t="s">
        <v>4721</v>
      </c>
      <c r="Q208" s="3">
        <v>1</v>
      </c>
      <c r="R208" s="22" t="s">
        <v>2765</v>
      </c>
      <c r="S208" s="22" t="s">
        <v>5099</v>
      </c>
      <c r="T208" s="51">
        <v>33</v>
      </c>
      <c r="U208" s="3" t="s">
        <v>6381</v>
      </c>
      <c r="V208" s="41" t="str">
        <f>HYPERLINK("http://ictvonline.org/taxonomy/p/taxonomy-history?taxnode_id=20181714","ICTVonline=20181714")</f>
        <v>ICTVonline=20181714</v>
      </c>
    </row>
    <row r="209" spans="1:22">
      <c r="A209" s="3">
        <v>208</v>
      </c>
      <c r="F209" s="1" t="s">
        <v>6374</v>
      </c>
      <c r="G209" s="1" t="s">
        <v>6375</v>
      </c>
      <c r="H209" s="1" t="s">
        <v>6391</v>
      </c>
      <c r="J209" s="1" t="s">
        <v>1007</v>
      </c>
      <c r="L209" s="1" t="s">
        <v>1445</v>
      </c>
      <c r="N209" s="1" t="s">
        <v>4713</v>
      </c>
      <c r="P209" s="1" t="s">
        <v>4722</v>
      </c>
      <c r="Q209" s="3">
        <v>0</v>
      </c>
      <c r="R209" s="22" t="s">
        <v>2765</v>
      </c>
      <c r="S209" s="22" t="s">
        <v>5099</v>
      </c>
      <c r="T209" s="51">
        <v>33</v>
      </c>
      <c r="U209" s="3" t="s">
        <v>6381</v>
      </c>
      <c r="V209" s="41" t="str">
        <f>HYPERLINK("http://ictvonline.org/taxonomy/p/taxonomy-history?taxnode_id=20181715","ICTVonline=20181715")</f>
        <v>ICTVonline=20181715</v>
      </c>
    </row>
    <row r="210" spans="1:22">
      <c r="A210" s="3">
        <v>209</v>
      </c>
      <c r="F210" s="1" t="s">
        <v>6374</v>
      </c>
      <c r="G210" s="1" t="s">
        <v>6375</v>
      </c>
      <c r="H210" s="1" t="s">
        <v>6391</v>
      </c>
      <c r="J210" s="1" t="s">
        <v>1007</v>
      </c>
      <c r="L210" s="1" t="s">
        <v>1445</v>
      </c>
      <c r="N210" s="1" t="s">
        <v>4713</v>
      </c>
      <c r="P210" s="1" t="s">
        <v>4723</v>
      </c>
      <c r="Q210" s="3">
        <v>0</v>
      </c>
      <c r="R210" s="22" t="s">
        <v>2765</v>
      </c>
      <c r="S210" s="22" t="s">
        <v>5099</v>
      </c>
      <c r="T210" s="51">
        <v>33</v>
      </c>
      <c r="U210" s="3" t="s">
        <v>6381</v>
      </c>
      <c r="V210" s="41" t="str">
        <f>HYPERLINK("http://ictvonline.org/taxonomy/p/taxonomy-history?taxnode_id=20181716","ICTVonline=20181716")</f>
        <v>ICTVonline=20181716</v>
      </c>
    </row>
    <row r="211" spans="1:22">
      <c r="A211" s="3">
        <v>210</v>
      </c>
      <c r="F211" s="1" t="s">
        <v>6374</v>
      </c>
      <c r="G211" s="1" t="s">
        <v>6375</v>
      </c>
      <c r="H211" s="1" t="s">
        <v>6391</v>
      </c>
      <c r="J211" s="1" t="s">
        <v>1007</v>
      </c>
      <c r="L211" s="1" t="s">
        <v>1445</v>
      </c>
      <c r="N211" s="1" t="s">
        <v>4713</v>
      </c>
      <c r="P211" s="1" t="s">
        <v>4724</v>
      </c>
      <c r="Q211" s="3">
        <v>0</v>
      </c>
      <c r="R211" s="22" t="s">
        <v>2765</v>
      </c>
      <c r="S211" s="22" t="s">
        <v>5099</v>
      </c>
      <c r="T211" s="51">
        <v>33</v>
      </c>
      <c r="U211" s="3" t="s">
        <v>6381</v>
      </c>
      <c r="V211" s="41" t="str">
        <f>HYPERLINK("http://ictvonline.org/taxonomy/p/taxonomy-history?taxnode_id=20181717","ICTVonline=20181717")</f>
        <v>ICTVonline=20181717</v>
      </c>
    </row>
    <row r="212" spans="1:22">
      <c r="A212" s="3">
        <v>211</v>
      </c>
      <c r="F212" s="1" t="s">
        <v>6374</v>
      </c>
      <c r="G212" s="1" t="s">
        <v>6375</v>
      </c>
      <c r="H212" s="1" t="s">
        <v>6391</v>
      </c>
      <c r="J212" s="1" t="s">
        <v>1007</v>
      </c>
      <c r="L212" s="1" t="s">
        <v>1445</v>
      </c>
      <c r="N212" s="1" t="s">
        <v>4713</v>
      </c>
      <c r="P212" s="1" t="s">
        <v>4725</v>
      </c>
      <c r="Q212" s="3">
        <v>0</v>
      </c>
      <c r="R212" s="22" t="s">
        <v>2765</v>
      </c>
      <c r="S212" s="22" t="s">
        <v>5099</v>
      </c>
      <c r="T212" s="51">
        <v>33</v>
      </c>
      <c r="U212" s="3" t="s">
        <v>6381</v>
      </c>
      <c r="V212" s="41" t="str">
        <f>HYPERLINK("http://ictvonline.org/taxonomy/p/taxonomy-history?taxnode_id=20181718","ICTVonline=20181718")</f>
        <v>ICTVonline=20181718</v>
      </c>
    </row>
    <row r="213" spans="1:22">
      <c r="A213" s="3">
        <v>212</v>
      </c>
      <c r="F213" s="1" t="s">
        <v>6374</v>
      </c>
      <c r="G213" s="1" t="s">
        <v>6375</v>
      </c>
      <c r="H213" s="1" t="s">
        <v>6391</v>
      </c>
      <c r="J213" s="1" t="s">
        <v>1007</v>
      </c>
      <c r="L213" s="1" t="s">
        <v>1445</v>
      </c>
      <c r="N213" s="1" t="s">
        <v>4713</v>
      </c>
      <c r="P213" s="1" t="s">
        <v>4726</v>
      </c>
      <c r="Q213" s="3">
        <v>0</v>
      </c>
      <c r="R213" s="22" t="s">
        <v>2765</v>
      </c>
      <c r="S213" s="22" t="s">
        <v>5099</v>
      </c>
      <c r="T213" s="51">
        <v>33</v>
      </c>
      <c r="U213" s="3" t="s">
        <v>6381</v>
      </c>
      <c r="V213" s="41" t="str">
        <f>HYPERLINK("http://ictvonline.org/taxonomy/p/taxonomy-history?taxnode_id=20181719","ICTVonline=20181719")</f>
        <v>ICTVonline=20181719</v>
      </c>
    </row>
    <row r="214" spans="1:22">
      <c r="A214" s="3">
        <v>213</v>
      </c>
      <c r="F214" s="1" t="s">
        <v>6374</v>
      </c>
      <c r="G214" s="1" t="s">
        <v>6375</v>
      </c>
      <c r="H214" s="1" t="s">
        <v>6391</v>
      </c>
      <c r="J214" s="1" t="s">
        <v>1007</v>
      </c>
      <c r="L214" s="1" t="s">
        <v>1445</v>
      </c>
      <c r="N214" s="1" t="s">
        <v>4713</v>
      </c>
      <c r="P214" s="1" t="s">
        <v>4727</v>
      </c>
      <c r="Q214" s="3">
        <v>0</v>
      </c>
      <c r="R214" s="22" t="s">
        <v>2765</v>
      </c>
      <c r="S214" s="22" t="s">
        <v>5099</v>
      </c>
      <c r="T214" s="51">
        <v>33</v>
      </c>
      <c r="U214" s="3" t="s">
        <v>6381</v>
      </c>
      <c r="V214" s="41" t="str">
        <f>HYPERLINK("http://ictvonline.org/taxonomy/p/taxonomy-history?taxnode_id=20181720","ICTVonline=20181720")</f>
        <v>ICTVonline=20181720</v>
      </c>
    </row>
    <row r="215" spans="1:22">
      <c r="A215" s="3">
        <v>214</v>
      </c>
      <c r="F215" s="1" t="s">
        <v>6374</v>
      </c>
      <c r="G215" s="1" t="s">
        <v>6375</v>
      </c>
      <c r="H215" s="1" t="s">
        <v>6391</v>
      </c>
      <c r="J215" s="1" t="s">
        <v>1007</v>
      </c>
      <c r="L215" s="1" t="s">
        <v>1445</v>
      </c>
      <c r="N215" s="1" t="s">
        <v>1386</v>
      </c>
      <c r="P215" s="1" t="s">
        <v>3684</v>
      </c>
      <c r="Q215" s="3">
        <v>0</v>
      </c>
      <c r="R215" s="22" t="s">
        <v>2765</v>
      </c>
      <c r="S215" s="22" t="s">
        <v>5099</v>
      </c>
      <c r="T215" s="51">
        <v>33</v>
      </c>
      <c r="U215" s="3" t="s">
        <v>6381</v>
      </c>
      <c r="V215" s="41" t="str">
        <f>HYPERLINK("http://ictvonline.org/taxonomy/p/taxonomy-history?taxnode_id=20181722","ICTVonline=20181722")</f>
        <v>ICTVonline=20181722</v>
      </c>
    </row>
    <row r="216" spans="1:22">
      <c r="A216" s="3">
        <v>215</v>
      </c>
      <c r="F216" s="1" t="s">
        <v>6374</v>
      </c>
      <c r="G216" s="1" t="s">
        <v>6375</v>
      </c>
      <c r="H216" s="1" t="s">
        <v>6391</v>
      </c>
      <c r="J216" s="1" t="s">
        <v>1007</v>
      </c>
      <c r="L216" s="1" t="s">
        <v>1445</v>
      </c>
      <c r="N216" s="1" t="s">
        <v>1386</v>
      </c>
      <c r="P216" s="1" t="s">
        <v>1387</v>
      </c>
      <c r="Q216" s="3">
        <v>0</v>
      </c>
      <c r="R216" s="22" t="s">
        <v>2765</v>
      </c>
      <c r="S216" s="22" t="s">
        <v>5099</v>
      </c>
      <c r="T216" s="51">
        <v>33</v>
      </c>
      <c r="U216" s="3" t="s">
        <v>6381</v>
      </c>
      <c r="V216" s="41" t="str">
        <f>HYPERLINK("http://ictvonline.org/taxonomy/p/taxonomy-history?taxnode_id=20181723","ICTVonline=20181723")</f>
        <v>ICTVonline=20181723</v>
      </c>
    </row>
    <row r="217" spans="1:22">
      <c r="A217" s="3">
        <v>216</v>
      </c>
      <c r="F217" s="1" t="s">
        <v>6374</v>
      </c>
      <c r="G217" s="1" t="s">
        <v>6375</v>
      </c>
      <c r="H217" s="1" t="s">
        <v>6391</v>
      </c>
      <c r="J217" s="1" t="s">
        <v>1007</v>
      </c>
      <c r="L217" s="1" t="s">
        <v>1445</v>
      </c>
      <c r="N217" s="1" t="s">
        <v>1386</v>
      </c>
      <c r="P217" s="1" t="s">
        <v>2310</v>
      </c>
      <c r="Q217" s="3">
        <v>0</v>
      </c>
      <c r="R217" s="22" t="s">
        <v>2765</v>
      </c>
      <c r="S217" s="22" t="s">
        <v>5099</v>
      </c>
      <c r="T217" s="51">
        <v>33</v>
      </c>
      <c r="U217" s="3" t="s">
        <v>6381</v>
      </c>
      <c r="V217" s="41" t="str">
        <f>HYPERLINK("http://ictvonline.org/taxonomy/p/taxonomy-history?taxnode_id=20181724","ICTVonline=20181724")</f>
        <v>ICTVonline=20181724</v>
      </c>
    </row>
    <row r="218" spans="1:22">
      <c r="A218" s="3">
        <v>217</v>
      </c>
      <c r="F218" s="1" t="s">
        <v>6374</v>
      </c>
      <c r="G218" s="1" t="s">
        <v>6375</v>
      </c>
      <c r="H218" s="1" t="s">
        <v>6391</v>
      </c>
      <c r="J218" s="1" t="s">
        <v>1007</v>
      </c>
      <c r="L218" s="1" t="s">
        <v>1445</v>
      </c>
      <c r="N218" s="1" t="s">
        <v>1386</v>
      </c>
      <c r="P218" s="1" t="s">
        <v>3685</v>
      </c>
      <c r="Q218" s="3">
        <v>0</v>
      </c>
      <c r="R218" s="22" t="s">
        <v>2765</v>
      </c>
      <c r="S218" s="22" t="s">
        <v>5099</v>
      </c>
      <c r="T218" s="51">
        <v>33</v>
      </c>
      <c r="U218" s="3" t="s">
        <v>6381</v>
      </c>
      <c r="V218" s="41" t="str">
        <f>HYPERLINK("http://ictvonline.org/taxonomy/p/taxonomy-history?taxnode_id=20181725","ICTVonline=20181725")</f>
        <v>ICTVonline=20181725</v>
      </c>
    </row>
    <row r="219" spans="1:22">
      <c r="A219" s="3">
        <v>218</v>
      </c>
      <c r="F219" s="1" t="s">
        <v>6374</v>
      </c>
      <c r="G219" s="1" t="s">
        <v>6375</v>
      </c>
      <c r="H219" s="1" t="s">
        <v>6391</v>
      </c>
      <c r="J219" s="1" t="s">
        <v>1007</v>
      </c>
      <c r="L219" s="1" t="s">
        <v>1445</v>
      </c>
      <c r="N219" s="1" t="s">
        <v>1386</v>
      </c>
      <c r="P219" s="1" t="s">
        <v>3686</v>
      </c>
      <c r="Q219" s="3">
        <v>0</v>
      </c>
      <c r="R219" s="22" t="s">
        <v>2765</v>
      </c>
      <c r="S219" s="22" t="s">
        <v>5099</v>
      </c>
      <c r="T219" s="51">
        <v>33</v>
      </c>
      <c r="U219" s="3" t="s">
        <v>6381</v>
      </c>
      <c r="V219" s="41" t="str">
        <f>HYPERLINK("http://ictvonline.org/taxonomy/p/taxonomy-history?taxnode_id=20181726","ICTVonline=20181726")</f>
        <v>ICTVonline=20181726</v>
      </c>
    </row>
    <row r="220" spans="1:22">
      <c r="A220" s="3">
        <v>219</v>
      </c>
      <c r="F220" s="1" t="s">
        <v>6374</v>
      </c>
      <c r="G220" s="1" t="s">
        <v>6375</v>
      </c>
      <c r="H220" s="1" t="s">
        <v>6391</v>
      </c>
      <c r="J220" s="1" t="s">
        <v>1007</v>
      </c>
      <c r="L220" s="1" t="s">
        <v>1445</v>
      </c>
      <c r="N220" s="1" t="s">
        <v>1386</v>
      </c>
      <c r="P220" s="1" t="s">
        <v>3687</v>
      </c>
      <c r="Q220" s="3">
        <v>0</v>
      </c>
      <c r="R220" s="22" t="s">
        <v>2765</v>
      </c>
      <c r="S220" s="22" t="s">
        <v>5099</v>
      </c>
      <c r="T220" s="51">
        <v>33</v>
      </c>
      <c r="U220" s="3" t="s">
        <v>6381</v>
      </c>
      <c r="V220" s="41" t="str">
        <f>HYPERLINK("http://ictvonline.org/taxonomy/p/taxonomy-history?taxnode_id=20181727","ICTVonline=20181727")</f>
        <v>ICTVonline=20181727</v>
      </c>
    </row>
    <row r="221" spans="1:22">
      <c r="A221" s="3">
        <v>220</v>
      </c>
      <c r="F221" s="1" t="s">
        <v>6374</v>
      </c>
      <c r="G221" s="1" t="s">
        <v>6375</v>
      </c>
      <c r="H221" s="1" t="s">
        <v>6391</v>
      </c>
      <c r="J221" s="1" t="s">
        <v>1007</v>
      </c>
      <c r="L221" s="1" t="s">
        <v>1445</v>
      </c>
      <c r="N221" s="1" t="s">
        <v>1386</v>
      </c>
      <c r="P221" s="1" t="s">
        <v>5487</v>
      </c>
      <c r="Q221" s="3">
        <v>0</v>
      </c>
      <c r="R221" s="22" t="s">
        <v>2765</v>
      </c>
      <c r="S221" s="22" t="s">
        <v>5099</v>
      </c>
      <c r="T221" s="51">
        <v>33</v>
      </c>
      <c r="U221" s="3" t="s">
        <v>6381</v>
      </c>
      <c r="V221" s="41" t="str">
        <f>HYPERLINK("http://ictvonline.org/taxonomy/p/taxonomy-history?taxnode_id=20185581","ICTVonline=20185581")</f>
        <v>ICTVonline=20185581</v>
      </c>
    </row>
    <row r="222" spans="1:22">
      <c r="A222" s="3">
        <v>221</v>
      </c>
      <c r="F222" s="1" t="s">
        <v>6374</v>
      </c>
      <c r="G222" s="1" t="s">
        <v>6375</v>
      </c>
      <c r="H222" s="1" t="s">
        <v>6391</v>
      </c>
      <c r="J222" s="1" t="s">
        <v>1007</v>
      </c>
      <c r="L222" s="1" t="s">
        <v>1445</v>
      </c>
      <c r="N222" s="1" t="s">
        <v>1386</v>
      </c>
      <c r="P222" s="1" t="s">
        <v>2311</v>
      </c>
      <c r="Q222" s="3">
        <v>0</v>
      </c>
      <c r="R222" s="22" t="s">
        <v>2765</v>
      </c>
      <c r="S222" s="22" t="s">
        <v>5099</v>
      </c>
      <c r="T222" s="51">
        <v>33</v>
      </c>
      <c r="U222" s="3" t="s">
        <v>6381</v>
      </c>
      <c r="V222" s="41" t="str">
        <f>HYPERLINK("http://ictvonline.org/taxonomy/p/taxonomy-history?taxnode_id=20181728","ICTVonline=20181728")</f>
        <v>ICTVonline=20181728</v>
      </c>
    </row>
    <row r="223" spans="1:22">
      <c r="A223" s="3">
        <v>222</v>
      </c>
      <c r="F223" s="1" t="s">
        <v>6374</v>
      </c>
      <c r="G223" s="1" t="s">
        <v>6375</v>
      </c>
      <c r="H223" s="1" t="s">
        <v>6391</v>
      </c>
      <c r="J223" s="1" t="s">
        <v>1007</v>
      </c>
      <c r="L223" s="1" t="s">
        <v>1445</v>
      </c>
      <c r="N223" s="1" t="s">
        <v>1386</v>
      </c>
      <c r="P223" s="1" t="s">
        <v>3688</v>
      </c>
      <c r="Q223" s="3">
        <v>0</v>
      </c>
      <c r="R223" s="22" t="s">
        <v>2765</v>
      </c>
      <c r="S223" s="22" t="s">
        <v>5099</v>
      </c>
      <c r="T223" s="51">
        <v>33</v>
      </c>
      <c r="U223" s="3" t="s">
        <v>6381</v>
      </c>
      <c r="V223" s="41" t="str">
        <f>HYPERLINK("http://ictvonline.org/taxonomy/p/taxonomy-history?taxnode_id=20181729","ICTVonline=20181729")</f>
        <v>ICTVonline=20181729</v>
      </c>
    </row>
    <row r="224" spans="1:22">
      <c r="A224" s="3">
        <v>223</v>
      </c>
      <c r="F224" s="1" t="s">
        <v>6374</v>
      </c>
      <c r="G224" s="1" t="s">
        <v>6375</v>
      </c>
      <c r="H224" s="1" t="s">
        <v>6391</v>
      </c>
      <c r="J224" s="1" t="s">
        <v>1007</v>
      </c>
      <c r="L224" s="1" t="s">
        <v>1445</v>
      </c>
      <c r="N224" s="1" t="s">
        <v>1386</v>
      </c>
      <c r="P224" s="1" t="s">
        <v>3689</v>
      </c>
      <c r="Q224" s="3">
        <v>0</v>
      </c>
      <c r="R224" s="22" t="s">
        <v>2765</v>
      </c>
      <c r="S224" s="22" t="s">
        <v>5099</v>
      </c>
      <c r="T224" s="51">
        <v>33</v>
      </c>
      <c r="U224" s="3" t="s">
        <v>6381</v>
      </c>
      <c r="V224" s="41" t="str">
        <f>HYPERLINK("http://ictvonline.org/taxonomy/p/taxonomy-history?taxnode_id=20181730","ICTVonline=20181730")</f>
        <v>ICTVonline=20181730</v>
      </c>
    </row>
    <row r="225" spans="1:22">
      <c r="A225" s="3">
        <v>224</v>
      </c>
      <c r="F225" s="1" t="s">
        <v>6374</v>
      </c>
      <c r="G225" s="1" t="s">
        <v>6375</v>
      </c>
      <c r="H225" s="1" t="s">
        <v>6391</v>
      </c>
      <c r="J225" s="1" t="s">
        <v>1007</v>
      </c>
      <c r="L225" s="1" t="s">
        <v>1445</v>
      </c>
      <c r="N225" s="1" t="s">
        <v>1386</v>
      </c>
      <c r="P225" s="1" t="s">
        <v>3690</v>
      </c>
      <c r="Q225" s="3">
        <v>0</v>
      </c>
      <c r="R225" s="22" t="s">
        <v>2765</v>
      </c>
      <c r="S225" s="22" t="s">
        <v>5099</v>
      </c>
      <c r="T225" s="51">
        <v>33</v>
      </c>
      <c r="U225" s="3" t="s">
        <v>6381</v>
      </c>
      <c r="V225" s="41" t="str">
        <f>HYPERLINK("http://ictvonline.org/taxonomy/p/taxonomy-history?taxnode_id=20181731","ICTVonline=20181731")</f>
        <v>ICTVonline=20181731</v>
      </c>
    </row>
    <row r="226" spans="1:22">
      <c r="A226" s="3">
        <v>225</v>
      </c>
      <c r="F226" s="1" t="s">
        <v>6374</v>
      </c>
      <c r="G226" s="1" t="s">
        <v>6375</v>
      </c>
      <c r="H226" s="1" t="s">
        <v>6391</v>
      </c>
      <c r="J226" s="1" t="s">
        <v>1007</v>
      </c>
      <c r="L226" s="1" t="s">
        <v>1445</v>
      </c>
      <c r="N226" s="1" t="s">
        <v>1386</v>
      </c>
      <c r="P226" s="1" t="s">
        <v>5488</v>
      </c>
      <c r="Q226" s="3">
        <v>0</v>
      </c>
      <c r="R226" s="22" t="s">
        <v>2765</v>
      </c>
      <c r="S226" s="22" t="s">
        <v>5099</v>
      </c>
      <c r="T226" s="51">
        <v>33</v>
      </c>
      <c r="U226" s="3" t="s">
        <v>6381</v>
      </c>
      <c r="V226" s="41" t="str">
        <f>HYPERLINK("http://ictvonline.org/taxonomy/p/taxonomy-history?taxnode_id=20185582","ICTVonline=20185582")</f>
        <v>ICTVonline=20185582</v>
      </c>
    </row>
    <row r="227" spans="1:22">
      <c r="A227" s="3">
        <v>226</v>
      </c>
      <c r="F227" s="1" t="s">
        <v>6374</v>
      </c>
      <c r="G227" s="1" t="s">
        <v>6375</v>
      </c>
      <c r="H227" s="1" t="s">
        <v>6391</v>
      </c>
      <c r="J227" s="1" t="s">
        <v>1007</v>
      </c>
      <c r="L227" s="1" t="s">
        <v>1445</v>
      </c>
      <c r="N227" s="1" t="s">
        <v>1386</v>
      </c>
      <c r="P227" s="1" t="s">
        <v>3691</v>
      </c>
      <c r="Q227" s="3">
        <v>0</v>
      </c>
      <c r="R227" s="22" t="s">
        <v>2765</v>
      </c>
      <c r="S227" s="22" t="s">
        <v>5099</v>
      </c>
      <c r="T227" s="51">
        <v>33</v>
      </c>
      <c r="U227" s="3" t="s">
        <v>6381</v>
      </c>
      <c r="V227" s="41" t="str">
        <f>HYPERLINK("http://ictvonline.org/taxonomy/p/taxonomy-history?taxnode_id=20181732","ICTVonline=20181732")</f>
        <v>ICTVonline=20181732</v>
      </c>
    </row>
    <row r="228" spans="1:22">
      <c r="A228" s="3">
        <v>227</v>
      </c>
      <c r="F228" s="1" t="s">
        <v>6374</v>
      </c>
      <c r="G228" s="1" t="s">
        <v>6375</v>
      </c>
      <c r="H228" s="1" t="s">
        <v>6391</v>
      </c>
      <c r="J228" s="1" t="s">
        <v>1007</v>
      </c>
      <c r="L228" s="1" t="s">
        <v>1445</v>
      </c>
      <c r="N228" s="1" t="s">
        <v>1386</v>
      </c>
      <c r="P228" s="1" t="s">
        <v>3692</v>
      </c>
      <c r="Q228" s="3">
        <v>1</v>
      </c>
      <c r="R228" s="22" t="s">
        <v>2765</v>
      </c>
      <c r="S228" s="22" t="s">
        <v>5099</v>
      </c>
      <c r="T228" s="51">
        <v>33</v>
      </c>
      <c r="U228" s="3" t="s">
        <v>6381</v>
      </c>
      <c r="V228" s="41" t="str">
        <f>HYPERLINK("http://ictvonline.org/taxonomy/p/taxonomy-history?taxnode_id=20181733","ICTVonline=20181733")</f>
        <v>ICTVonline=20181733</v>
      </c>
    </row>
    <row r="229" spans="1:22">
      <c r="A229" s="3">
        <v>228</v>
      </c>
      <c r="F229" s="1" t="s">
        <v>6374</v>
      </c>
      <c r="G229" s="1" t="s">
        <v>6375</v>
      </c>
      <c r="H229" s="1" t="s">
        <v>6391</v>
      </c>
      <c r="J229" s="1" t="s">
        <v>1007</v>
      </c>
      <c r="L229" s="1" t="s">
        <v>1445</v>
      </c>
      <c r="N229" s="1" t="s">
        <v>1386</v>
      </c>
      <c r="P229" s="1" t="s">
        <v>3693</v>
      </c>
      <c r="Q229" s="3">
        <v>0</v>
      </c>
      <c r="R229" s="22" t="s">
        <v>2765</v>
      </c>
      <c r="S229" s="22" t="s">
        <v>5099</v>
      </c>
      <c r="T229" s="51">
        <v>33</v>
      </c>
      <c r="U229" s="3" t="s">
        <v>6381</v>
      </c>
      <c r="V229" s="41" t="str">
        <f>HYPERLINK("http://ictvonline.org/taxonomy/p/taxonomy-history?taxnode_id=20181734","ICTVonline=20181734")</f>
        <v>ICTVonline=20181734</v>
      </c>
    </row>
    <row r="230" spans="1:22">
      <c r="A230" s="3">
        <v>229</v>
      </c>
      <c r="F230" s="1" t="s">
        <v>6374</v>
      </c>
      <c r="G230" s="1" t="s">
        <v>6375</v>
      </c>
      <c r="H230" s="1" t="s">
        <v>6391</v>
      </c>
      <c r="J230" s="1" t="s">
        <v>1007</v>
      </c>
      <c r="L230" s="1" t="s">
        <v>1445</v>
      </c>
      <c r="N230" s="1" t="s">
        <v>1386</v>
      </c>
      <c r="P230" s="1" t="s">
        <v>3694</v>
      </c>
      <c r="Q230" s="3">
        <v>0</v>
      </c>
      <c r="R230" s="22" t="s">
        <v>2765</v>
      </c>
      <c r="S230" s="22" t="s">
        <v>5099</v>
      </c>
      <c r="T230" s="51">
        <v>33</v>
      </c>
      <c r="U230" s="3" t="s">
        <v>6381</v>
      </c>
      <c r="V230" s="41" t="str">
        <f>HYPERLINK("http://ictvonline.org/taxonomy/p/taxonomy-history?taxnode_id=20181735","ICTVonline=20181735")</f>
        <v>ICTVonline=20181735</v>
      </c>
    </row>
    <row r="231" spans="1:22">
      <c r="A231" s="3">
        <v>230</v>
      </c>
      <c r="F231" s="1" t="s">
        <v>6374</v>
      </c>
      <c r="G231" s="1" t="s">
        <v>6375</v>
      </c>
      <c r="H231" s="1" t="s">
        <v>6391</v>
      </c>
      <c r="J231" s="1" t="s">
        <v>1007</v>
      </c>
      <c r="L231" s="1" t="s">
        <v>1445</v>
      </c>
      <c r="N231" s="1" t="s">
        <v>1129</v>
      </c>
      <c r="P231" s="1" t="s">
        <v>3695</v>
      </c>
      <c r="Q231" s="3">
        <v>0</v>
      </c>
      <c r="R231" s="22" t="s">
        <v>2765</v>
      </c>
      <c r="S231" s="22" t="s">
        <v>5099</v>
      </c>
      <c r="T231" s="51">
        <v>33</v>
      </c>
      <c r="U231" s="3" t="s">
        <v>6381</v>
      </c>
      <c r="V231" s="41" t="str">
        <f>HYPERLINK("http://ictvonline.org/taxonomy/p/taxonomy-history?taxnode_id=20181737","ICTVonline=20181737")</f>
        <v>ICTVonline=20181737</v>
      </c>
    </row>
    <row r="232" spans="1:22">
      <c r="A232" s="3">
        <v>231</v>
      </c>
      <c r="F232" s="1" t="s">
        <v>6374</v>
      </c>
      <c r="G232" s="1" t="s">
        <v>6375</v>
      </c>
      <c r="H232" s="1" t="s">
        <v>6391</v>
      </c>
      <c r="J232" s="1" t="s">
        <v>1007</v>
      </c>
      <c r="L232" s="1" t="s">
        <v>1445</v>
      </c>
      <c r="N232" s="1" t="s">
        <v>1129</v>
      </c>
      <c r="P232" s="1" t="s">
        <v>5151</v>
      </c>
      <c r="Q232" s="3">
        <v>0</v>
      </c>
      <c r="R232" s="22" t="s">
        <v>2765</v>
      </c>
      <c r="S232" s="22" t="s">
        <v>5099</v>
      </c>
      <c r="T232" s="51">
        <v>33</v>
      </c>
      <c r="U232" s="3" t="s">
        <v>6381</v>
      </c>
      <c r="V232" s="41" t="str">
        <f>HYPERLINK("http://ictvonline.org/taxonomy/p/taxonomy-history?taxnode_id=20181738","ICTVonline=20181738")</f>
        <v>ICTVonline=20181738</v>
      </c>
    </row>
    <row r="233" spans="1:22">
      <c r="A233" s="3">
        <v>232</v>
      </c>
      <c r="F233" s="1" t="s">
        <v>6374</v>
      </c>
      <c r="G233" s="1" t="s">
        <v>6375</v>
      </c>
      <c r="H233" s="1" t="s">
        <v>6391</v>
      </c>
      <c r="J233" s="1" t="s">
        <v>1007</v>
      </c>
      <c r="L233" s="1" t="s">
        <v>1445</v>
      </c>
      <c r="N233" s="1" t="s">
        <v>1129</v>
      </c>
      <c r="P233" s="1" t="s">
        <v>5152</v>
      </c>
      <c r="Q233" s="3">
        <v>1</v>
      </c>
      <c r="R233" s="22" t="s">
        <v>2765</v>
      </c>
      <c r="S233" s="22" t="s">
        <v>5099</v>
      </c>
      <c r="T233" s="51">
        <v>33</v>
      </c>
      <c r="U233" s="3" t="s">
        <v>6381</v>
      </c>
      <c r="V233" s="41" t="str">
        <f>HYPERLINK("http://ictvonline.org/taxonomy/p/taxonomy-history?taxnode_id=20181739","ICTVonline=20181739")</f>
        <v>ICTVonline=20181739</v>
      </c>
    </row>
    <row r="234" spans="1:22">
      <c r="A234" s="3">
        <v>233</v>
      </c>
      <c r="F234" s="1" t="s">
        <v>6374</v>
      </c>
      <c r="G234" s="1" t="s">
        <v>6375</v>
      </c>
      <c r="H234" s="1" t="s">
        <v>6391</v>
      </c>
      <c r="J234" s="1" t="s">
        <v>1007</v>
      </c>
      <c r="L234" s="1" t="s">
        <v>1445</v>
      </c>
      <c r="N234" s="1" t="s">
        <v>1129</v>
      </c>
      <c r="P234" s="1" t="s">
        <v>3696</v>
      </c>
      <c r="Q234" s="3">
        <v>0</v>
      </c>
      <c r="R234" s="22" t="s">
        <v>2765</v>
      </c>
      <c r="S234" s="22" t="s">
        <v>5099</v>
      </c>
      <c r="T234" s="51">
        <v>33</v>
      </c>
      <c r="U234" s="3" t="s">
        <v>6381</v>
      </c>
      <c r="V234" s="41" t="str">
        <f>HYPERLINK("http://ictvonline.org/taxonomy/p/taxonomy-history?taxnode_id=20181740","ICTVonline=20181740")</f>
        <v>ICTVonline=20181740</v>
      </c>
    </row>
    <row r="235" spans="1:22">
      <c r="A235" s="3">
        <v>234</v>
      </c>
      <c r="F235" s="1" t="s">
        <v>6374</v>
      </c>
      <c r="G235" s="1" t="s">
        <v>6375</v>
      </c>
      <c r="H235" s="1" t="s">
        <v>6391</v>
      </c>
      <c r="J235" s="1" t="s">
        <v>1007</v>
      </c>
      <c r="L235" s="1" t="s">
        <v>1445</v>
      </c>
      <c r="N235" s="1" t="s">
        <v>1444</v>
      </c>
      <c r="P235" s="1" t="s">
        <v>3697</v>
      </c>
      <c r="Q235" s="3">
        <v>0</v>
      </c>
      <c r="R235" s="22" t="s">
        <v>2765</v>
      </c>
      <c r="S235" s="22" t="s">
        <v>5099</v>
      </c>
      <c r="T235" s="51">
        <v>33</v>
      </c>
      <c r="U235" s="3" t="s">
        <v>6381</v>
      </c>
      <c r="V235" s="41" t="str">
        <f>HYPERLINK("http://ictvonline.org/taxonomy/p/taxonomy-history?taxnode_id=20181742","ICTVonline=20181742")</f>
        <v>ICTVonline=20181742</v>
      </c>
    </row>
    <row r="236" spans="1:22">
      <c r="A236" s="3">
        <v>235</v>
      </c>
      <c r="F236" s="1" t="s">
        <v>6374</v>
      </c>
      <c r="G236" s="1" t="s">
        <v>6375</v>
      </c>
      <c r="H236" s="1" t="s">
        <v>6391</v>
      </c>
      <c r="J236" s="1" t="s">
        <v>1007</v>
      </c>
      <c r="L236" s="1" t="s">
        <v>1445</v>
      </c>
      <c r="N236" s="1" t="s">
        <v>1444</v>
      </c>
      <c r="P236" s="1" t="s">
        <v>3698</v>
      </c>
      <c r="Q236" s="3">
        <v>0</v>
      </c>
      <c r="R236" s="22" t="s">
        <v>2765</v>
      </c>
      <c r="S236" s="22" t="s">
        <v>5099</v>
      </c>
      <c r="T236" s="51">
        <v>33</v>
      </c>
      <c r="U236" s="3" t="s">
        <v>6381</v>
      </c>
      <c r="V236" s="41" t="str">
        <f>HYPERLINK("http://ictvonline.org/taxonomy/p/taxonomy-history?taxnode_id=20181743","ICTVonline=20181743")</f>
        <v>ICTVonline=20181743</v>
      </c>
    </row>
    <row r="237" spans="1:22">
      <c r="A237" s="3">
        <v>236</v>
      </c>
      <c r="F237" s="1" t="s">
        <v>6374</v>
      </c>
      <c r="G237" s="1" t="s">
        <v>6375</v>
      </c>
      <c r="H237" s="1" t="s">
        <v>6391</v>
      </c>
      <c r="J237" s="1" t="s">
        <v>1007</v>
      </c>
      <c r="L237" s="1" t="s">
        <v>1445</v>
      </c>
      <c r="N237" s="1" t="s">
        <v>1444</v>
      </c>
      <c r="P237" s="1" t="s">
        <v>3699</v>
      </c>
      <c r="Q237" s="3">
        <v>0</v>
      </c>
      <c r="R237" s="22" t="s">
        <v>2765</v>
      </c>
      <c r="S237" s="22" t="s">
        <v>5099</v>
      </c>
      <c r="T237" s="51">
        <v>33</v>
      </c>
      <c r="U237" s="3" t="s">
        <v>6381</v>
      </c>
      <c r="V237" s="41" t="str">
        <f>HYPERLINK("http://ictvonline.org/taxonomy/p/taxonomy-history?taxnode_id=20181744","ICTVonline=20181744")</f>
        <v>ICTVonline=20181744</v>
      </c>
    </row>
    <row r="238" spans="1:22">
      <c r="A238" s="3">
        <v>237</v>
      </c>
      <c r="F238" s="1" t="s">
        <v>6374</v>
      </c>
      <c r="G238" s="1" t="s">
        <v>6375</v>
      </c>
      <c r="H238" s="1" t="s">
        <v>6391</v>
      </c>
      <c r="J238" s="1" t="s">
        <v>1007</v>
      </c>
      <c r="L238" s="1" t="s">
        <v>1445</v>
      </c>
      <c r="N238" s="1" t="s">
        <v>1444</v>
      </c>
      <c r="P238" s="1" t="s">
        <v>3700</v>
      </c>
      <c r="Q238" s="3">
        <v>0</v>
      </c>
      <c r="R238" s="22" t="s">
        <v>2765</v>
      </c>
      <c r="S238" s="22" t="s">
        <v>5099</v>
      </c>
      <c r="T238" s="51">
        <v>33</v>
      </c>
      <c r="U238" s="3" t="s">
        <v>6381</v>
      </c>
      <c r="V238" s="41" t="str">
        <f>HYPERLINK("http://ictvonline.org/taxonomy/p/taxonomy-history?taxnode_id=20181745","ICTVonline=20181745")</f>
        <v>ICTVonline=20181745</v>
      </c>
    </row>
    <row r="239" spans="1:22">
      <c r="A239" s="3">
        <v>238</v>
      </c>
      <c r="F239" s="1" t="s">
        <v>6374</v>
      </c>
      <c r="G239" s="1" t="s">
        <v>6375</v>
      </c>
      <c r="H239" s="1" t="s">
        <v>6391</v>
      </c>
      <c r="J239" s="1" t="s">
        <v>1007</v>
      </c>
      <c r="L239" s="1" t="s">
        <v>1445</v>
      </c>
      <c r="N239" s="1" t="s">
        <v>1444</v>
      </c>
      <c r="P239" s="1" t="s">
        <v>3701</v>
      </c>
      <c r="Q239" s="3">
        <v>0</v>
      </c>
      <c r="R239" s="22" t="s">
        <v>2765</v>
      </c>
      <c r="S239" s="22" t="s">
        <v>5099</v>
      </c>
      <c r="T239" s="51">
        <v>33</v>
      </c>
      <c r="U239" s="3" t="s">
        <v>6381</v>
      </c>
      <c r="V239" s="41" t="str">
        <f>HYPERLINK("http://ictvonline.org/taxonomy/p/taxonomy-history?taxnode_id=20181746","ICTVonline=20181746")</f>
        <v>ICTVonline=20181746</v>
      </c>
    </row>
    <row r="240" spans="1:22">
      <c r="A240" s="3">
        <v>239</v>
      </c>
      <c r="F240" s="1" t="s">
        <v>6374</v>
      </c>
      <c r="G240" s="1" t="s">
        <v>6375</v>
      </c>
      <c r="H240" s="1" t="s">
        <v>6391</v>
      </c>
      <c r="J240" s="1" t="s">
        <v>1007</v>
      </c>
      <c r="L240" s="1" t="s">
        <v>1445</v>
      </c>
      <c r="N240" s="1" t="s">
        <v>1444</v>
      </c>
      <c r="P240" s="1" t="s">
        <v>3702</v>
      </c>
      <c r="Q240" s="3">
        <v>1</v>
      </c>
      <c r="R240" s="22" t="s">
        <v>2765</v>
      </c>
      <c r="S240" s="22" t="s">
        <v>5099</v>
      </c>
      <c r="T240" s="51">
        <v>33</v>
      </c>
      <c r="U240" s="3" t="s">
        <v>6381</v>
      </c>
      <c r="V240" s="41" t="str">
        <f>HYPERLINK("http://ictvonline.org/taxonomy/p/taxonomy-history?taxnode_id=20181747","ICTVonline=20181747")</f>
        <v>ICTVonline=20181747</v>
      </c>
    </row>
    <row r="241" spans="1:22">
      <c r="A241" s="3">
        <v>240</v>
      </c>
      <c r="F241" s="1" t="s">
        <v>6374</v>
      </c>
      <c r="G241" s="1" t="s">
        <v>6375</v>
      </c>
      <c r="H241" s="1" t="s">
        <v>6391</v>
      </c>
      <c r="J241" s="1" t="s">
        <v>1007</v>
      </c>
      <c r="L241" s="1" t="s">
        <v>1445</v>
      </c>
      <c r="N241" s="1" t="s">
        <v>1444</v>
      </c>
      <c r="P241" s="1" t="s">
        <v>3703</v>
      </c>
      <c r="Q241" s="3">
        <v>0</v>
      </c>
      <c r="R241" s="22" t="s">
        <v>2765</v>
      </c>
      <c r="S241" s="22" t="s">
        <v>5099</v>
      </c>
      <c r="T241" s="51">
        <v>33</v>
      </c>
      <c r="U241" s="3" t="s">
        <v>6381</v>
      </c>
      <c r="V241" s="41" t="str">
        <f>HYPERLINK("http://ictvonline.org/taxonomy/p/taxonomy-history?taxnode_id=20181748","ICTVonline=20181748")</f>
        <v>ICTVonline=20181748</v>
      </c>
    </row>
    <row r="242" spans="1:22">
      <c r="A242" s="3">
        <v>241</v>
      </c>
      <c r="F242" s="1" t="s">
        <v>6374</v>
      </c>
      <c r="G242" s="1" t="s">
        <v>6375</v>
      </c>
      <c r="H242" s="1" t="s">
        <v>6391</v>
      </c>
      <c r="J242" s="1" t="s">
        <v>1007</v>
      </c>
      <c r="L242" s="1" t="s">
        <v>1445</v>
      </c>
      <c r="N242" s="1" t="s">
        <v>1444</v>
      </c>
      <c r="P242" s="1" t="s">
        <v>3704</v>
      </c>
      <c r="Q242" s="3">
        <v>0</v>
      </c>
      <c r="R242" s="22" t="s">
        <v>2765</v>
      </c>
      <c r="S242" s="22" t="s">
        <v>5099</v>
      </c>
      <c r="T242" s="51">
        <v>33</v>
      </c>
      <c r="U242" s="3" t="s">
        <v>6381</v>
      </c>
      <c r="V242" s="41" t="str">
        <f>HYPERLINK("http://ictvonline.org/taxonomy/p/taxonomy-history?taxnode_id=20181749","ICTVonline=20181749")</f>
        <v>ICTVonline=20181749</v>
      </c>
    </row>
    <row r="243" spans="1:22">
      <c r="A243" s="3">
        <v>242</v>
      </c>
      <c r="F243" s="1" t="s">
        <v>6374</v>
      </c>
      <c r="G243" s="1" t="s">
        <v>6375</v>
      </c>
      <c r="H243" s="1" t="s">
        <v>6391</v>
      </c>
      <c r="J243" s="1" t="s">
        <v>1007</v>
      </c>
      <c r="L243" s="1" t="s">
        <v>1445</v>
      </c>
      <c r="N243" s="1" t="s">
        <v>1444</v>
      </c>
      <c r="P243" s="1" t="s">
        <v>3705</v>
      </c>
      <c r="Q243" s="3">
        <v>0</v>
      </c>
      <c r="R243" s="22" t="s">
        <v>2765</v>
      </c>
      <c r="S243" s="22" t="s">
        <v>5099</v>
      </c>
      <c r="T243" s="51">
        <v>33</v>
      </c>
      <c r="U243" s="3" t="s">
        <v>6381</v>
      </c>
      <c r="V243" s="41" t="str">
        <f>HYPERLINK("http://ictvonline.org/taxonomy/p/taxonomy-history?taxnode_id=20181750","ICTVonline=20181750")</f>
        <v>ICTVonline=20181750</v>
      </c>
    </row>
    <row r="244" spans="1:22">
      <c r="A244" s="3">
        <v>243</v>
      </c>
      <c r="F244" s="1" t="s">
        <v>6374</v>
      </c>
      <c r="G244" s="1" t="s">
        <v>6375</v>
      </c>
      <c r="H244" s="1" t="s">
        <v>6391</v>
      </c>
      <c r="J244" s="1" t="s">
        <v>1007</v>
      </c>
      <c r="L244" s="1" t="s">
        <v>1445</v>
      </c>
      <c r="N244" s="1" t="s">
        <v>1444</v>
      </c>
      <c r="P244" s="1" t="s">
        <v>3706</v>
      </c>
      <c r="Q244" s="3">
        <v>0</v>
      </c>
      <c r="R244" s="22" t="s">
        <v>2765</v>
      </c>
      <c r="S244" s="22" t="s">
        <v>5099</v>
      </c>
      <c r="T244" s="51">
        <v>33</v>
      </c>
      <c r="U244" s="3" t="s">
        <v>6381</v>
      </c>
      <c r="V244" s="41" t="str">
        <f>HYPERLINK("http://ictvonline.org/taxonomy/p/taxonomy-history?taxnode_id=20181751","ICTVonline=20181751")</f>
        <v>ICTVonline=20181751</v>
      </c>
    </row>
    <row r="245" spans="1:22">
      <c r="A245" s="3">
        <v>244</v>
      </c>
      <c r="F245" s="1" t="s">
        <v>6374</v>
      </c>
      <c r="G245" s="1" t="s">
        <v>6375</v>
      </c>
      <c r="H245" s="1" t="s">
        <v>6391</v>
      </c>
      <c r="J245" s="1" t="s">
        <v>1007</v>
      </c>
      <c r="L245" s="1" t="s">
        <v>1445</v>
      </c>
      <c r="N245" s="1" t="s">
        <v>2170</v>
      </c>
      <c r="P245" s="1" t="s">
        <v>3707</v>
      </c>
      <c r="Q245" s="3">
        <v>0</v>
      </c>
      <c r="R245" s="22" t="s">
        <v>2765</v>
      </c>
      <c r="S245" s="22" t="s">
        <v>5099</v>
      </c>
      <c r="T245" s="51">
        <v>33</v>
      </c>
      <c r="U245" s="3" t="s">
        <v>6381</v>
      </c>
      <c r="V245" s="41" t="str">
        <f>HYPERLINK("http://ictvonline.org/taxonomy/p/taxonomy-history?taxnode_id=20181753","ICTVonline=20181753")</f>
        <v>ICTVonline=20181753</v>
      </c>
    </row>
    <row r="246" spans="1:22">
      <c r="A246" s="3">
        <v>245</v>
      </c>
      <c r="F246" s="1" t="s">
        <v>6374</v>
      </c>
      <c r="G246" s="1" t="s">
        <v>6375</v>
      </c>
      <c r="H246" s="1" t="s">
        <v>6391</v>
      </c>
      <c r="J246" s="1" t="s">
        <v>1007</v>
      </c>
      <c r="L246" s="1" t="s">
        <v>1445</v>
      </c>
      <c r="N246" s="1" t="s">
        <v>2170</v>
      </c>
      <c r="P246" s="1" t="s">
        <v>3708</v>
      </c>
      <c r="Q246" s="3">
        <v>1</v>
      </c>
      <c r="R246" s="22" t="s">
        <v>2765</v>
      </c>
      <c r="S246" s="22" t="s">
        <v>5099</v>
      </c>
      <c r="T246" s="51">
        <v>33</v>
      </c>
      <c r="U246" s="3" t="s">
        <v>6381</v>
      </c>
      <c r="V246" s="41" t="str">
        <f>HYPERLINK("http://ictvonline.org/taxonomy/p/taxonomy-history?taxnode_id=20181754","ICTVonline=20181754")</f>
        <v>ICTVonline=20181754</v>
      </c>
    </row>
    <row r="247" spans="1:22">
      <c r="A247" s="3">
        <v>246</v>
      </c>
      <c r="F247" s="1" t="s">
        <v>6374</v>
      </c>
      <c r="G247" s="1" t="s">
        <v>6375</v>
      </c>
      <c r="H247" s="1" t="s">
        <v>6391</v>
      </c>
      <c r="J247" s="1" t="s">
        <v>1007</v>
      </c>
      <c r="L247" s="1" t="s">
        <v>1445</v>
      </c>
      <c r="N247" s="1" t="s">
        <v>2170</v>
      </c>
      <c r="P247" s="1" t="s">
        <v>3709</v>
      </c>
      <c r="Q247" s="3">
        <v>0</v>
      </c>
      <c r="R247" s="22" t="s">
        <v>2765</v>
      </c>
      <c r="S247" s="22" t="s">
        <v>5099</v>
      </c>
      <c r="T247" s="51">
        <v>33</v>
      </c>
      <c r="U247" s="3" t="s">
        <v>6381</v>
      </c>
      <c r="V247" s="41" t="str">
        <f>HYPERLINK("http://ictvonline.org/taxonomy/p/taxonomy-history?taxnode_id=20181755","ICTVonline=20181755")</f>
        <v>ICTVonline=20181755</v>
      </c>
    </row>
    <row r="248" spans="1:22">
      <c r="A248" s="3">
        <v>247</v>
      </c>
      <c r="F248" s="1" t="s">
        <v>6374</v>
      </c>
      <c r="G248" s="1" t="s">
        <v>6375</v>
      </c>
      <c r="H248" s="1" t="s">
        <v>6391</v>
      </c>
      <c r="J248" s="1" t="s">
        <v>1007</v>
      </c>
      <c r="L248" s="1" t="s">
        <v>1445</v>
      </c>
      <c r="N248" s="1" t="s">
        <v>2171</v>
      </c>
      <c r="P248" s="1" t="s">
        <v>2172</v>
      </c>
      <c r="Q248" s="3">
        <v>0</v>
      </c>
      <c r="R248" s="22" t="s">
        <v>2765</v>
      </c>
      <c r="S248" s="22" t="s">
        <v>5099</v>
      </c>
      <c r="T248" s="51">
        <v>33</v>
      </c>
      <c r="U248" s="3" t="s">
        <v>6381</v>
      </c>
      <c r="V248" s="41" t="str">
        <f>HYPERLINK("http://ictvonline.org/taxonomy/p/taxonomy-history?taxnode_id=20181757","ICTVonline=20181757")</f>
        <v>ICTVonline=20181757</v>
      </c>
    </row>
    <row r="249" spans="1:22">
      <c r="A249" s="3">
        <v>248</v>
      </c>
      <c r="F249" s="1" t="s">
        <v>6374</v>
      </c>
      <c r="G249" s="1" t="s">
        <v>6375</v>
      </c>
      <c r="H249" s="1" t="s">
        <v>6391</v>
      </c>
      <c r="J249" s="1" t="s">
        <v>1007</v>
      </c>
      <c r="L249" s="1" t="s">
        <v>1445</v>
      </c>
      <c r="N249" s="1" t="s">
        <v>2171</v>
      </c>
      <c r="P249" s="1" t="s">
        <v>2173</v>
      </c>
      <c r="Q249" s="3">
        <v>0</v>
      </c>
      <c r="R249" s="22" t="s">
        <v>2765</v>
      </c>
      <c r="S249" s="22" t="s">
        <v>5099</v>
      </c>
      <c r="T249" s="51">
        <v>33</v>
      </c>
      <c r="U249" s="3" t="s">
        <v>6381</v>
      </c>
      <c r="V249" s="41" t="str">
        <f>HYPERLINK("http://ictvonline.org/taxonomy/p/taxonomy-history?taxnode_id=20181758","ICTVonline=20181758")</f>
        <v>ICTVonline=20181758</v>
      </c>
    </row>
    <row r="250" spans="1:22">
      <c r="A250" s="3">
        <v>249</v>
      </c>
      <c r="F250" s="1" t="s">
        <v>6374</v>
      </c>
      <c r="G250" s="1" t="s">
        <v>6375</v>
      </c>
      <c r="H250" s="1" t="s">
        <v>6391</v>
      </c>
      <c r="J250" s="1" t="s">
        <v>1007</v>
      </c>
      <c r="L250" s="1" t="s">
        <v>1445</v>
      </c>
      <c r="N250" s="1" t="s">
        <v>2171</v>
      </c>
      <c r="P250" s="1" t="s">
        <v>2174</v>
      </c>
      <c r="Q250" s="3">
        <v>0</v>
      </c>
      <c r="R250" s="22" t="s">
        <v>2765</v>
      </c>
      <c r="S250" s="22" t="s">
        <v>5099</v>
      </c>
      <c r="T250" s="51">
        <v>33</v>
      </c>
      <c r="U250" s="3" t="s">
        <v>6381</v>
      </c>
      <c r="V250" s="41" t="str">
        <f>HYPERLINK("http://ictvonline.org/taxonomy/p/taxonomy-history?taxnode_id=20181759","ICTVonline=20181759")</f>
        <v>ICTVonline=20181759</v>
      </c>
    </row>
    <row r="251" spans="1:22">
      <c r="A251" s="3">
        <v>250</v>
      </c>
      <c r="F251" s="1" t="s">
        <v>6374</v>
      </c>
      <c r="G251" s="1" t="s">
        <v>6375</v>
      </c>
      <c r="H251" s="1" t="s">
        <v>6391</v>
      </c>
      <c r="J251" s="1" t="s">
        <v>1007</v>
      </c>
      <c r="L251" s="1" t="s">
        <v>1445</v>
      </c>
      <c r="N251" s="1" t="s">
        <v>2171</v>
      </c>
      <c r="P251" s="1" t="s">
        <v>2175</v>
      </c>
      <c r="Q251" s="3">
        <v>1</v>
      </c>
      <c r="R251" s="22" t="s">
        <v>2765</v>
      </c>
      <c r="S251" s="22" t="s">
        <v>5099</v>
      </c>
      <c r="T251" s="51">
        <v>33</v>
      </c>
      <c r="U251" s="3" t="s">
        <v>6381</v>
      </c>
      <c r="V251" s="41" t="str">
        <f>HYPERLINK("http://ictvonline.org/taxonomy/p/taxonomy-history?taxnode_id=20181760","ICTVonline=20181760")</f>
        <v>ICTVonline=20181760</v>
      </c>
    </row>
    <row r="252" spans="1:22">
      <c r="A252" s="3">
        <v>251</v>
      </c>
      <c r="F252" s="1" t="s">
        <v>6374</v>
      </c>
      <c r="G252" s="1" t="s">
        <v>6375</v>
      </c>
      <c r="H252" s="1" t="s">
        <v>6391</v>
      </c>
      <c r="J252" s="1" t="s">
        <v>1007</v>
      </c>
      <c r="L252" s="1" t="s">
        <v>1445</v>
      </c>
      <c r="N252" s="1" t="s">
        <v>2171</v>
      </c>
      <c r="P252" s="1" t="s">
        <v>2176</v>
      </c>
      <c r="Q252" s="3">
        <v>0</v>
      </c>
      <c r="R252" s="22" t="s">
        <v>2765</v>
      </c>
      <c r="S252" s="22" t="s">
        <v>5099</v>
      </c>
      <c r="T252" s="51">
        <v>33</v>
      </c>
      <c r="U252" s="3" t="s">
        <v>6381</v>
      </c>
      <c r="V252" s="41" t="str">
        <f>HYPERLINK("http://ictvonline.org/taxonomy/p/taxonomy-history?taxnode_id=20181761","ICTVonline=20181761")</f>
        <v>ICTVonline=20181761</v>
      </c>
    </row>
    <row r="253" spans="1:22">
      <c r="A253" s="3">
        <v>252</v>
      </c>
      <c r="F253" s="1" t="s">
        <v>6374</v>
      </c>
      <c r="G253" s="1" t="s">
        <v>6375</v>
      </c>
      <c r="H253" s="1" t="s">
        <v>6391</v>
      </c>
      <c r="J253" s="1" t="s">
        <v>1007</v>
      </c>
      <c r="L253" s="1" t="s">
        <v>1445</v>
      </c>
      <c r="N253" s="1" t="s">
        <v>2171</v>
      </c>
      <c r="P253" s="1" t="s">
        <v>2177</v>
      </c>
      <c r="Q253" s="3">
        <v>0</v>
      </c>
      <c r="R253" s="22" t="s">
        <v>2765</v>
      </c>
      <c r="S253" s="22" t="s">
        <v>5099</v>
      </c>
      <c r="T253" s="51">
        <v>33</v>
      </c>
      <c r="U253" s="3" t="s">
        <v>6381</v>
      </c>
      <c r="V253" s="41" t="str">
        <f>HYPERLINK("http://ictvonline.org/taxonomy/p/taxonomy-history?taxnode_id=20181762","ICTVonline=20181762")</f>
        <v>ICTVonline=20181762</v>
      </c>
    </row>
    <row r="254" spans="1:22">
      <c r="A254" s="3">
        <v>253</v>
      </c>
      <c r="F254" s="1" t="s">
        <v>6374</v>
      </c>
      <c r="G254" s="1" t="s">
        <v>6375</v>
      </c>
      <c r="H254" s="1" t="s">
        <v>6391</v>
      </c>
      <c r="J254" s="1" t="s">
        <v>1007</v>
      </c>
      <c r="L254" s="1" t="s">
        <v>1445</v>
      </c>
      <c r="N254" s="1" t="s">
        <v>2171</v>
      </c>
      <c r="P254" s="1" t="s">
        <v>2178</v>
      </c>
      <c r="Q254" s="3">
        <v>0</v>
      </c>
      <c r="R254" s="22" t="s">
        <v>2765</v>
      </c>
      <c r="S254" s="22" t="s">
        <v>5099</v>
      </c>
      <c r="T254" s="51">
        <v>33</v>
      </c>
      <c r="U254" s="3" t="s">
        <v>6381</v>
      </c>
      <c r="V254" s="41" t="str">
        <f>HYPERLINK("http://ictvonline.org/taxonomy/p/taxonomy-history?taxnode_id=20181763","ICTVonline=20181763")</f>
        <v>ICTVonline=20181763</v>
      </c>
    </row>
    <row r="255" spans="1:22">
      <c r="A255" s="3">
        <v>254</v>
      </c>
      <c r="F255" s="1" t="s">
        <v>6374</v>
      </c>
      <c r="G255" s="1" t="s">
        <v>6375</v>
      </c>
      <c r="H255" s="1" t="s">
        <v>6391</v>
      </c>
      <c r="J255" s="1" t="s">
        <v>1007</v>
      </c>
      <c r="L255" s="1" t="s">
        <v>1445</v>
      </c>
      <c r="N255" s="1" t="s">
        <v>2312</v>
      </c>
      <c r="P255" s="1" t="s">
        <v>3710</v>
      </c>
      <c r="Q255" s="3">
        <v>1</v>
      </c>
      <c r="R255" s="22" t="s">
        <v>2765</v>
      </c>
      <c r="S255" s="22" t="s">
        <v>5099</v>
      </c>
      <c r="T255" s="51">
        <v>33</v>
      </c>
      <c r="U255" s="3" t="s">
        <v>6381</v>
      </c>
      <c r="V255" s="41" t="str">
        <f>HYPERLINK("http://ictvonline.org/taxonomy/p/taxonomy-history?taxnode_id=20181765","ICTVonline=20181765")</f>
        <v>ICTVonline=20181765</v>
      </c>
    </row>
    <row r="256" spans="1:22">
      <c r="A256" s="3">
        <v>255</v>
      </c>
      <c r="F256" s="1" t="s">
        <v>6374</v>
      </c>
      <c r="G256" s="1" t="s">
        <v>6375</v>
      </c>
      <c r="H256" s="1" t="s">
        <v>6391</v>
      </c>
      <c r="J256" s="1" t="s">
        <v>1007</v>
      </c>
      <c r="L256" s="1" t="s">
        <v>1445</v>
      </c>
      <c r="N256" s="1" t="s">
        <v>2312</v>
      </c>
      <c r="P256" s="1" t="s">
        <v>3711</v>
      </c>
      <c r="Q256" s="3">
        <v>0</v>
      </c>
      <c r="R256" s="22" t="s">
        <v>2765</v>
      </c>
      <c r="S256" s="22" t="s">
        <v>5099</v>
      </c>
      <c r="T256" s="51">
        <v>33</v>
      </c>
      <c r="U256" s="3" t="s">
        <v>6381</v>
      </c>
      <c r="V256" s="41" t="str">
        <f>HYPERLINK("http://ictvonline.org/taxonomy/p/taxonomy-history?taxnode_id=20181766","ICTVonline=20181766")</f>
        <v>ICTVonline=20181766</v>
      </c>
    </row>
    <row r="257" spans="1:22">
      <c r="A257" s="3">
        <v>256</v>
      </c>
      <c r="F257" s="1" t="s">
        <v>6374</v>
      </c>
      <c r="G257" s="1" t="s">
        <v>6375</v>
      </c>
      <c r="H257" s="1" t="s">
        <v>6391</v>
      </c>
      <c r="J257" s="1" t="s">
        <v>1007</v>
      </c>
      <c r="L257" s="1" t="s">
        <v>1445</v>
      </c>
      <c r="N257" s="1" t="s">
        <v>4728</v>
      </c>
      <c r="P257" s="1" t="s">
        <v>4729</v>
      </c>
      <c r="Q257" s="3">
        <v>0</v>
      </c>
      <c r="R257" s="22" t="s">
        <v>2765</v>
      </c>
      <c r="S257" s="22" t="s">
        <v>5099</v>
      </c>
      <c r="T257" s="51">
        <v>33</v>
      </c>
      <c r="U257" s="3" t="s">
        <v>6381</v>
      </c>
      <c r="V257" s="41" t="str">
        <f>HYPERLINK("http://ictvonline.org/taxonomy/p/taxonomy-history?taxnode_id=20181768","ICTVonline=20181768")</f>
        <v>ICTVonline=20181768</v>
      </c>
    </row>
    <row r="258" spans="1:22">
      <c r="A258" s="3">
        <v>257</v>
      </c>
      <c r="F258" s="1" t="s">
        <v>6374</v>
      </c>
      <c r="G258" s="1" t="s">
        <v>6375</v>
      </c>
      <c r="H258" s="1" t="s">
        <v>6391</v>
      </c>
      <c r="J258" s="1" t="s">
        <v>1007</v>
      </c>
      <c r="L258" s="1" t="s">
        <v>1445</v>
      </c>
      <c r="N258" s="1" t="s">
        <v>4728</v>
      </c>
      <c r="P258" s="1" t="s">
        <v>4730</v>
      </c>
      <c r="Q258" s="3">
        <v>0</v>
      </c>
      <c r="R258" s="22" t="s">
        <v>2765</v>
      </c>
      <c r="S258" s="22" t="s">
        <v>5099</v>
      </c>
      <c r="T258" s="51">
        <v>33</v>
      </c>
      <c r="U258" s="3" t="s">
        <v>6381</v>
      </c>
      <c r="V258" s="41" t="str">
        <f>HYPERLINK("http://ictvonline.org/taxonomy/p/taxonomy-history?taxnode_id=20181769","ICTVonline=20181769")</f>
        <v>ICTVonline=20181769</v>
      </c>
    </row>
    <row r="259" spans="1:22">
      <c r="A259" s="3">
        <v>258</v>
      </c>
      <c r="F259" s="1" t="s">
        <v>6374</v>
      </c>
      <c r="G259" s="1" t="s">
        <v>6375</v>
      </c>
      <c r="H259" s="1" t="s">
        <v>6391</v>
      </c>
      <c r="J259" s="1" t="s">
        <v>1007</v>
      </c>
      <c r="L259" s="1" t="s">
        <v>1445</v>
      </c>
      <c r="N259" s="1" t="s">
        <v>4728</v>
      </c>
      <c r="P259" s="1" t="s">
        <v>4731</v>
      </c>
      <c r="Q259" s="3">
        <v>1</v>
      </c>
      <c r="R259" s="22" t="s">
        <v>2765</v>
      </c>
      <c r="S259" s="22" t="s">
        <v>5099</v>
      </c>
      <c r="T259" s="51">
        <v>33</v>
      </c>
      <c r="U259" s="3" t="s">
        <v>6381</v>
      </c>
      <c r="V259" s="41" t="str">
        <f>HYPERLINK("http://ictvonline.org/taxonomy/p/taxonomy-history?taxnode_id=20181770","ICTVonline=20181770")</f>
        <v>ICTVonline=20181770</v>
      </c>
    </row>
    <row r="260" spans="1:22">
      <c r="A260" s="3">
        <v>259</v>
      </c>
      <c r="F260" s="1" t="s">
        <v>6374</v>
      </c>
      <c r="G260" s="1" t="s">
        <v>6375</v>
      </c>
      <c r="H260" s="1" t="s">
        <v>6391</v>
      </c>
      <c r="J260" s="1" t="s">
        <v>1007</v>
      </c>
      <c r="L260" s="1" t="s">
        <v>1445</v>
      </c>
      <c r="N260" s="1" t="s">
        <v>4728</v>
      </c>
      <c r="P260" s="1" t="s">
        <v>4732</v>
      </c>
      <c r="Q260" s="3">
        <v>0</v>
      </c>
      <c r="R260" s="22" t="s">
        <v>2765</v>
      </c>
      <c r="S260" s="22" t="s">
        <v>5099</v>
      </c>
      <c r="T260" s="51">
        <v>33</v>
      </c>
      <c r="U260" s="3" t="s">
        <v>6381</v>
      </c>
      <c r="V260" s="41" t="str">
        <f>HYPERLINK("http://ictvonline.org/taxonomy/p/taxonomy-history?taxnode_id=20181771","ICTVonline=20181771")</f>
        <v>ICTVonline=20181771</v>
      </c>
    </row>
    <row r="261" spans="1:22">
      <c r="A261" s="3">
        <v>260</v>
      </c>
      <c r="F261" s="1" t="s">
        <v>6374</v>
      </c>
      <c r="G261" s="1" t="s">
        <v>6375</v>
      </c>
      <c r="H261" s="1" t="s">
        <v>6391</v>
      </c>
      <c r="J261" s="1" t="s">
        <v>1007</v>
      </c>
      <c r="L261" s="1" t="s">
        <v>1445</v>
      </c>
      <c r="N261" s="1" t="s">
        <v>4728</v>
      </c>
      <c r="P261" s="1" t="s">
        <v>4733</v>
      </c>
      <c r="Q261" s="3">
        <v>0</v>
      </c>
      <c r="R261" s="22" t="s">
        <v>2765</v>
      </c>
      <c r="S261" s="22" t="s">
        <v>5099</v>
      </c>
      <c r="T261" s="51">
        <v>33</v>
      </c>
      <c r="U261" s="3" t="s">
        <v>6381</v>
      </c>
      <c r="V261" s="41" t="str">
        <f>HYPERLINK("http://ictvonline.org/taxonomy/p/taxonomy-history?taxnode_id=20181772","ICTVonline=20181772")</f>
        <v>ICTVonline=20181772</v>
      </c>
    </row>
    <row r="262" spans="1:22">
      <c r="A262" s="3">
        <v>261</v>
      </c>
      <c r="F262" s="1" t="s">
        <v>6374</v>
      </c>
      <c r="G262" s="1" t="s">
        <v>6375</v>
      </c>
      <c r="H262" s="1" t="s">
        <v>6391</v>
      </c>
      <c r="J262" s="1" t="s">
        <v>1007</v>
      </c>
      <c r="L262" s="1" t="s">
        <v>1445</v>
      </c>
      <c r="N262" s="1" t="s">
        <v>2179</v>
      </c>
      <c r="P262" s="1" t="s">
        <v>4734</v>
      </c>
      <c r="Q262" s="3">
        <v>0</v>
      </c>
      <c r="R262" s="22" t="s">
        <v>2765</v>
      </c>
      <c r="S262" s="22" t="s">
        <v>5099</v>
      </c>
      <c r="T262" s="51">
        <v>33</v>
      </c>
      <c r="U262" s="3" t="s">
        <v>6381</v>
      </c>
      <c r="V262" s="41" t="str">
        <f>HYPERLINK("http://ictvonline.org/taxonomy/p/taxonomy-history?taxnode_id=20181774","ICTVonline=20181774")</f>
        <v>ICTVonline=20181774</v>
      </c>
    </row>
    <row r="263" spans="1:22">
      <c r="A263" s="3">
        <v>262</v>
      </c>
      <c r="F263" s="1" t="s">
        <v>6374</v>
      </c>
      <c r="G263" s="1" t="s">
        <v>6375</v>
      </c>
      <c r="H263" s="1" t="s">
        <v>6391</v>
      </c>
      <c r="J263" s="1" t="s">
        <v>1007</v>
      </c>
      <c r="L263" s="1" t="s">
        <v>1445</v>
      </c>
      <c r="N263" s="1" t="s">
        <v>2179</v>
      </c>
      <c r="P263" s="1" t="s">
        <v>5489</v>
      </c>
      <c r="Q263" s="3">
        <v>0</v>
      </c>
      <c r="R263" s="22" t="s">
        <v>2765</v>
      </c>
      <c r="S263" s="22" t="s">
        <v>5099</v>
      </c>
      <c r="T263" s="51">
        <v>33</v>
      </c>
      <c r="U263" s="3" t="s">
        <v>6381</v>
      </c>
      <c r="V263" s="41" t="str">
        <f>HYPERLINK("http://ictvonline.org/taxonomy/p/taxonomy-history?taxnode_id=20185583","ICTVonline=20185583")</f>
        <v>ICTVonline=20185583</v>
      </c>
    </row>
    <row r="264" spans="1:22">
      <c r="A264" s="3">
        <v>263</v>
      </c>
      <c r="F264" s="1" t="s">
        <v>6374</v>
      </c>
      <c r="G264" s="1" t="s">
        <v>6375</v>
      </c>
      <c r="H264" s="1" t="s">
        <v>6391</v>
      </c>
      <c r="J264" s="1" t="s">
        <v>1007</v>
      </c>
      <c r="L264" s="1" t="s">
        <v>1445</v>
      </c>
      <c r="N264" s="1" t="s">
        <v>2179</v>
      </c>
      <c r="P264" s="1" t="s">
        <v>3712</v>
      </c>
      <c r="Q264" s="3">
        <v>0</v>
      </c>
      <c r="R264" s="22" t="s">
        <v>2765</v>
      </c>
      <c r="S264" s="22" t="s">
        <v>5099</v>
      </c>
      <c r="T264" s="51">
        <v>33</v>
      </c>
      <c r="U264" s="3" t="s">
        <v>6381</v>
      </c>
      <c r="V264" s="41" t="str">
        <f>HYPERLINK("http://ictvonline.org/taxonomy/p/taxonomy-history?taxnode_id=20181775","ICTVonline=20181775")</f>
        <v>ICTVonline=20181775</v>
      </c>
    </row>
    <row r="265" spans="1:22">
      <c r="A265" s="3">
        <v>264</v>
      </c>
      <c r="F265" s="1" t="s">
        <v>6374</v>
      </c>
      <c r="G265" s="1" t="s">
        <v>6375</v>
      </c>
      <c r="H265" s="1" t="s">
        <v>6391</v>
      </c>
      <c r="J265" s="1" t="s">
        <v>1007</v>
      </c>
      <c r="L265" s="1" t="s">
        <v>1445</v>
      </c>
      <c r="N265" s="1" t="s">
        <v>2179</v>
      </c>
      <c r="P265" s="1" t="s">
        <v>4735</v>
      </c>
      <c r="Q265" s="3">
        <v>0</v>
      </c>
      <c r="R265" s="22" t="s">
        <v>2765</v>
      </c>
      <c r="S265" s="22" t="s">
        <v>5099</v>
      </c>
      <c r="T265" s="51">
        <v>33</v>
      </c>
      <c r="U265" s="3" t="s">
        <v>6381</v>
      </c>
      <c r="V265" s="41" t="str">
        <f>HYPERLINK("http://ictvonline.org/taxonomy/p/taxonomy-history?taxnode_id=20181776","ICTVonline=20181776")</f>
        <v>ICTVonline=20181776</v>
      </c>
    </row>
    <row r="266" spans="1:22">
      <c r="A266" s="3">
        <v>265</v>
      </c>
      <c r="F266" s="1" t="s">
        <v>6374</v>
      </c>
      <c r="G266" s="1" t="s">
        <v>6375</v>
      </c>
      <c r="H266" s="1" t="s">
        <v>6391</v>
      </c>
      <c r="J266" s="1" t="s">
        <v>1007</v>
      </c>
      <c r="L266" s="1" t="s">
        <v>1445</v>
      </c>
      <c r="N266" s="1" t="s">
        <v>2179</v>
      </c>
      <c r="P266" s="1" t="s">
        <v>4736</v>
      </c>
      <c r="Q266" s="3">
        <v>0</v>
      </c>
      <c r="R266" s="22" t="s">
        <v>2765</v>
      </c>
      <c r="S266" s="22" t="s">
        <v>5099</v>
      </c>
      <c r="T266" s="51">
        <v>33</v>
      </c>
      <c r="U266" s="3" t="s">
        <v>6381</v>
      </c>
      <c r="V266" s="41" t="str">
        <f>HYPERLINK("http://ictvonline.org/taxonomy/p/taxonomy-history?taxnode_id=20181777","ICTVonline=20181777")</f>
        <v>ICTVonline=20181777</v>
      </c>
    </row>
    <row r="267" spans="1:22">
      <c r="A267" s="3">
        <v>266</v>
      </c>
      <c r="F267" s="1" t="s">
        <v>6374</v>
      </c>
      <c r="G267" s="1" t="s">
        <v>6375</v>
      </c>
      <c r="H267" s="1" t="s">
        <v>6391</v>
      </c>
      <c r="J267" s="1" t="s">
        <v>1007</v>
      </c>
      <c r="L267" s="1" t="s">
        <v>1445</v>
      </c>
      <c r="N267" s="1" t="s">
        <v>2179</v>
      </c>
      <c r="P267" s="1" t="s">
        <v>4737</v>
      </c>
      <c r="Q267" s="3">
        <v>0</v>
      </c>
      <c r="R267" s="22" t="s">
        <v>2765</v>
      </c>
      <c r="S267" s="22" t="s">
        <v>5099</v>
      </c>
      <c r="T267" s="51">
        <v>33</v>
      </c>
      <c r="U267" s="3" t="s">
        <v>6381</v>
      </c>
      <c r="V267" s="41" t="str">
        <f>HYPERLINK("http://ictvonline.org/taxonomy/p/taxonomy-history?taxnode_id=20181778","ICTVonline=20181778")</f>
        <v>ICTVonline=20181778</v>
      </c>
    </row>
    <row r="268" spans="1:22">
      <c r="A268" s="3">
        <v>267</v>
      </c>
      <c r="F268" s="1" t="s">
        <v>6374</v>
      </c>
      <c r="G268" s="1" t="s">
        <v>6375</v>
      </c>
      <c r="H268" s="1" t="s">
        <v>6391</v>
      </c>
      <c r="J268" s="1" t="s">
        <v>1007</v>
      </c>
      <c r="L268" s="1" t="s">
        <v>1445</v>
      </c>
      <c r="N268" s="1" t="s">
        <v>2179</v>
      </c>
      <c r="P268" s="1" t="s">
        <v>3713</v>
      </c>
      <c r="Q268" s="3">
        <v>1</v>
      </c>
      <c r="R268" s="22" t="s">
        <v>2765</v>
      </c>
      <c r="S268" s="22" t="s">
        <v>5099</v>
      </c>
      <c r="T268" s="51">
        <v>33</v>
      </c>
      <c r="U268" s="3" t="s">
        <v>6381</v>
      </c>
      <c r="V268" s="41" t="str">
        <f>HYPERLINK("http://ictvonline.org/taxonomy/p/taxonomy-history?taxnode_id=20181779","ICTVonline=20181779")</f>
        <v>ICTVonline=20181779</v>
      </c>
    </row>
    <row r="269" spans="1:22">
      <c r="A269" s="3">
        <v>268</v>
      </c>
      <c r="F269" s="1" t="s">
        <v>6374</v>
      </c>
      <c r="G269" s="1" t="s">
        <v>6375</v>
      </c>
      <c r="H269" s="1" t="s">
        <v>6391</v>
      </c>
      <c r="J269" s="1" t="s">
        <v>1007</v>
      </c>
      <c r="L269" s="1" t="s">
        <v>1445</v>
      </c>
      <c r="N269" s="1" t="s">
        <v>2313</v>
      </c>
      <c r="P269" s="1" t="s">
        <v>3714</v>
      </c>
      <c r="Q269" s="3">
        <v>1</v>
      </c>
      <c r="R269" s="22" t="s">
        <v>2765</v>
      </c>
      <c r="S269" s="22" t="s">
        <v>5099</v>
      </c>
      <c r="T269" s="51">
        <v>33</v>
      </c>
      <c r="U269" s="3" t="s">
        <v>6381</v>
      </c>
      <c r="V269" s="41" t="str">
        <f>HYPERLINK("http://ictvonline.org/taxonomy/p/taxonomy-history?taxnode_id=20181781","ICTVonline=20181781")</f>
        <v>ICTVonline=20181781</v>
      </c>
    </row>
    <row r="270" spans="1:22">
      <c r="A270" s="3">
        <v>269</v>
      </c>
      <c r="F270" s="1" t="s">
        <v>6374</v>
      </c>
      <c r="G270" s="1" t="s">
        <v>6375</v>
      </c>
      <c r="H270" s="1" t="s">
        <v>6391</v>
      </c>
      <c r="J270" s="1" t="s">
        <v>1007</v>
      </c>
      <c r="L270" s="1" t="s">
        <v>1445</v>
      </c>
      <c r="N270" s="1" t="s">
        <v>2313</v>
      </c>
      <c r="P270" s="1" t="s">
        <v>4738</v>
      </c>
      <c r="Q270" s="3">
        <v>0</v>
      </c>
      <c r="R270" s="22" t="s">
        <v>2765</v>
      </c>
      <c r="S270" s="22" t="s">
        <v>5099</v>
      </c>
      <c r="T270" s="51">
        <v>33</v>
      </c>
      <c r="U270" s="3" t="s">
        <v>6381</v>
      </c>
      <c r="V270" s="41" t="str">
        <f>HYPERLINK("http://ictvonline.org/taxonomy/p/taxonomy-history?taxnode_id=20181782","ICTVonline=20181782")</f>
        <v>ICTVonline=20181782</v>
      </c>
    </row>
    <row r="271" spans="1:22">
      <c r="A271" s="3">
        <v>270</v>
      </c>
      <c r="F271" s="1" t="s">
        <v>6374</v>
      </c>
      <c r="G271" s="1" t="s">
        <v>6375</v>
      </c>
      <c r="H271" s="1" t="s">
        <v>6391</v>
      </c>
      <c r="J271" s="1" t="s">
        <v>1007</v>
      </c>
      <c r="L271" s="1" t="s">
        <v>1445</v>
      </c>
      <c r="N271" s="1" t="s">
        <v>2313</v>
      </c>
      <c r="P271" s="1" t="s">
        <v>3715</v>
      </c>
      <c r="Q271" s="3">
        <v>0</v>
      </c>
      <c r="R271" s="22" t="s">
        <v>2765</v>
      </c>
      <c r="S271" s="22" t="s">
        <v>5099</v>
      </c>
      <c r="T271" s="51">
        <v>33</v>
      </c>
      <c r="U271" s="3" t="s">
        <v>6381</v>
      </c>
      <c r="V271" s="41" t="str">
        <f>HYPERLINK("http://ictvonline.org/taxonomy/p/taxonomy-history?taxnode_id=20181783","ICTVonline=20181783")</f>
        <v>ICTVonline=20181783</v>
      </c>
    </row>
    <row r="272" spans="1:22">
      <c r="A272" s="3">
        <v>271</v>
      </c>
      <c r="F272" s="1" t="s">
        <v>6374</v>
      </c>
      <c r="G272" s="1" t="s">
        <v>6375</v>
      </c>
      <c r="H272" s="1" t="s">
        <v>6391</v>
      </c>
      <c r="J272" s="1" t="s">
        <v>1007</v>
      </c>
      <c r="L272" s="1" t="s">
        <v>1445</v>
      </c>
      <c r="N272" s="1" t="s">
        <v>1526</v>
      </c>
      <c r="P272" s="1" t="s">
        <v>3716</v>
      </c>
      <c r="Q272" s="3">
        <v>1</v>
      </c>
      <c r="R272" s="22" t="s">
        <v>2765</v>
      </c>
      <c r="S272" s="22" t="s">
        <v>5099</v>
      </c>
      <c r="T272" s="51">
        <v>33</v>
      </c>
      <c r="U272" s="3" t="s">
        <v>6381</v>
      </c>
      <c r="V272" s="41" t="str">
        <f>HYPERLINK("http://ictvonline.org/taxonomy/p/taxonomy-history?taxnode_id=20181787","ICTVonline=20181787")</f>
        <v>ICTVonline=20181787</v>
      </c>
    </row>
    <row r="273" spans="1:22">
      <c r="A273" s="3">
        <v>272</v>
      </c>
      <c r="F273" s="1" t="s">
        <v>6374</v>
      </c>
      <c r="G273" s="1" t="s">
        <v>6375</v>
      </c>
      <c r="H273" s="1" t="s">
        <v>6391</v>
      </c>
      <c r="J273" s="1" t="s">
        <v>1007</v>
      </c>
      <c r="L273" s="1" t="s">
        <v>1445</v>
      </c>
      <c r="N273" s="1" t="s">
        <v>1447</v>
      </c>
      <c r="P273" s="1" t="s">
        <v>3717</v>
      </c>
      <c r="Q273" s="3">
        <v>0</v>
      </c>
      <c r="R273" s="22" t="s">
        <v>2765</v>
      </c>
      <c r="S273" s="22" t="s">
        <v>5099</v>
      </c>
      <c r="T273" s="51">
        <v>33</v>
      </c>
      <c r="U273" s="3" t="s">
        <v>6381</v>
      </c>
      <c r="V273" s="41" t="str">
        <f>HYPERLINK("http://ictvonline.org/taxonomy/p/taxonomy-history?taxnode_id=20181789","ICTVonline=20181789")</f>
        <v>ICTVonline=20181789</v>
      </c>
    </row>
    <row r="274" spans="1:22">
      <c r="A274" s="3">
        <v>273</v>
      </c>
      <c r="F274" s="1" t="s">
        <v>6374</v>
      </c>
      <c r="G274" s="1" t="s">
        <v>6375</v>
      </c>
      <c r="H274" s="1" t="s">
        <v>6391</v>
      </c>
      <c r="J274" s="1" t="s">
        <v>1007</v>
      </c>
      <c r="L274" s="1" t="s">
        <v>1445</v>
      </c>
      <c r="N274" s="1" t="s">
        <v>1447</v>
      </c>
      <c r="P274" s="1" t="s">
        <v>4739</v>
      </c>
      <c r="Q274" s="3">
        <v>0</v>
      </c>
      <c r="R274" s="22" t="s">
        <v>2765</v>
      </c>
      <c r="S274" s="22" t="s">
        <v>5099</v>
      </c>
      <c r="T274" s="51">
        <v>33</v>
      </c>
      <c r="U274" s="3" t="s">
        <v>6381</v>
      </c>
      <c r="V274" s="41" t="str">
        <f>HYPERLINK("http://ictvonline.org/taxonomy/p/taxonomy-history?taxnode_id=20181790","ICTVonline=20181790")</f>
        <v>ICTVonline=20181790</v>
      </c>
    </row>
    <row r="275" spans="1:22">
      <c r="A275" s="3">
        <v>274</v>
      </c>
      <c r="F275" s="1" t="s">
        <v>6374</v>
      </c>
      <c r="G275" s="1" t="s">
        <v>6375</v>
      </c>
      <c r="H275" s="1" t="s">
        <v>6391</v>
      </c>
      <c r="J275" s="1" t="s">
        <v>1007</v>
      </c>
      <c r="L275" s="1" t="s">
        <v>1445</v>
      </c>
      <c r="N275" s="1" t="s">
        <v>1447</v>
      </c>
      <c r="P275" s="1" t="s">
        <v>3718</v>
      </c>
      <c r="Q275" s="3">
        <v>0</v>
      </c>
      <c r="R275" s="22" t="s">
        <v>2765</v>
      </c>
      <c r="S275" s="22" t="s">
        <v>5099</v>
      </c>
      <c r="T275" s="51">
        <v>33</v>
      </c>
      <c r="U275" s="3" t="s">
        <v>6381</v>
      </c>
      <c r="V275" s="41" t="str">
        <f>HYPERLINK("http://ictvonline.org/taxonomy/p/taxonomy-history?taxnode_id=20181791","ICTVonline=20181791")</f>
        <v>ICTVonline=20181791</v>
      </c>
    </row>
    <row r="276" spans="1:22">
      <c r="A276" s="3">
        <v>275</v>
      </c>
      <c r="F276" s="1" t="s">
        <v>6374</v>
      </c>
      <c r="G276" s="1" t="s">
        <v>6375</v>
      </c>
      <c r="H276" s="1" t="s">
        <v>6391</v>
      </c>
      <c r="J276" s="1" t="s">
        <v>1007</v>
      </c>
      <c r="L276" s="1" t="s">
        <v>1445</v>
      </c>
      <c r="N276" s="1" t="s">
        <v>1447</v>
      </c>
      <c r="P276" s="1" t="s">
        <v>3719</v>
      </c>
      <c r="Q276" s="3">
        <v>0</v>
      </c>
      <c r="R276" s="22" t="s">
        <v>2765</v>
      </c>
      <c r="S276" s="22" t="s">
        <v>5099</v>
      </c>
      <c r="T276" s="51">
        <v>33</v>
      </c>
      <c r="U276" s="3" t="s">
        <v>6381</v>
      </c>
      <c r="V276" s="41" t="str">
        <f>HYPERLINK("http://ictvonline.org/taxonomy/p/taxonomy-history?taxnode_id=20181792","ICTVonline=20181792")</f>
        <v>ICTVonline=20181792</v>
      </c>
    </row>
    <row r="277" spans="1:22">
      <c r="A277" s="3">
        <v>276</v>
      </c>
      <c r="F277" s="1" t="s">
        <v>6374</v>
      </c>
      <c r="G277" s="1" t="s">
        <v>6375</v>
      </c>
      <c r="H277" s="1" t="s">
        <v>6391</v>
      </c>
      <c r="J277" s="1" t="s">
        <v>1007</v>
      </c>
      <c r="L277" s="1" t="s">
        <v>1445</v>
      </c>
      <c r="N277" s="1" t="s">
        <v>1447</v>
      </c>
      <c r="P277" s="1" t="s">
        <v>3720</v>
      </c>
      <c r="Q277" s="3">
        <v>0</v>
      </c>
      <c r="R277" s="22" t="s">
        <v>2765</v>
      </c>
      <c r="S277" s="22" t="s">
        <v>5099</v>
      </c>
      <c r="T277" s="51">
        <v>33</v>
      </c>
      <c r="U277" s="3" t="s">
        <v>6381</v>
      </c>
      <c r="V277" s="41" t="str">
        <f>HYPERLINK("http://ictvonline.org/taxonomy/p/taxonomy-history?taxnode_id=20181793","ICTVonline=20181793")</f>
        <v>ICTVonline=20181793</v>
      </c>
    </row>
    <row r="278" spans="1:22">
      <c r="A278" s="3">
        <v>277</v>
      </c>
      <c r="F278" s="1" t="s">
        <v>6374</v>
      </c>
      <c r="G278" s="1" t="s">
        <v>6375</v>
      </c>
      <c r="H278" s="1" t="s">
        <v>6391</v>
      </c>
      <c r="J278" s="1" t="s">
        <v>1007</v>
      </c>
      <c r="L278" s="1" t="s">
        <v>1445</v>
      </c>
      <c r="N278" s="1" t="s">
        <v>1447</v>
      </c>
      <c r="P278" s="1" t="s">
        <v>3721</v>
      </c>
      <c r="Q278" s="3">
        <v>1</v>
      </c>
      <c r="R278" s="22" t="s">
        <v>2765</v>
      </c>
      <c r="S278" s="22" t="s">
        <v>5099</v>
      </c>
      <c r="T278" s="51">
        <v>33</v>
      </c>
      <c r="U278" s="3" t="s">
        <v>6381</v>
      </c>
      <c r="V278" s="41" t="str">
        <f>HYPERLINK("http://ictvonline.org/taxonomy/p/taxonomy-history?taxnode_id=20181794","ICTVonline=20181794")</f>
        <v>ICTVonline=20181794</v>
      </c>
    </row>
    <row r="279" spans="1:22">
      <c r="A279" s="3">
        <v>278</v>
      </c>
      <c r="F279" s="1" t="s">
        <v>6374</v>
      </c>
      <c r="G279" s="1" t="s">
        <v>6375</v>
      </c>
      <c r="H279" s="1" t="s">
        <v>6391</v>
      </c>
      <c r="J279" s="1" t="s">
        <v>1007</v>
      </c>
      <c r="L279" s="1" t="s">
        <v>1445</v>
      </c>
      <c r="N279" s="1" t="s">
        <v>1447</v>
      </c>
      <c r="P279" s="1" t="s">
        <v>3722</v>
      </c>
      <c r="Q279" s="3">
        <v>0</v>
      </c>
      <c r="R279" s="22" t="s">
        <v>2765</v>
      </c>
      <c r="S279" s="22" t="s">
        <v>5099</v>
      </c>
      <c r="T279" s="51">
        <v>33</v>
      </c>
      <c r="U279" s="3" t="s">
        <v>6381</v>
      </c>
      <c r="V279" s="41" t="str">
        <f>HYPERLINK("http://ictvonline.org/taxonomy/p/taxonomy-history?taxnode_id=20181795","ICTVonline=20181795")</f>
        <v>ICTVonline=20181795</v>
      </c>
    </row>
    <row r="280" spans="1:22">
      <c r="A280" s="3">
        <v>279</v>
      </c>
      <c r="F280" s="1" t="s">
        <v>6374</v>
      </c>
      <c r="G280" s="1" t="s">
        <v>6375</v>
      </c>
      <c r="H280" s="1" t="s">
        <v>6391</v>
      </c>
      <c r="J280" s="1" t="s">
        <v>1007</v>
      </c>
      <c r="L280" s="1" t="s">
        <v>1445</v>
      </c>
      <c r="N280" s="1" t="s">
        <v>1447</v>
      </c>
      <c r="P280" s="1" t="s">
        <v>4740</v>
      </c>
      <c r="Q280" s="3">
        <v>0</v>
      </c>
      <c r="R280" s="22" t="s">
        <v>2765</v>
      </c>
      <c r="S280" s="22" t="s">
        <v>5099</v>
      </c>
      <c r="T280" s="51">
        <v>33</v>
      </c>
      <c r="U280" s="3" t="s">
        <v>6381</v>
      </c>
      <c r="V280" s="41" t="str">
        <f>HYPERLINK("http://ictvonline.org/taxonomy/p/taxonomy-history?taxnode_id=20181796","ICTVonline=20181796")</f>
        <v>ICTVonline=20181796</v>
      </c>
    </row>
    <row r="281" spans="1:22">
      <c r="A281" s="3">
        <v>280</v>
      </c>
      <c r="F281" s="1" t="s">
        <v>6374</v>
      </c>
      <c r="G281" s="1" t="s">
        <v>6375</v>
      </c>
      <c r="H281" s="1" t="s">
        <v>6391</v>
      </c>
      <c r="J281" s="1" t="s">
        <v>1007</v>
      </c>
      <c r="L281" s="1" t="s">
        <v>1445</v>
      </c>
      <c r="N281" s="1" t="s">
        <v>1447</v>
      </c>
      <c r="P281" s="1" t="s">
        <v>4741</v>
      </c>
      <c r="Q281" s="3">
        <v>0</v>
      </c>
      <c r="R281" s="22" t="s">
        <v>2765</v>
      </c>
      <c r="S281" s="22" t="s">
        <v>5099</v>
      </c>
      <c r="T281" s="51">
        <v>33</v>
      </c>
      <c r="U281" s="3" t="s">
        <v>6381</v>
      </c>
      <c r="V281" s="41" t="str">
        <f>HYPERLINK("http://ictvonline.org/taxonomy/p/taxonomy-history?taxnode_id=20181797","ICTVonline=20181797")</f>
        <v>ICTVonline=20181797</v>
      </c>
    </row>
    <row r="282" spans="1:22">
      <c r="A282" s="3">
        <v>281</v>
      </c>
      <c r="F282" s="1" t="s">
        <v>6374</v>
      </c>
      <c r="G282" s="1" t="s">
        <v>6375</v>
      </c>
      <c r="H282" s="1" t="s">
        <v>6391</v>
      </c>
      <c r="J282" s="1" t="s">
        <v>1007</v>
      </c>
      <c r="L282" s="1" t="s">
        <v>1445</v>
      </c>
      <c r="N282" s="1" t="s">
        <v>1447</v>
      </c>
      <c r="P282" s="1" t="s">
        <v>3723</v>
      </c>
      <c r="Q282" s="3">
        <v>0</v>
      </c>
      <c r="R282" s="22" t="s">
        <v>2765</v>
      </c>
      <c r="S282" s="22" t="s">
        <v>5099</v>
      </c>
      <c r="T282" s="51">
        <v>33</v>
      </c>
      <c r="U282" s="3" t="s">
        <v>6381</v>
      </c>
      <c r="V282" s="41" t="str">
        <f>HYPERLINK("http://ictvonline.org/taxonomy/p/taxonomy-history?taxnode_id=20181798","ICTVonline=20181798")</f>
        <v>ICTVonline=20181798</v>
      </c>
    </row>
    <row r="283" spans="1:22">
      <c r="A283" s="3">
        <v>282</v>
      </c>
      <c r="F283" s="1" t="s">
        <v>6374</v>
      </c>
      <c r="G283" s="1" t="s">
        <v>6375</v>
      </c>
      <c r="H283" s="1" t="s">
        <v>6391</v>
      </c>
      <c r="J283" s="1" t="s">
        <v>1007</v>
      </c>
      <c r="L283" s="1" t="s">
        <v>1445</v>
      </c>
      <c r="N283" s="1" t="s">
        <v>1447</v>
      </c>
      <c r="P283" s="1" t="s">
        <v>4742</v>
      </c>
      <c r="Q283" s="3">
        <v>0</v>
      </c>
      <c r="R283" s="22" t="s">
        <v>2765</v>
      </c>
      <c r="S283" s="22" t="s">
        <v>5099</v>
      </c>
      <c r="T283" s="51">
        <v>33</v>
      </c>
      <c r="U283" s="3" t="s">
        <v>6381</v>
      </c>
      <c r="V283" s="41" t="str">
        <f>HYPERLINK("http://ictvonline.org/taxonomy/p/taxonomy-history?taxnode_id=20181799","ICTVonline=20181799")</f>
        <v>ICTVonline=20181799</v>
      </c>
    </row>
    <row r="284" spans="1:22">
      <c r="A284" s="3">
        <v>283</v>
      </c>
      <c r="F284" s="1" t="s">
        <v>6374</v>
      </c>
      <c r="G284" s="1" t="s">
        <v>6375</v>
      </c>
      <c r="H284" s="1" t="s">
        <v>6391</v>
      </c>
      <c r="J284" s="1" t="s">
        <v>1007</v>
      </c>
      <c r="L284" s="1" t="s">
        <v>1445</v>
      </c>
      <c r="N284" s="1" t="s">
        <v>1447</v>
      </c>
      <c r="P284" s="1" t="s">
        <v>3724</v>
      </c>
      <c r="Q284" s="3">
        <v>0</v>
      </c>
      <c r="R284" s="22" t="s">
        <v>2765</v>
      </c>
      <c r="S284" s="22" t="s">
        <v>5099</v>
      </c>
      <c r="T284" s="51">
        <v>33</v>
      </c>
      <c r="U284" s="3" t="s">
        <v>6381</v>
      </c>
      <c r="V284" s="41" t="str">
        <f>HYPERLINK("http://ictvonline.org/taxonomy/p/taxonomy-history?taxnode_id=20181800","ICTVonline=20181800")</f>
        <v>ICTVonline=20181800</v>
      </c>
    </row>
    <row r="285" spans="1:22">
      <c r="A285" s="3">
        <v>284</v>
      </c>
      <c r="F285" s="1" t="s">
        <v>6374</v>
      </c>
      <c r="G285" s="1" t="s">
        <v>6375</v>
      </c>
      <c r="H285" s="1" t="s">
        <v>6391</v>
      </c>
      <c r="J285" s="1" t="s">
        <v>1007</v>
      </c>
      <c r="L285" s="1" t="s">
        <v>1445</v>
      </c>
      <c r="N285" s="1" t="s">
        <v>1447</v>
      </c>
      <c r="P285" s="1" t="s">
        <v>4743</v>
      </c>
      <c r="Q285" s="3">
        <v>0</v>
      </c>
      <c r="R285" s="22" t="s">
        <v>2765</v>
      </c>
      <c r="S285" s="22" t="s">
        <v>5099</v>
      </c>
      <c r="T285" s="51">
        <v>33</v>
      </c>
      <c r="U285" s="3" t="s">
        <v>6381</v>
      </c>
      <c r="V285" s="41" t="str">
        <f>HYPERLINK("http://ictvonline.org/taxonomy/p/taxonomy-history?taxnode_id=20181801","ICTVonline=20181801")</f>
        <v>ICTVonline=20181801</v>
      </c>
    </row>
    <row r="286" spans="1:22">
      <c r="A286" s="3">
        <v>285</v>
      </c>
      <c r="F286" s="1" t="s">
        <v>6374</v>
      </c>
      <c r="G286" s="1" t="s">
        <v>6375</v>
      </c>
      <c r="H286" s="1" t="s">
        <v>6391</v>
      </c>
      <c r="J286" s="1" t="s">
        <v>1007</v>
      </c>
      <c r="L286" s="1" t="s">
        <v>1445</v>
      </c>
      <c r="N286" s="1" t="s">
        <v>1447</v>
      </c>
      <c r="P286" s="1" t="s">
        <v>3725</v>
      </c>
      <c r="Q286" s="3">
        <v>0</v>
      </c>
      <c r="R286" s="22" t="s">
        <v>2765</v>
      </c>
      <c r="S286" s="22" t="s">
        <v>5099</v>
      </c>
      <c r="T286" s="51">
        <v>33</v>
      </c>
      <c r="U286" s="3" t="s">
        <v>6381</v>
      </c>
      <c r="V286" s="41" t="str">
        <f>HYPERLINK("http://ictvonline.org/taxonomy/p/taxonomy-history?taxnode_id=20181802","ICTVonline=20181802")</f>
        <v>ICTVonline=20181802</v>
      </c>
    </row>
    <row r="287" spans="1:22">
      <c r="A287" s="3">
        <v>286</v>
      </c>
      <c r="F287" s="1" t="s">
        <v>6374</v>
      </c>
      <c r="G287" s="1" t="s">
        <v>6375</v>
      </c>
      <c r="H287" s="1" t="s">
        <v>6391</v>
      </c>
      <c r="J287" s="1" t="s">
        <v>1007</v>
      </c>
      <c r="L287" s="1" t="s">
        <v>1445</v>
      </c>
      <c r="N287" s="1" t="s">
        <v>1447</v>
      </c>
      <c r="P287" s="1" t="s">
        <v>4744</v>
      </c>
      <c r="Q287" s="3">
        <v>0</v>
      </c>
      <c r="R287" s="22" t="s">
        <v>2765</v>
      </c>
      <c r="S287" s="22" t="s">
        <v>5099</v>
      </c>
      <c r="T287" s="51">
        <v>33</v>
      </c>
      <c r="U287" s="3" t="s">
        <v>6381</v>
      </c>
      <c r="V287" s="41" t="str">
        <f>HYPERLINK("http://ictvonline.org/taxonomy/p/taxonomy-history?taxnode_id=20181803","ICTVonline=20181803")</f>
        <v>ICTVonline=20181803</v>
      </c>
    </row>
    <row r="288" spans="1:22">
      <c r="A288" s="3">
        <v>287</v>
      </c>
      <c r="F288" s="1" t="s">
        <v>6374</v>
      </c>
      <c r="G288" s="1" t="s">
        <v>6375</v>
      </c>
      <c r="H288" s="1" t="s">
        <v>6391</v>
      </c>
      <c r="J288" s="1" t="s">
        <v>1007</v>
      </c>
      <c r="L288" s="1" t="s">
        <v>1445</v>
      </c>
      <c r="N288" s="1" t="s">
        <v>1447</v>
      </c>
      <c r="P288" s="1" t="s">
        <v>4745</v>
      </c>
      <c r="Q288" s="3">
        <v>0</v>
      </c>
      <c r="R288" s="22" t="s">
        <v>2765</v>
      </c>
      <c r="S288" s="22" t="s">
        <v>5099</v>
      </c>
      <c r="T288" s="51">
        <v>33</v>
      </c>
      <c r="U288" s="3" t="s">
        <v>6381</v>
      </c>
      <c r="V288" s="41" t="str">
        <f>HYPERLINK("http://ictvonline.org/taxonomy/p/taxonomy-history?taxnode_id=20181804","ICTVonline=20181804")</f>
        <v>ICTVonline=20181804</v>
      </c>
    </row>
    <row r="289" spans="1:22">
      <c r="A289" s="3">
        <v>288</v>
      </c>
      <c r="F289" s="1" t="s">
        <v>6374</v>
      </c>
      <c r="G289" s="1" t="s">
        <v>6375</v>
      </c>
      <c r="H289" s="1" t="s">
        <v>6391</v>
      </c>
      <c r="J289" s="1" t="s">
        <v>1007</v>
      </c>
      <c r="L289" s="1" t="s">
        <v>1445</v>
      </c>
      <c r="P289" s="1" t="s">
        <v>1355</v>
      </c>
      <c r="Q289" s="3">
        <v>0</v>
      </c>
      <c r="R289" s="22" t="s">
        <v>2765</v>
      </c>
      <c r="S289" s="22" t="s">
        <v>5099</v>
      </c>
      <c r="T289" s="51">
        <v>33</v>
      </c>
      <c r="U289" s="3" t="s">
        <v>6381</v>
      </c>
      <c r="V289" s="41" t="str">
        <f>HYPERLINK("http://ictvonline.org/taxonomy/p/taxonomy-history?taxnode_id=20181785","ICTVonline=20181785")</f>
        <v>ICTVonline=20181785</v>
      </c>
    </row>
    <row r="290" spans="1:22">
      <c r="A290" s="3">
        <v>289</v>
      </c>
      <c r="F290" s="1" t="s">
        <v>6374</v>
      </c>
      <c r="G290" s="1" t="s">
        <v>6375</v>
      </c>
      <c r="H290" s="1" t="s">
        <v>6391</v>
      </c>
      <c r="J290" s="1" t="s">
        <v>1007</v>
      </c>
      <c r="L290" s="1" t="s">
        <v>3726</v>
      </c>
      <c r="N290" s="1" t="s">
        <v>3727</v>
      </c>
      <c r="P290" s="1" t="s">
        <v>3728</v>
      </c>
      <c r="Q290" s="3">
        <v>1</v>
      </c>
      <c r="R290" s="22" t="s">
        <v>2765</v>
      </c>
      <c r="S290" s="22" t="s">
        <v>5099</v>
      </c>
      <c r="T290" s="51">
        <v>33</v>
      </c>
      <c r="U290" s="3" t="s">
        <v>6381</v>
      </c>
      <c r="V290" s="41" t="str">
        <f>HYPERLINK("http://ictvonline.org/taxonomy/p/taxonomy-history?taxnode_id=20181808","ICTVonline=20181808")</f>
        <v>ICTVonline=20181808</v>
      </c>
    </row>
    <row r="291" spans="1:22">
      <c r="A291" s="3">
        <v>290</v>
      </c>
      <c r="F291" s="1" t="s">
        <v>6374</v>
      </c>
      <c r="G291" s="1" t="s">
        <v>6375</v>
      </c>
      <c r="H291" s="1" t="s">
        <v>6391</v>
      </c>
      <c r="J291" s="1" t="s">
        <v>1007</v>
      </c>
      <c r="L291" s="1" t="s">
        <v>6454</v>
      </c>
      <c r="N291" s="1" t="s">
        <v>3729</v>
      </c>
      <c r="P291" s="1" t="s">
        <v>6455</v>
      </c>
      <c r="Q291" s="3">
        <v>0</v>
      </c>
      <c r="R291" s="22" t="s">
        <v>2765</v>
      </c>
      <c r="S291" s="22" t="s">
        <v>5097</v>
      </c>
      <c r="T291" s="51">
        <v>33</v>
      </c>
      <c r="U291" s="3" t="s">
        <v>6426</v>
      </c>
      <c r="V291" s="41" t="str">
        <f>HYPERLINK("http://ictvonline.org/taxonomy/p/taxonomy-history?taxnode_id=20186262","ICTVonline=20186262")</f>
        <v>ICTVonline=20186262</v>
      </c>
    </row>
    <row r="292" spans="1:22">
      <c r="A292" s="3">
        <v>291</v>
      </c>
      <c r="F292" s="1" t="s">
        <v>6374</v>
      </c>
      <c r="G292" s="1" t="s">
        <v>6375</v>
      </c>
      <c r="H292" s="1" t="s">
        <v>6391</v>
      </c>
      <c r="J292" s="1" t="s">
        <v>1007</v>
      </c>
      <c r="L292" s="1" t="s">
        <v>6454</v>
      </c>
      <c r="N292" s="1" t="s">
        <v>3729</v>
      </c>
      <c r="P292" s="1" t="s">
        <v>6456</v>
      </c>
      <c r="Q292" s="3">
        <v>0</v>
      </c>
      <c r="R292" s="22" t="s">
        <v>2765</v>
      </c>
      <c r="S292" s="22" t="s">
        <v>5097</v>
      </c>
      <c r="T292" s="51">
        <v>33</v>
      </c>
      <c r="U292" s="3" t="s">
        <v>6426</v>
      </c>
      <c r="V292" s="41" t="str">
        <f>HYPERLINK("http://ictvonline.org/taxonomy/p/taxonomy-history?taxnode_id=20186265","ICTVonline=20186265")</f>
        <v>ICTVonline=20186265</v>
      </c>
    </row>
    <row r="293" spans="1:22">
      <c r="A293" s="3">
        <v>292</v>
      </c>
      <c r="F293" s="1" t="s">
        <v>6374</v>
      </c>
      <c r="G293" s="1" t="s">
        <v>6375</v>
      </c>
      <c r="H293" s="1" t="s">
        <v>6391</v>
      </c>
      <c r="J293" s="1" t="s">
        <v>1007</v>
      </c>
      <c r="L293" s="1" t="s">
        <v>6454</v>
      </c>
      <c r="N293" s="1" t="s">
        <v>3729</v>
      </c>
      <c r="P293" s="1" t="s">
        <v>6457</v>
      </c>
      <c r="Q293" s="3">
        <v>0</v>
      </c>
      <c r="R293" s="22" t="s">
        <v>2765</v>
      </c>
      <c r="S293" s="22" t="s">
        <v>5097</v>
      </c>
      <c r="T293" s="51">
        <v>33</v>
      </c>
      <c r="U293" s="3" t="s">
        <v>6426</v>
      </c>
      <c r="V293" s="41" t="str">
        <f>HYPERLINK("http://ictvonline.org/taxonomy/p/taxonomy-history?taxnode_id=20186263","ICTVonline=20186263")</f>
        <v>ICTVonline=20186263</v>
      </c>
    </row>
    <row r="294" spans="1:22">
      <c r="A294" s="3">
        <v>293</v>
      </c>
      <c r="F294" s="1" t="s">
        <v>6374</v>
      </c>
      <c r="G294" s="1" t="s">
        <v>6375</v>
      </c>
      <c r="H294" s="1" t="s">
        <v>6391</v>
      </c>
      <c r="J294" s="1" t="s">
        <v>1007</v>
      </c>
      <c r="L294" s="1" t="s">
        <v>6454</v>
      </c>
      <c r="N294" s="1" t="s">
        <v>3729</v>
      </c>
      <c r="P294" s="1" t="s">
        <v>6458</v>
      </c>
      <c r="Q294" s="3">
        <v>0</v>
      </c>
      <c r="R294" s="22" t="s">
        <v>2765</v>
      </c>
      <c r="S294" s="22" t="s">
        <v>5097</v>
      </c>
      <c r="T294" s="51">
        <v>33</v>
      </c>
      <c r="U294" s="3" t="s">
        <v>6426</v>
      </c>
      <c r="V294" s="41" t="str">
        <f>HYPERLINK("http://ictvonline.org/taxonomy/p/taxonomy-history?taxnode_id=20186261","ICTVonline=20186261")</f>
        <v>ICTVonline=20186261</v>
      </c>
    </row>
    <row r="295" spans="1:22">
      <c r="A295" s="3">
        <v>294</v>
      </c>
      <c r="F295" s="1" t="s">
        <v>6374</v>
      </c>
      <c r="G295" s="1" t="s">
        <v>6375</v>
      </c>
      <c r="H295" s="1" t="s">
        <v>6391</v>
      </c>
      <c r="J295" s="1" t="s">
        <v>1007</v>
      </c>
      <c r="L295" s="1" t="s">
        <v>6454</v>
      </c>
      <c r="N295" s="1" t="s">
        <v>3729</v>
      </c>
      <c r="P295" s="1" t="s">
        <v>6459</v>
      </c>
      <c r="Q295" s="3">
        <v>0</v>
      </c>
      <c r="R295" s="22" t="s">
        <v>2765</v>
      </c>
      <c r="S295" s="22" t="s">
        <v>5097</v>
      </c>
      <c r="T295" s="51">
        <v>33</v>
      </c>
      <c r="U295" s="3" t="s">
        <v>6426</v>
      </c>
      <c r="V295" s="41" t="str">
        <f>HYPERLINK("http://ictvonline.org/taxonomy/p/taxonomy-history?taxnode_id=20186260","ICTVonline=20186260")</f>
        <v>ICTVonline=20186260</v>
      </c>
    </row>
    <row r="296" spans="1:22">
      <c r="A296" s="3">
        <v>295</v>
      </c>
      <c r="F296" s="1" t="s">
        <v>6374</v>
      </c>
      <c r="G296" s="1" t="s">
        <v>6375</v>
      </c>
      <c r="H296" s="1" t="s">
        <v>6391</v>
      </c>
      <c r="J296" s="1" t="s">
        <v>1007</v>
      </c>
      <c r="L296" s="1" t="s">
        <v>6454</v>
      </c>
      <c r="N296" s="1" t="s">
        <v>3729</v>
      </c>
      <c r="P296" s="1" t="s">
        <v>6460</v>
      </c>
      <c r="Q296" s="3">
        <v>0</v>
      </c>
      <c r="R296" s="22" t="s">
        <v>2765</v>
      </c>
      <c r="S296" s="22" t="s">
        <v>5097</v>
      </c>
      <c r="T296" s="51">
        <v>33</v>
      </c>
      <c r="U296" s="3" t="s">
        <v>6426</v>
      </c>
      <c r="V296" s="41" t="str">
        <f>HYPERLINK("http://ictvonline.org/taxonomy/p/taxonomy-history?taxnode_id=20186264","ICTVonline=20186264")</f>
        <v>ICTVonline=20186264</v>
      </c>
    </row>
    <row r="297" spans="1:22">
      <c r="A297" s="3">
        <v>296</v>
      </c>
      <c r="F297" s="1" t="s">
        <v>6374</v>
      </c>
      <c r="G297" s="1" t="s">
        <v>6375</v>
      </c>
      <c r="H297" s="1" t="s">
        <v>6391</v>
      </c>
      <c r="J297" s="1" t="s">
        <v>1007</v>
      </c>
      <c r="L297" s="1" t="s">
        <v>6454</v>
      </c>
      <c r="N297" s="1" t="s">
        <v>3729</v>
      </c>
      <c r="P297" s="1" t="s">
        <v>3730</v>
      </c>
      <c r="Q297" s="3">
        <v>1</v>
      </c>
      <c r="R297" s="22" t="s">
        <v>2765</v>
      </c>
      <c r="S297" s="22" t="s">
        <v>5099</v>
      </c>
      <c r="T297" s="51">
        <v>33</v>
      </c>
      <c r="U297" s="3" t="s">
        <v>6426</v>
      </c>
      <c r="V297" s="41" t="str">
        <f>HYPERLINK("http://ictvonline.org/taxonomy/p/taxonomy-history?taxnode_id=20181812","ICTVonline=20181812")</f>
        <v>ICTVonline=20181812</v>
      </c>
    </row>
    <row r="298" spans="1:22">
      <c r="A298" s="3">
        <v>297</v>
      </c>
      <c r="F298" s="1" t="s">
        <v>6374</v>
      </c>
      <c r="G298" s="1" t="s">
        <v>6375</v>
      </c>
      <c r="H298" s="1" t="s">
        <v>6461</v>
      </c>
      <c r="J298" s="1" t="s">
        <v>6462</v>
      </c>
      <c r="L298" s="1" t="s">
        <v>6463</v>
      </c>
      <c r="N298" s="1" t="s">
        <v>6464</v>
      </c>
      <c r="P298" s="1" t="s">
        <v>6465</v>
      </c>
      <c r="Q298" s="3">
        <v>1</v>
      </c>
      <c r="R298" s="22" t="s">
        <v>2765</v>
      </c>
      <c r="S298" s="22" t="s">
        <v>5097</v>
      </c>
      <c r="T298" s="51">
        <v>33</v>
      </c>
      <c r="U298" s="3" t="s">
        <v>6381</v>
      </c>
      <c r="V298" s="41" t="str">
        <f>HYPERLINK("http://ictvonline.org/taxonomy/p/taxonomy-history?taxnode_id=20186075","ICTVonline=20186075")</f>
        <v>ICTVonline=20186075</v>
      </c>
    </row>
    <row r="299" spans="1:22">
      <c r="A299" s="3">
        <v>298</v>
      </c>
      <c r="F299" s="1" t="s">
        <v>6374</v>
      </c>
      <c r="G299" s="1" t="s">
        <v>6375</v>
      </c>
      <c r="H299" s="1" t="s">
        <v>6461</v>
      </c>
      <c r="J299" s="1" t="s">
        <v>6462</v>
      </c>
      <c r="L299" s="1" t="s">
        <v>6463</v>
      </c>
      <c r="N299" s="1" t="s">
        <v>6464</v>
      </c>
      <c r="P299" s="1" t="s">
        <v>6466</v>
      </c>
      <c r="Q299" s="3">
        <v>0</v>
      </c>
      <c r="R299" s="22" t="s">
        <v>2765</v>
      </c>
      <c r="S299" s="22" t="s">
        <v>5097</v>
      </c>
      <c r="T299" s="51">
        <v>33</v>
      </c>
      <c r="U299" s="3" t="s">
        <v>6381</v>
      </c>
      <c r="V299" s="41" t="str">
        <f>HYPERLINK("http://ictvonline.org/taxonomy/p/taxonomy-history?taxnode_id=20186076","ICTVonline=20186076")</f>
        <v>ICTVonline=20186076</v>
      </c>
    </row>
    <row r="300" spans="1:22">
      <c r="A300" s="3">
        <v>299</v>
      </c>
      <c r="F300" s="1" t="s">
        <v>6374</v>
      </c>
      <c r="G300" s="1" t="s">
        <v>6467</v>
      </c>
      <c r="H300" s="1" t="s">
        <v>6468</v>
      </c>
      <c r="J300" s="1" t="s">
        <v>4224</v>
      </c>
      <c r="L300" s="1" t="s">
        <v>1069</v>
      </c>
      <c r="N300" s="1" t="s">
        <v>5808</v>
      </c>
      <c r="P300" s="1" t="s">
        <v>5809</v>
      </c>
      <c r="Q300" s="3">
        <v>1</v>
      </c>
      <c r="R300" s="22" t="s">
        <v>3794</v>
      </c>
      <c r="S300" s="22" t="s">
        <v>5099</v>
      </c>
      <c r="T300" s="51">
        <v>33</v>
      </c>
      <c r="U300" s="3" t="s">
        <v>6381</v>
      </c>
      <c r="V300" s="41" t="str">
        <f>HYPERLINK("http://ictvonline.org/taxonomy/p/taxonomy-history?taxnode_id=20185740","ICTVonline=20185740")</f>
        <v>ICTVonline=20185740</v>
      </c>
    </row>
    <row r="301" spans="1:22">
      <c r="A301" s="3">
        <v>300</v>
      </c>
      <c r="F301" s="1" t="s">
        <v>6374</v>
      </c>
      <c r="G301" s="1" t="s">
        <v>6467</v>
      </c>
      <c r="H301" s="1" t="s">
        <v>6468</v>
      </c>
      <c r="J301" s="1" t="s">
        <v>4224</v>
      </c>
      <c r="L301" s="1" t="s">
        <v>1069</v>
      </c>
      <c r="N301" s="1" t="s">
        <v>2665</v>
      </c>
      <c r="P301" s="1" t="s">
        <v>2666</v>
      </c>
      <c r="Q301" s="3">
        <v>0</v>
      </c>
      <c r="R301" s="22" t="s">
        <v>3794</v>
      </c>
      <c r="S301" s="22" t="s">
        <v>5099</v>
      </c>
      <c r="T301" s="51">
        <v>33</v>
      </c>
      <c r="U301" s="3" t="s">
        <v>6381</v>
      </c>
      <c r="V301" s="41" t="str">
        <f>HYPERLINK("http://ictvonline.org/taxonomy/p/taxonomy-history?taxnode_id=20182570","ICTVonline=20182570")</f>
        <v>ICTVonline=20182570</v>
      </c>
    </row>
    <row r="302" spans="1:22">
      <c r="A302" s="3">
        <v>301</v>
      </c>
      <c r="F302" s="1" t="s">
        <v>6374</v>
      </c>
      <c r="G302" s="1" t="s">
        <v>6467</v>
      </c>
      <c r="H302" s="1" t="s">
        <v>6468</v>
      </c>
      <c r="J302" s="1" t="s">
        <v>4224</v>
      </c>
      <c r="L302" s="1" t="s">
        <v>1069</v>
      </c>
      <c r="N302" s="1" t="s">
        <v>2665</v>
      </c>
      <c r="P302" s="1" t="s">
        <v>5810</v>
      </c>
      <c r="Q302" s="3">
        <v>0</v>
      </c>
      <c r="R302" s="22" t="s">
        <v>3794</v>
      </c>
      <c r="S302" s="22" t="s">
        <v>5099</v>
      </c>
      <c r="T302" s="51">
        <v>33</v>
      </c>
      <c r="U302" s="3" t="s">
        <v>6381</v>
      </c>
      <c r="V302" s="41" t="str">
        <f>HYPERLINK("http://ictvonline.org/taxonomy/p/taxonomy-history?taxnode_id=20182579","ICTVonline=20182579")</f>
        <v>ICTVonline=20182579</v>
      </c>
    </row>
    <row r="303" spans="1:22">
      <c r="A303" s="3">
        <v>302</v>
      </c>
      <c r="F303" s="1" t="s">
        <v>6374</v>
      </c>
      <c r="G303" s="1" t="s">
        <v>6467</v>
      </c>
      <c r="H303" s="1" t="s">
        <v>6468</v>
      </c>
      <c r="J303" s="1" t="s">
        <v>4224</v>
      </c>
      <c r="L303" s="1" t="s">
        <v>1069</v>
      </c>
      <c r="N303" s="1" t="s">
        <v>2665</v>
      </c>
      <c r="P303" s="1" t="s">
        <v>2667</v>
      </c>
      <c r="Q303" s="3">
        <v>0</v>
      </c>
      <c r="R303" s="22" t="s">
        <v>3794</v>
      </c>
      <c r="S303" s="22" t="s">
        <v>5099</v>
      </c>
      <c r="T303" s="51">
        <v>33</v>
      </c>
      <c r="U303" s="3" t="s">
        <v>6381</v>
      </c>
      <c r="V303" s="41" t="str">
        <f>HYPERLINK("http://ictvonline.org/taxonomy/p/taxonomy-history?taxnode_id=20182572","ICTVonline=20182572")</f>
        <v>ICTVonline=20182572</v>
      </c>
    </row>
    <row r="304" spans="1:22">
      <c r="A304" s="3">
        <v>303</v>
      </c>
      <c r="F304" s="1" t="s">
        <v>6374</v>
      </c>
      <c r="G304" s="1" t="s">
        <v>6467</v>
      </c>
      <c r="H304" s="1" t="s">
        <v>6468</v>
      </c>
      <c r="J304" s="1" t="s">
        <v>4224</v>
      </c>
      <c r="L304" s="1" t="s">
        <v>1069</v>
      </c>
      <c r="N304" s="1" t="s">
        <v>2665</v>
      </c>
      <c r="P304" s="1" t="s">
        <v>5811</v>
      </c>
      <c r="Q304" s="3">
        <v>0</v>
      </c>
      <c r="R304" s="22" t="s">
        <v>3794</v>
      </c>
      <c r="S304" s="22" t="s">
        <v>5099</v>
      </c>
      <c r="T304" s="51">
        <v>33</v>
      </c>
      <c r="U304" s="3" t="s">
        <v>6381</v>
      </c>
      <c r="V304" s="41" t="str">
        <f>HYPERLINK("http://ictvonline.org/taxonomy/p/taxonomy-history?taxnode_id=20182597","ICTVonline=20182597")</f>
        <v>ICTVonline=20182597</v>
      </c>
    </row>
    <row r="305" spans="1:22">
      <c r="A305" s="3">
        <v>304</v>
      </c>
      <c r="F305" s="1" t="s">
        <v>6374</v>
      </c>
      <c r="G305" s="1" t="s">
        <v>6467</v>
      </c>
      <c r="H305" s="1" t="s">
        <v>6468</v>
      </c>
      <c r="J305" s="1" t="s">
        <v>4224</v>
      </c>
      <c r="L305" s="1" t="s">
        <v>1069</v>
      </c>
      <c r="N305" s="1" t="s">
        <v>2665</v>
      </c>
      <c r="P305" s="1" t="s">
        <v>5812</v>
      </c>
      <c r="Q305" s="3">
        <v>0</v>
      </c>
      <c r="R305" s="22" t="s">
        <v>3794</v>
      </c>
      <c r="S305" s="22" t="s">
        <v>5099</v>
      </c>
      <c r="T305" s="51">
        <v>33</v>
      </c>
      <c r="U305" s="3" t="s">
        <v>6381</v>
      </c>
      <c r="V305" s="41" t="str">
        <f>HYPERLINK("http://ictvonline.org/taxonomy/p/taxonomy-history?taxnode_id=20182595","ICTVonline=20182595")</f>
        <v>ICTVonline=20182595</v>
      </c>
    </row>
    <row r="306" spans="1:22">
      <c r="A306" s="3">
        <v>305</v>
      </c>
      <c r="F306" s="1" t="s">
        <v>6374</v>
      </c>
      <c r="G306" s="1" t="s">
        <v>6467</v>
      </c>
      <c r="H306" s="1" t="s">
        <v>6468</v>
      </c>
      <c r="J306" s="1" t="s">
        <v>4224</v>
      </c>
      <c r="L306" s="1" t="s">
        <v>1069</v>
      </c>
      <c r="N306" s="1" t="s">
        <v>2665</v>
      </c>
      <c r="P306" s="1" t="s">
        <v>2668</v>
      </c>
      <c r="Q306" s="3">
        <v>0</v>
      </c>
      <c r="R306" s="22" t="s">
        <v>3794</v>
      </c>
      <c r="S306" s="22" t="s">
        <v>5099</v>
      </c>
      <c r="T306" s="51">
        <v>33</v>
      </c>
      <c r="U306" s="3" t="s">
        <v>6381</v>
      </c>
      <c r="V306" s="41" t="str">
        <f>HYPERLINK("http://ictvonline.org/taxonomy/p/taxonomy-history?taxnode_id=20182573","ICTVonline=20182573")</f>
        <v>ICTVonline=20182573</v>
      </c>
    </row>
    <row r="307" spans="1:22">
      <c r="A307" s="3">
        <v>306</v>
      </c>
      <c r="F307" s="1" t="s">
        <v>6374</v>
      </c>
      <c r="G307" s="1" t="s">
        <v>6467</v>
      </c>
      <c r="H307" s="1" t="s">
        <v>6468</v>
      </c>
      <c r="J307" s="1" t="s">
        <v>4224</v>
      </c>
      <c r="L307" s="1" t="s">
        <v>1069</v>
      </c>
      <c r="N307" s="1" t="s">
        <v>2665</v>
      </c>
      <c r="P307" s="1" t="s">
        <v>2669</v>
      </c>
      <c r="Q307" s="3">
        <v>0</v>
      </c>
      <c r="R307" s="22" t="s">
        <v>3794</v>
      </c>
      <c r="S307" s="22" t="s">
        <v>5099</v>
      </c>
      <c r="T307" s="51">
        <v>33</v>
      </c>
      <c r="U307" s="3" t="s">
        <v>6381</v>
      </c>
      <c r="V307" s="41" t="str">
        <f>HYPERLINK("http://ictvonline.org/taxonomy/p/taxonomy-history?taxnode_id=20182574","ICTVonline=20182574")</f>
        <v>ICTVonline=20182574</v>
      </c>
    </row>
    <row r="308" spans="1:22">
      <c r="A308" s="3">
        <v>307</v>
      </c>
      <c r="F308" s="1" t="s">
        <v>6374</v>
      </c>
      <c r="G308" s="1" t="s">
        <v>6467</v>
      </c>
      <c r="H308" s="1" t="s">
        <v>6468</v>
      </c>
      <c r="J308" s="1" t="s">
        <v>4224</v>
      </c>
      <c r="L308" s="1" t="s">
        <v>1069</v>
      </c>
      <c r="N308" s="1" t="s">
        <v>2665</v>
      </c>
      <c r="P308" s="1" t="s">
        <v>2670</v>
      </c>
      <c r="Q308" s="3">
        <v>0</v>
      </c>
      <c r="R308" s="22" t="s">
        <v>3794</v>
      </c>
      <c r="S308" s="22" t="s">
        <v>5099</v>
      </c>
      <c r="T308" s="51">
        <v>33</v>
      </c>
      <c r="U308" s="3" t="s">
        <v>6381</v>
      </c>
      <c r="V308" s="41" t="str">
        <f>HYPERLINK("http://ictvonline.org/taxonomy/p/taxonomy-history?taxnode_id=20182575","ICTVonline=20182575")</f>
        <v>ICTVonline=20182575</v>
      </c>
    </row>
    <row r="309" spans="1:22">
      <c r="A309" s="3">
        <v>308</v>
      </c>
      <c r="F309" s="1" t="s">
        <v>6374</v>
      </c>
      <c r="G309" s="1" t="s">
        <v>6467</v>
      </c>
      <c r="H309" s="1" t="s">
        <v>6468</v>
      </c>
      <c r="J309" s="1" t="s">
        <v>4224</v>
      </c>
      <c r="L309" s="1" t="s">
        <v>1069</v>
      </c>
      <c r="N309" s="1" t="s">
        <v>2665</v>
      </c>
      <c r="P309" s="1" t="s">
        <v>3795</v>
      </c>
      <c r="Q309" s="3">
        <v>0</v>
      </c>
      <c r="R309" s="22" t="s">
        <v>3794</v>
      </c>
      <c r="S309" s="22" t="s">
        <v>5099</v>
      </c>
      <c r="T309" s="51">
        <v>33</v>
      </c>
      <c r="U309" s="3" t="s">
        <v>6381</v>
      </c>
      <c r="V309" s="41" t="str">
        <f>HYPERLINK("http://ictvonline.org/taxonomy/p/taxonomy-history?taxnode_id=20182576","ICTVonline=20182576")</f>
        <v>ICTVonline=20182576</v>
      </c>
    </row>
    <row r="310" spans="1:22">
      <c r="A310" s="3">
        <v>309</v>
      </c>
      <c r="F310" s="1" t="s">
        <v>6374</v>
      </c>
      <c r="G310" s="1" t="s">
        <v>6467</v>
      </c>
      <c r="H310" s="1" t="s">
        <v>6468</v>
      </c>
      <c r="J310" s="1" t="s">
        <v>4224</v>
      </c>
      <c r="L310" s="1" t="s">
        <v>1069</v>
      </c>
      <c r="N310" s="1" t="s">
        <v>2665</v>
      </c>
      <c r="P310" s="1" t="s">
        <v>2671</v>
      </c>
      <c r="Q310" s="3">
        <v>0</v>
      </c>
      <c r="R310" s="22" t="s">
        <v>3794</v>
      </c>
      <c r="S310" s="22" t="s">
        <v>5099</v>
      </c>
      <c r="T310" s="51">
        <v>33</v>
      </c>
      <c r="U310" s="3" t="s">
        <v>6381</v>
      </c>
      <c r="V310" s="41" t="str">
        <f>HYPERLINK("http://ictvonline.org/taxonomy/p/taxonomy-history?taxnode_id=20182577","ICTVonline=20182577")</f>
        <v>ICTVonline=20182577</v>
      </c>
    </row>
    <row r="311" spans="1:22">
      <c r="A311" s="3">
        <v>310</v>
      </c>
      <c r="F311" s="1" t="s">
        <v>6374</v>
      </c>
      <c r="G311" s="1" t="s">
        <v>6467</v>
      </c>
      <c r="H311" s="1" t="s">
        <v>6468</v>
      </c>
      <c r="J311" s="1" t="s">
        <v>4224</v>
      </c>
      <c r="L311" s="1" t="s">
        <v>1069</v>
      </c>
      <c r="N311" s="1" t="s">
        <v>2665</v>
      </c>
      <c r="P311" s="1" t="s">
        <v>2672</v>
      </c>
      <c r="Q311" s="3">
        <v>0</v>
      </c>
      <c r="R311" s="22" t="s">
        <v>3794</v>
      </c>
      <c r="S311" s="22" t="s">
        <v>5099</v>
      </c>
      <c r="T311" s="51">
        <v>33</v>
      </c>
      <c r="U311" s="3" t="s">
        <v>6381</v>
      </c>
      <c r="V311" s="41" t="str">
        <f>HYPERLINK("http://ictvonline.org/taxonomy/p/taxonomy-history?taxnode_id=20182578","ICTVonline=20182578")</f>
        <v>ICTVonline=20182578</v>
      </c>
    </row>
    <row r="312" spans="1:22">
      <c r="A312" s="3">
        <v>311</v>
      </c>
      <c r="F312" s="1" t="s">
        <v>6374</v>
      </c>
      <c r="G312" s="1" t="s">
        <v>6467</v>
      </c>
      <c r="H312" s="1" t="s">
        <v>6468</v>
      </c>
      <c r="J312" s="1" t="s">
        <v>4224</v>
      </c>
      <c r="L312" s="1" t="s">
        <v>1069</v>
      </c>
      <c r="N312" s="1" t="s">
        <v>2665</v>
      </c>
      <c r="P312" s="1" t="s">
        <v>2673</v>
      </c>
      <c r="Q312" s="3">
        <v>0</v>
      </c>
      <c r="R312" s="22" t="s">
        <v>3794</v>
      </c>
      <c r="S312" s="22" t="s">
        <v>5099</v>
      </c>
      <c r="T312" s="51">
        <v>33</v>
      </c>
      <c r="U312" s="3" t="s">
        <v>6381</v>
      </c>
      <c r="V312" s="41" t="str">
        <f>HYPERLINK("http://ictvonline.org/taxonomy/p/taxonomy-history?taxnode_id=20182580","ICTVonline=20182580")</f>
        <v>ICTVonline=20182580</v>
      </c>
    </row>
    <row r="313" spans="1:22">
      <c r="A313" s="3">
        <v>312</v>
      </c>
      <c r="F313" s="1" t="s">
        <v>6374</v>
      </c>
      <c r="G313" s="1" t="s">
        <v>6467</v>
      </c>
      <c r="H313" s="1" t="s">
        <v>6468</v>
      </c>
      <c r="J313" s="1" t="s">
        <v>4224</v>
      </c>
      <c r="L313" s="1" t="s">
        <v>1069</v>
      </c>
      <c r="N313" s="1" t="s">
        <v>2665</v>
      </c>
      <c r="P313" s="1" t="s">
        <v>2674</v>
      </c>
      <c r="Q313" s="3">
        <v>0</v>
      </c>
      <c r="R313" s="22" t="s">
        <v>3794</v>
      </c>
      <c r="S313" s="22" t="s">
        <v>5099</v>
      </c>
      <c r="T313" s="51">
        <v>33</v>
      </c>
      <c r="U313" s="3" t="s">
        <v>6381</v>
      </c>
      <c r="V313" s="41" t="str">
        <f>HYPERLINK("http://ictvonline.org/taxonomy/p/taxonomy-history?taxnode_id=20182581","ICTVonline=20182581")</f>
        <v>ICTVonline=20182581</v>
      </c>
    </row>
    <row r="314" spans="1:22">
      <c r="A314" s="3">
        <v>313</v>
      </c>
      <c r="F314" s="1" t="s">
        <v>6374</v>
      </c>
      <c r="G314" s="1" t="s">
        <v>6467</v>
      </c>
      <c r="H314" s="1" t="s">
        <v>6468</v>
      </c>
      <c r="J314" s="1" t="s">
        <v>4224</v>
      </c>
      <c r="L314" s="1" t="s">
        <v>1069</v>
      </c>
      <c r="N314" s="1" t="s">
        <v>2665</v>
      </c>
      <c r="P314" s="1" t="s">
        <v>4797</v>
      </c>
      <c r="Q314" s="3">
        <v>0</v>
      </c>
      <c r="R314" s="22" t="s">
        <v>3794</v>
      </c>
      <c r="S314" s="22" t="s">
        <v>5099</v>
      </c>
      <c r="T314" s="51">
        <v>33</v>
      </c>
      <c r="U314" s="3" t="s">
        <v>6381</v>
      </c>
      <c r="V314" s="41" t="str">
        <f>HYPERLINK("http://ictvonline.org/taxonomy/p/taxonomy-history?taxnode_id=20182582","ICTVonline=20182582")</f>
        <v>ICTVonline=20182582</v>
      </c>
    </row>
    <row r="315" spans="1:22">
      <c r="A315" s="3">
        <v>314</v>
      </c>
      <c r="F315" s="1" t="s">
        <v>6374</v>
      </c>
      <c r="G315" s="1" t="s">
        <v>6467</v>
      </c>
      <c r="H315" s="1" t="s">
        <v>6468</v>
      </c>
      <c r="J315" s="1" t="s">
        <v>4224</v>
      </c>
      <c r="L315" s="1" t="s">
        <v>1069</v>
      </c>
      <c r="N315" s="1" t="s">
        <v>2665</v>
      </c>
      <c r="P315" s="1" t="s">
        <v>2675</v>
      </c>
      <c r="Q315" s="3">
        <v>0</v>
      </c>
      <c r="R315" s="22" t="s">
        <v>3794</v>
      </c>
      <c r="S315" s="22" t="s">
        <v>5099</v>
      </c>
      <c r="T315" s="51">
        <v>33</v>
      </c>
      <c r="U315" s="3" t="s">
        <v>6381</v>
      </c>
      <c r="V315" s="41" t="str">
        <f>HYPERLINK("http://ictvonline.org/taxonomy/p/taxonomy-history?taxnode_id=20182583","ICTVonline=20182583")</f>
        <v>ICTVonline=20182583</v>
      </c>
    </row>
    <row r="316" spans="1:22">
      <c r="A316" s="3">
        <v>315</v>
      </c>
      <c r="F316" s="1" t="s">
        <v>6374</v>
      </c>
      <c r="G316" s="1" t="s">
        <v>6467</v>
      </c>
      <c r="H316" s="1" t="s">
        <v>6468</v>
      </c>
      <c r="J316" s="1" t="s">
        <v>4224</v>
      </c>
      <c r="L316" s="1" t="s">
        <v>1069</v>
      </c>
      <c r="N316" s="1" t="s">
        <v>2665</v>
      </c>
      <c r="P316" s="1" t="s">
        <v>2676</v>
      </c>
      <c r="Q316" s="3">
        <v>0</v>
      </c>
      <c r="R316" s="22" t="s">
        <v>3794</v>
      </c>
      <c r="S316" s="22" t="s">
        <v>5099</v>
      </c>
      <c r="T316" s="51">
        <v>33</v>
      </c>
      <c r="U316" s="3" t="s">
        <v>6381</v>
      </c>
      <c r="V316" s="41" t="str">
        <f>HYPERLINK("http://ictvonline.org/taxonomy/p/taxonomy-history?taxnode_id=20182584","ICTVonline=20182584")</f>
        <v>ICTVonline=20182584</v>
      </c>
    </row>
    <row r="317" spans="1:22">
      <c r="A317" s="3">
        <v>316</v>
      </c>
      <c r="F317" s="1" t="s">
        <v>6374</v>
      </c>
      <c r="G317" s="1" t="s">
        <v>6467</v>
      </c>
      <c r="H317" s="1" t="s">
        <v>6468</v>
      </c>
      <c r="J317" s="1" t="s">
        <v>4224</v>
      </c>
      <c r="L317" s="1" t="s">
        <v>1069</v>
      </c>
      <c r="N317" s="1" t="s">
        <v>2665</v>
      </c>
      <c r="P317" s="1" t="s">
        <v>2677</v>
      </c>
      <c r="Q317" s="3">
        <v>0</v>
      </c>
      <c r="R317" s="22" t="s">
        <v>3794</v>
      </c>
      <c r="S317" s="22" t="s">
        <v>5099</v>
      </c>
      <c r="T317" s="51">
        <v>33</v>
      </c>
      <c r="U317" s="3" t="s">
        <v>6381</v>
      </c>
      <c r="V317" s="41" t="str">
        <f>HYPERLINK("http://ictvonline.org/taxonomy/p/taxonomy-history?taxnode_id=20182585","ICTVonline=20182585")</f>
        <v>ICTVonline=20182585</v>
      </c>
    </row>
    <row r="318" spans="1:22">
      <c r="A318" s="3">
        <v>317</v>
      </c>
      <c r="F318" s="1" t="s">
        <v>6374</v>
      </c>
      <c r="G318" s="1" t="s">
        <v>6467</v>
      </c>
      <c r="H318" s="1" t="s">
        <v>6468</v>
      </c>
      <c r="J318" s="1" t="s">
        <v>4224</v>
      </c>
      <c r="L318" s="1" t="s">
        <v>1069</v>
      </c>
      <c r="N318" s="1" t="s">
        <v>2665</v>
      </c>
      <c r="P318" s="1" t="s">
        <v>2678</v>
      </c>
      <c r="Q318" s="3">
        <v>1</v>
      </c>
      <c r="R318" s="22" t="s">
        <v>3794</v>
      </c>
      <c r="S318" s="22" t="s">
        <v>5099</v>
      </c>
      <c r="T318" s="51">
        <v>33</v>
      </c>
      <c r="U318" s="3" t="s">
        <v>6381</v>
      </c>
      <c r="V318" s="41" t="str">
        <f>HYPERLINK("http://ictvonline.org/taxonomy/p/taxonomy-history?taxnode_id=20182586","ICTVonline=20182586")</f>
        <v>ICTVonline=20182586</v>
      </c>
    </row>
    <row r="319" spans="1:22">
      <c r="A319" s="3">
        <v>318</v>
      </c>
      <c r="F319" s="1" t="s">
        <v>6374</v>
      </c>
      <c r="G319" s="1" t="s">
        <v>6467</v>
      </c>
      <c r="H319" s="1" t="s">
        <v>6468</v>
      </c>
      <c r="J319" s="1" t="s">
        <v>4224</v>
      </c>
      <c r="L319" s="1" t="s">
        <v>1069</v>
      </c>
      <c r="N319" s="1" t="s">
        <v>2665</v>
      </c>
      <c r="P319" s="1" t="s">
        <v>2679</v>
      </c>
      <c r="Q319" s="3">
        <v>0</v>
      </c>
      <c r="R319" s="22" t="s">
        <v>3794</v>
      </c>
      <c r="S319" s="22" t="s">
        <v>5099</v>
      </c>
      <c r="T319" s="51">
        <v>33</v>
      </c>
      <c r="U319" s="3" t="s">
        <v>6381</v>
      </c>
      <c r="V319" s="41" t="str">
        <f>HYPERLINK("http://ictvonline.org/taxonomy/p/taxonomy-history?taxnode_id=20182587","ICTVonline=20182587")</f>
        <v>ICTVonline=20182587</v>
      </c>
    </row>
    <row r="320" spans="1:22">
      <c r="A320" s="3">
        <v>319</v>
      </c>
      <c r="F320" s="1" t="s">
        <v>6374</v>
      </c>
      <c r="G320" s="1" t="s">
        <v>6467</v>
      </c>
      <c r="H320" s="1" t="s">
        <v>6468</v>
      </c>
      <c r="J320" s="1" t="s">
        <v>4224</v>
      </c>
      <c r="L320" s="1" t="s">
        <v>1069</v>
      </c>
      <c r="N320" s="1" t="s">
        <v>2665</v>
      </c>
      <c r="P320" s="1" t="s">
        <v>3796</v>
      </c>
      <c r="Q320" s="3">
        <v>0</v>
      </c>
      <c r="R320" s="22" t="s">
        <v>3794</v>
      </c>
      <c r="S320" s="22" t="s">
        <v>5099</v>
      </c>
      <c r="T320" s="51">
        <v>33</v>
      </c>
      <c r="U320" s="3" t="s">
        <v>6381</v>
      </c>
      <c r="V320" s="41" t="str">
        <f>HYPERLINK("http://ictvonline.org/taxonomy/p/taxonomy-history?taxnode_id=20182588","ICTVonline=20182588")</f>
        <v>ICTVonline=20182588</v>
      </c>
    </row>
    <row r="321" spans="1:22">
      <c r="A321" s="3">
        <v>320</v>
      </c>
      <c r="F321" s="1" t="s">
        <v>6374</v>
      </c>
      <c r="G321" s="1" t="s">
        <v>6467</v>
      </c>
      <c r="H321" s="1" t="s">
        <v>6468</v>
      </c>
      <c r="J321" s="1" t="s">
        <v>4224</v>
      </c>
      <c r="L321" s="1" t="s">
        <v>1069</v>
      </c>
      <c r="N321" s="1" t="s">
        <v>2665</v>
      </c>
      <c r="P321" s="1" t="s">
        <v>2680</v>
      </c>
      <c r="Q321" s="3">
        <v>0</v>
      </c>
      <c r="R321" s="22" t="s">
        <v>3794</v>
      </c>
      <c r="S321" s="22" t="s">
        <v>5099</v>
      </c>
      <c r="T321" s="51">
        <v>33</v>
      </c>
      <c r="U321" s="3" t="s">
        <v>6381</v>
      </c>
      <c r="V321" s="41" t="str">
        <f>HYPERLINK("http://ictvonline.org/taxonomy/p/taxonomy-history?taxnode_id=20182589","ICTVonline=20182589")</f>
        <v>ICTVonline=20182589</v>
      </c>
    </row>
    <row r="322" spans="1:22">
      <c r="A322" s="3">
        <v>321</v>
      </c>
      <c r="F322" s="1" t="s">
        <v>6374</v>
      </c>
      <c r="G322" s="1" t="s">
        <v>6467</v>
      </c>
      <c r="H322" s="1" t="s">
        <v>6468</v>
      </c>
      <c r="J322" s="1" t="s">
        <v>4224</v>
      </c>
      <c r="L322" s="1" t="s">
        <v>1069</v>
      </c>
      <c r="N322" s="1" t="s">
        <v>2665</v>
      </c>
      <c r="P322" s="1" t="s">
        <v>2681</v>
      </c>
      <c r="Q322" s="3">
        <v>0</v>
      </c>
      <c r="R322" s="22" t="s">
        <v>3794</v>
      </c>
      <c r="S322" s="22" t="s">
        <v>5099</v>
      </c>
      <c r="T322" s="51">
        <v>33</v>
      </c>
      <c r="U322" s="3" t="s">
        <v>6381</v>
      </c>
      <c r="V322" s="41" t="str">
        <f>HYPERLINK("http://ictvonline.org/taxonomy/p/taxonomy-history?taxnode_id=20182590","ICTVonline=20182590")</f>
        <v>ICTVonline=20182590</v>
      </c>
    </row>
    <row r="323" spans="1:22">
      <c r="A323" s="3">
        <v>322</v>
      </c>
      <c r="F323" s="1" t="s">
        <v>6374</v>
      </c>
      <c r="G323" s="1" t="s">
        <v>6467</v>
      </c>
      <c r="H323" s="1" t="s">
        <v>6468</v>
      </c>
      <c r="J323" s="1" t="s">
        <v>4224</v>
      </c>
      <c r="L323" s="1" t="s">
        <v>1069</v>
      </c>
      <c r="N323" s="1" t="s">
        <v>2665</v>
      </c>
      <c r="P323" s="1" t="s">
        <v>2682</v>
      </c>
      <c r="Q323" s="3">
        <v>0</v>
      </c>
      <c r="R323" s="22" t="s">
        <v>3794</v>
      </c>
      <c r="S323" s="22" t="s">
        <v>5099</v>
      </c>
      <c r="T323" s="51">
        <v>33</v>
      </c>
      <c r="U323" s="3" t="s">
        <v>6381</v>
      </c>
      <c r="V323" s="41" t="str">
        <f>HYPERLINK("http://ictvonline.org/taxonomy/p/taxonomy-history?taxnode_id=20182591","ICTVonline=20182591")</f>
        <v>ICTVonline=20182591</v>
      </c>
    </row>
    <row r="324" spans="1:22">
      <c r="A324" s="3">
        <v>323</v>
      </c>
      <c r="F324" s="1" t="s">
        <v>6374</v>
      </c>
      <c r="G324" s="1" t="s">
        <v>6467</v>
      </c>
      <c r="H324" s="1" t="s">
        <v>6468</v>
      </c>
      <c r="J324" s="1" t="s">
        <v>4224</v>
      </c>
      <c r="L324" s="1" t="s">
        <v>1069</v>
      </c>
      <c r="N324" s="1" t="s">
        <v>2665</v>
      </c>
      <c r="P324" s="1" t="s">
        <v>3797</v>
      </c>
      <c r="Q324" s="3">
        <v>0</v>
      </c>
      <c r="R324" s="22" t="s">
        <v>3794</v>
      </c>
      <c r="S324" s="22" t="s">
        <v>5099</v>
      </c>
      <c r="T324" s="51">
        <v>33</v>
      </c>
      <c r="U324" s="3" t="s">
        <v>6381</v>
      </c>
      <c r="V324" s="41" t="str">
        <f>HYPERLINK("http://ictvonline.org/taxonomy/p/taxonomy-history?taxnode_id=20182592","ICTVonline=20182592")</f>
        <v>ICTVonline=20182592</v>
      </c>
    </row>
    <row r="325" spans="1:22">
      <c r="A325" s="3">
        <v>324</v>
      </c>
      <c r="F325" s="1" t="s">
        <v>6374</v>
      </c>
      <c r="G325" s="1" t="s">
        <v>6467</v>
      </c>
      <c r="H325" s="1" t="s">
        <v>6468</v>
      </c>
      <c r="J325" s="1" t="s">
        <v>4224</v>
      </c>
      <c r="L325" s="1" t="s">
        <v>1069</v>
      </c>
      <c r="N325" s="1" t="s">
        <v>2665</v>
      </c>
      <c r="P325" s="1" t="s">
        <v>2683</v>
      </c>
      <c r="Q325" s="3">
        <v>0</v>
      </c>
      <c r="R325" s="22" t="s">
        <v>3794</v>
      </c>
      <c r="S325" s="22" t="s">
        <v>5099</v>
      </c>
      <c r="T325" s="51">
        <v>33</v>
      </c>
      <c r="U325" s="3" t="s">
        <v>6381</v>
      </c>
      <c r="V325" s="41" t="str">
        <f>HYPERLINK("http://ictvonline.org/taxonomy/p/taxonomy-history?taxnode_id=20182593","ICTVonline=20182593")</f>
        <v>ICTVonline=20182593</v>
      </c>
    </row>
    <row r="326" spans="1:22">
      <c r="A326" s="3">
        <v>325</v>
      </c>
      <c r="F326" s="1" t="s">
        <v>6374</v>
      </c>
      <c r="G326" s="1" t="s">
        <v>6467</v>
      </c>
      <c r="H326" s="1" t="s">
        <v>6468</v>
      </c>
      <c r="J326" s="1" t="s">
        <v>4224</v>
      </c>
      <c r="L326" s="1" t="s">
        <v>1069</v>
      </c>
      <c r="N326" s="1" t="s">
        <v>2665</v>
      </c>
      <c r="P326" s="1" t="s">
        <v>5813</v>
      </c>
      <c r="Q326" s="3">
        <v>0</v>
      </c>
      <c r="R326" s="22" t="s">
        <v>3794</v>
      </c>
      <c r="S326" s="22" t="s">
        <v>5099</v>
      </c>
      <c r="T326" s="51">
        <v>33</v>
      </c>
      <c r="U326" s="3" t="s">
        <v>6381</v>
      </c>
      <c r="V326" s="41" t="str">
        <f>HYPERLINK("http://ictvonline.org/taxonomy/p/taxonomy-history?taxnode_id=20182594","ICTVonline=20182594")</f>
        <v>ICTVonline=20182594</v>
      </c>
    </row>
    <row r="327" spans="1:22">
      <c r="A327" s="3">
        <v>326</v>
      </c>
      <c r="F327" s="1" t="s">
        <v>6374</v>
      </c>
      <c r="G327" s="1" t="s">
        <v>6467</v>
      </c>
      <c r="H327" s="1" t="s">
        <v>6468</v>
      </c>
      <c r="J327" s="1" t="s">
        <v>4224</v>
      </c>
      <c r="L327" s="1" t="s">
        <v>1069</v>
      </c>
      <c r="N327" s="1" t="s">
        <v>2665</v>
      </c>
      <c r="P327" s="1" t="s">
        <v>2684</v>
      </c>
      <c r="Q327" s="3">
        <v>0</v>
      </c>
      <c r="R327" s="22" t="s">
        <v>3794</v>
      </c>
      <c r="S327" s="22" t="s">
        <v>5099</v>
      </c>
      <c r="T327" s="51">
        <v>33</v>
      </c>
      <c r="U327" s="3" t="s">
        <v>6381</v>
      </c>
      <c r="V327" s="41" t="str">
        <f>HYPERLINK("http://ictvonline.org/taxonomy/p/taxonomy-history?taxnode_id=20182596","ICTVonline=20182596")</f>
        <v>ICTVonline=20182596</v>
      </c>
    </row>
    <row r="328" spans="1:22">
      <c r="A328" s="3">
        <v>327</v>
      </c>
      <c r="F328" s="1" t="s">
        <v>6374</v>
      </c>
      <c r="G328" s="1" t="s">
        <v>6467</v>
      </c>
      <c r="H328" s="1" t="s">
        <v>6468</v>
      </c>
      <c r="J328" s="1" t="s">
        <v>4224</v>
      </c>
      <c r="L328" s="1" t="s">
        <v>1069</v>
      </c>
      <c r="N328" s="1" t="s">
        <v>2665</v>
      </c>
      <c r="P328" s="1" t="s">
        <v>5814</v>
      </c>
      <c r="Q328" s="3">
        <v>0</v>
      </c>
      <c r="R328" s="22" t="s">
        <v>3794</v>
      </c>
      <c r="S328" s="22" t="s">
        <v>5099</v>
      </c>
      <c r="T328" s="51">
        <v>33</v>
      </c>
      <c r="U328" s="3" t="s">
        <v>6381</v>
      </c>
      <c r="V328" s="41" t="str">
        <f>HYPERLINK("http://ictvonline.org/taxonomy/p/taxonomy-history?taxnode_id=20185742","ICTVonline=20185742")</f>
        <v>ICTVonline=20185742</v>
      </c>
    </row>
    <row r="329" spans="1:22">
      <c r="A329" s="3">
        <v>328</v>
      </c>
      <c r="F329" s="1" t="s">
        <v>6374</v>
      </c>
      <c r="G329" s="1" t="s">
        <v>6467</v>
      </c>
      <c r="H329" s="1" t="s">
        <v>6468</v>
      </c>
      <c r="J329" s="1" t="s">
        <v>4224</v>
      </c>
      <c r="L329" s="1" t="s">
        <v>1069</v>
      </c>
      <c r="N329" s="1" t="s">
        <v>2665</v>
      </c>
      <c r="P329" s="1" t="s">
        <v>5815</v>
      </c>
      <c r="Q329" s="3">
        <v>0</v>
      </c>
      <c r="R329" s="22" t="s">
        <v>3794</v>
      </c>
      <c r="S329" s="22" t="s">
        <v>5099</v>
      </c>
      <c r="T329" s="51">
        <v>33</v>
      </c>
      <c r="U329" s="3" t="s">
        <v>6381</v>
      </c>
      <c r="V329" s="41" t="str">
        <f>HYPERLINK("http://ictvonline.org/taxonomy/p/taxonomy-history?taxnode_id=20182571","ICTVonline=20182571")</f>
        <v>ICTVonline=20182571</v>
      </c>
    </row>
    <row r="330" spans="1:22">
      <c r="A330" s="3">
        <v>329</v>
      </c>
      <c r="F330" s="1" t="s">
        <v>6374</v>
      </c>
      <c r="G330" s="1" t="s">
        <v>6467</v>
      </c>
      <c r="H330" s="1" t="s">
        <v>6468</v>
      </c>
      <c r="J330" s="1" t="s">
        <v>4224</v>
      </c>
      <c r="L330" s="1" t="s">
        <v>1069</v>
      </c>
      <c r="N330" s="1" t="s">
        <v>2665</v>
      </c>
      <c r="P330" s="1" t="s">
        <v>4798</v>
      </c>
      <c r="Q330" s="3">
        <v>0</v>
      </c>
      <c r="R330" s="22" t="s">
        <v>3794</v>
      </c>
      <c r="S330" s="22" t="s">
        <v>5099</v>
      </c>
      <c r="T330" s="51">
        <v>33</v>
      </c>
      <c r="U330" s="3" t="s">
        <v>6381</v>
      </c>
      <c r="V330" s="41" t="str">
        <f>HYPERLINK("http://ictvonline.org/taxonomy/p/taxonomy-history?taxnode_id=20182598","ICTVonline=20182598")</f>
        <v>ICTVonline=20182598</v>
      </c>
    </row>
    <row r="331" spans="1:22">
      <c r="A331" s="3">
        <v>330</v>
      </c>
      <c r="F331" s="1" t="s">
        <v>6374</v>
      </c>
      <c r="G331" s="1" t="s">
        <v>6467</v>
      </c>
      <c r="H331" s="1" t="s">
        <v>6468</v>
      </c>
      <c r="J331" s="1" t="s">
        <v>4224</v>
      </c>
      <c r="L331" s="1" t="s">
        <v>1069</v>
      </c>
      <c r="N331" s="1" t="s">
        <v>2665</v>
      </c>
      <c r="P331" s="1" t="s">
        <v>5816</v>
      </c>
      <c r="Q331" s="3">
        <v>0</v>
      </c>
      <c r="R331" s="22" t="s">
        <v>3794</v>
      </c>
      <c r="S331" s="22" t="s">
        <v>5099</v>
      </c>
      <c r="T331" s="51">
        <v>33</v>
      </c>
      <c r="U331" s="3" t="s">
        <v>6381</v>
      </c>
      <c r="V331" s="41" t="str">
        <f>HYPERLINK("http://ictvonline.org/taxonomy/p/taxonomy-history?taxnode_id=20185743","ICTVonline=20185743")</f>
        <v>ICTVonline=20185743</v>
      </c>
    </row>
    <row r="332" spans="1:22">
      <c r="A332" s="3">
        <v>331</v>
      </c>
      <c r="F332" s="1" t="s">
        <v>6374</v>
      </c>
      <c r="G332" s="1" t="s">
        <v>6467</v>
      </c>
      <c r="H332" s="1" t="s">
        <v>6468</v>
      </c>
      <c r="J332" s="1" t="s">
        <v>4224</v>
      </c>
      <c r="L332" s="1" t="s">
        <v>1069</v>
      </c>
      <c r="N332" s="1" t="s">
        <v>2665</v>
      </c>
      <c r="P332" s="1" t="s">
        <v>2685</v>
      </c>
      <c r="Q332" s="3">
        <v>0</v>
      </c>
      <c r="R332" s="22" t="s">
        <v>3794</v>
      </c>
      <c r="S332" s="22" t="s">
        <v>5099</v>
      </c>
      <c r="T332" s="51">
        <v>33</v>
      </c>
      <c r="U332" s="3" t="s">
        <v>6381</v>
      </c>
      <c r="V332" s="41" t="str">
        <f>HYPERLINK("http://ictvonline.org/taxonomy/p/taxonomy-history?taxnode_id=20182599","ICTVonline=20182599")</f>
        <v>ICTVonline=20182599</v>
      </c>
    </row>
    <row r="333" spans="1:22">
      <c r="A333" s="3">
        <v>332</v>
      </c>
      <c r="F333" s="1" t="s">
        <v>6374</v>
      </c>
      <c r="G333" s="1" t="s">
        <v>6467</v>
      </c>
      <c r="H333" s="1" t="s">
        <v>6468</v>
      </c>
      <c r="J333" s="1" t="s">
        <v>4224</v>
      </c>
      <c r="L333" s="1" t="s">
        <v>1069</v>
      </c>
      <c r="N333" s="1" t="s">
        <v>2665</v>
      </c>
      <c r="P333" s="1" t="s">
        <v>2686</v>
      </c>
      <c r="Q333" s="3">
        <v>0</v>
      </c>
      <c r="R333" s="22" t="s">
        <v>3794</v>
      </c>
      <c r="S333" s="22" t="s">
        <v>5099</v>
      </c>
      <c r="T333" s="51">
        <v>33</v>
      </c>
      <c r="U333" s="3" t="s">
        <v>6381</v>
      </c>
      <c r="V333" s="41" t="str">
        <f>HYPERLINK("http://ictvonline.org/taxonomy/p/taxonomy-history?taxnode_id=20182600","ICTVonline=20182600")</f>
        <v>ICTVonline=20182600</v>
      </c>
    </row>
    <row r="334" spans="1:22">
      <c r="A334" s="3">
        <v>333</v>
      </c>
      <c r="F334" s="1" t="s">
        <v>6374</v>
      </c>
      <c r="G334" s="1" t="s">
        <v>6467</v>
      </c>
      <c r="H334" s="1" t="s">
        <v>6468</v>
      </c>
      <c r="J334" s="1" t="s">
        <v>4224</v>
      </c>
      <c r="L334" s="1" t="s">
        <v>1069</v>
      </c>
      <c r="N334" s="1" t="s">
        <v>2665</v>
      </c>
      <c r="P334" s="1" t="s">
        <v>3798</v>
      </c>
      <c r="Q334" s="3">
        <v>0</v>
      </c>
      <c r="R334" s="22" t="s">
        <v>3794</v>
      </c>
      <c r="S334" s="22" t="s">
        <v>5099</v>
      </c>
      <c r="T334" s="51">
        <v>33</v>
      </c>
      <c r="U334" s="3" t="s">
        <v>6381</v>
      </c>
      <c r="V334" s="41" t="str">
        <f>HYPERLINK("http://ictvonline.org/taxonomy/p/taxonomy-history?taxnode_id=20182601","ICTVonline=20182601")</f>
        <v>ICTVonline=20182601</v>
      </c>
    </row>
    <row r="335" spans="1:22">
      <c r="A335" s="3">
        <v>334</v>
      </c>
      <c r="F335" s="1" t="s">
        <v>6374</v>
      </c>
      <c r="G335" s="1" t="s">
        <v>6467</v>
      </c>
      <c r="H335" s="1" t="s">
        <v>6468</v>
      </c>
      <c r="J335" s="1" t="s">
        <v>4224</v>
      </c>
      <c r="L335" s="1" t="s">
        <v>1069</v>
      </c>
      <c r="N335" s="1" t="s">
        <v>2665</v>
      </c>
      <c r="P335" s="1" t="s">
        <v>2687</v>
      </c>
      <c r="Q335" s="3">
        <v>0</v>
      </c>
      <c r="R335" s="22" t="s">
        <v>3794</v>
      </c>
      <c r="S335" s="22" t="s">
        <v>5099</v>
      </c>
      <c r="T335" s="51">
        <v>33</v>
      </c>
      <c r="U335" s="3" t="s">
        <v>6381</v>
      </c>
      <c r="V335" s="41" t="str">
        <f>HYPERLINK("http://ictvonline.org/taxonomy/p/taxonomy-history?taxnode_id=20182602","ICTVonline=20182602")</f>
        <v>ICTVonline=20182602</v>
      </c>
    </row>
    <row r="336" spans="1:22">
      <c r="A336" s="3">
        <v>335</v>
      </c>
      <c r="F336" s="1" t="s">
        <v>6374</v>
      </c>
      <c r="G336" s="1" t="s">
        <v>6467</v>
      </c>
      <c r="H336" s="1" t="s">
        <v>6468</v>
      </c>
      <c r="J336" s="1" t="s">
        <v>4224</v>
      </c>
      <c r="L336" s="1" t="s">
        <v>1069</v>
      </c>
      <c r="N336" s="1" t="s">
        <v>2688</v>
      </c>
      <c r="P336" s="1" t="s">
        <v>5817</v>
      </c>
      <c r="Q336" s="3">
        <v>0</v>
      </c>
      <c r="R336" s="22" t="s">
        <v>3794</v>
      </c>
      <c r="S336" s="22" t="s">
        <v>5099</v>
      </c>
      <c r="T336" s="51">
        <v>33</v>
      </c>
      <c r="U336" s="3" t="s">
        <v>6381</v>
      </c>
      <c r="V336" s="41" t="str">
        <f>HYPERLINK("http://ictvonline.org/taxonomy/p/taxonomy-history?taxnode_id=20182605","ICTVonline=20182605")</f>
        <v>ICTVonline=20182605</v>
      </c>
    </row>
    <row r="337" spans="1:22">
      <c r="A337" s="3">
        <v>336</v>
      </c>
      <c r="F337" s="1" t="s">
        <v>6374</v>
      </c>
      <c r="G337" s="1" t="s">
        <v>6467</v>
      </c>
      <c r="H337" s="1" t="s">
        <v>6468</v>
      </c>
      <c r="J337" s="1" t="s">
        <v>4224</v>
      </c>
      <c r="L337" s="1" t="s">
        <v>1069</v>
      </c>
      <c r="N337" s="1" t="s">
        <v>2688</v>
      </c>
      <c r="P337" s="1" t="s">
        <v>5818</v>
      </c>
      <c r="Q337" s="3">
        <v>0</v>
      </c>
      <c r="R337" s="22" t="s">
        <v>3794</v>
      </c>
      <c r="S337" s="22" t="s">
        <v>5099</v>
      </c>
      <c r="T337" s="51">
        <v>33</v>
      </c>
      <c r="U337" s="3" t="s">
        <v>6381</v>
      </c>
      <c r="V337" s="41" t="str">
        <f>HYPERLINK("http://ictvonline.org/taxonomy/p/taxonomy-history?taxnode_id=20185744","ICTVonline=20185744")</f>
        <v>ICTVonline=20185744</v>
      </c>
    </row>
    <row r="338" spans="1:22">
      <c r="A338" s="3">
        <v>337</v>
      </c>
      <c r="F338" s="1" t="s">
        <v>6374</v>
      </c>
      <c r="G338" s="1" t="s">
        <v>6467</v>
      </c>
      <c r="H338" s="1" t="s">
        <v>6468</v>
      </c>
      <c r="J338" s="1" t="s">
        <v>4224</v>
      </c>
      <c r="L338" s="1" t="s">
        <v>1069</v>
      </c>
      <c r="N338" s="1" t="s">
        <v>2688</v>
      </c>
      <c r="P338" s="1" t="s">
        <v>5819</v>
      </c>
      <c r="Q338" s="3">
        <v>1</v>
      </c>
      <c r="R338" s="22" t="s">
        <v>3794</v>
      </c>
      <c r="S338" s="22" t="s">
        <v>5099</v>
      </c>
      <c r="T338" s="51">
        <v>33</v>
      </c>
      <c r="U338" s="3" t="s">
        <v>6381</v>
      </c>
      <c r="V338" s="41" t="str">
        <f>HYPERLINK("http://ictvonline.org/taxonomy/p/taxonomy-history?taxnode_id=20182604","ICTVonline=20182604")</f>
        <v>ICTVonline=20182604</v>
      </c>
    </row>
    <row r="339" spans="1:22">
      <c r="A339" s="3">
        <v>338</v>
      </c>
      <c r="F339" s="1" t="s">
        <v>6374</v>
      </c>
      <c r="G339" s="1" t="s">
        <v>6467</v>
      </c>
      <c r="H339" s="1" t="s">
        <v>6468</v>
      </c>
      <c r="J339" s="1" t="s">
        <v>4224</v>
      </c>
      <c r="L339" s="1" t="s">
        <v>1069</v>
      </c>
      <c r="N339" s="1" t="s">
        <v>2688</v>
      </c>
      <c r="P339" s="1" t="s">
        <v>5820</v>
      </c>
      <c r="Q339" s="3">
        <v>0</v>
      </c>
      <c r="R339" s="22" t="s">
        <v>3794</v>
      </c>
      <c r="S339" s="22" t="s">
        <v>5099</v>
      </c>
      <c r="T339" s="51">
        <v>33</v>
      </c>
      <c r="U339" s="3" t="s">
        <v>6381</v>
      </c>
      <c r="V339" s="41" t="str">
        <f>HYPERLINK("http://ictvonline.org/taxonomy/p/taxonomy-history?taxnode_id=20185745","ICTVonline=20185745")</f>
        <v>ICTVonline=20185745</v>
      </c>
    </row>
    <row r="340" spans="1:22">
      <c r="A340" s="3">
        <v>339</v>
      </c>
      <c r="F340" s="1" t="s">
        <v>6374</v>
      </c>
      <c r="G340" s="1" t="s">
        <v>6467</v>
      </c>
      <c r="H340" s="1" t="s">
        <v>6468</v>
      </c>
      <c r="J340" s="1" t="s">
        <v>4224</v>
      </c>
      <c r="L340" s="1" t="s">
        <v>1069</v>
      </c>
      <c r="N340" s="1" t="s">
        <v>2688</v>
      </c>
      <c r="P340" s="1" t="s">
        <v>5821</v>
      </c>
      <c r="Q340" s="3">
        <v>0</v>
      </c>
      <c r="R340" s="22" t="s">
        <v>3794</v>
      </c>
      <c r="S340" s="22" t="s">
        <v>5099</v>
      </c>
      <c r="T340" s="51">
        <v>33</v>
      </c>
      <c r="U340" s="3" t="s">
        <v>6381</v>
      </c>
      <c r="V340" s="41" t="str">
        <f>HYPERLINK("http://ictvonline.org/taxonomy/p/taxonomy-history?taxnode_id=20182606","ICTVonline=20182606")</f>
        <v>ICTVonline=20182606</v>
      </c>
    </row>
    <row r="341" spans="1:22">
      <c r="A341" s="3">
        <v>340</v>
      </c>
      <c r="F341" s="1" t="s">
        <v>6374</v>
      </c>
      <c r="G341" s="1" t="s">
        <v>6467</v>
      </c>
      <c r="H341" s="1" t="s">
        <v>6468</v>
      </c>
      <c r="J341" s="1" t="s">
        <v>4224</v>
      </c>
      <c r="L341" s="1" t="s">
        <v>6469</v>
      </c>
      <c r="N341" s="1" t="s">
        <v>6470</v>
      </c>
      <c r="P341" s="1" t="s">
        <v>6471</v>
      </c>
      <c r="Q341" s="3">
        <v>1</v>
      </c>
      <c r="R341" s="22" t="s">
        <v>2765</v>
      </c>
      <c r="S341" s="22" t="s">
        <v>5097</v>
      </c>
      <c r="T341" s="51">
        <v>33</v>
      </c>
      <c r="U341" s="3" t="s">
        <v>6472</v>
      </c>
      <c r="V341" s="41" t="str">
        <f>HYPERLINK("http://ictvonline.org/taxonomy/p/taxonomy-history?taxnode_id=20186209","ICTVonline=20186209")</f>
        <v>ICTVonline=20186209</v>
      </c>
    </row>
    <row r="342" spans="1:22">
      <c r="A342" s="3">
        <v>341</v>
      </c>
      <c r="F342" s="1" t="s">
        <v>6374</v>
      </c>
      <c r="G342" s="1" t="s">
        <v>6467</v>
      </c>
      <c r="H342" s="1" t="s">
        <v>6468</v>
      </c>
      <c r="J342" s="1" t="s">
        <v>4224</v>
      </c>
      <c r="L342" s="1" t="s">
        <v>4225</v>
      </c>
      <c r="N342" s="1" t="s">
        <v>552</v>
      </c>
      <c r="P342" s="1" t="s">
        <v>4262</v>
      </c>
      <c r="Q342" s="3">
        <v>0</v>
      </c>
      <c r="R342" s="22" t="s">
        <v>2765</v>
      </c>
      <c r="S342" s="22" t="s">
        <v>5099</v>
      </c>
      <c r="T342" s="51">
        <v>33</v>
      </c>
      <c r="U342" s="3" t="s">
        <v>6381</v>
      </c>
      <c r="V342" s="41" t="str">
        <f>HYPERLINK("http://ictvonline.org/taxonomy/p/taxonomy-history?taxnode_id=20180009","ICTVonline=20180009")</f>
        <v>ICTVonline=20180009</v>
      </c>
    </row>
    <row r="343" spans="1:22">
      <c r="A343" s="3">
        <v>342</v>
      </c>
      <c r="F343" s="1" t="s">
        <v>6374</v>
      </c>
      <c r="G343" s="1" t="s">
        <v>6467</v>
      </c>
      <c r="H343" s="1" t="s">
        <v>6468</v>
      </c>
      <c r="J343" s="1" t="s">
        <v>4224</v>
      </c>
      <c r="L343" s="1" t="s">
        <v>4225</v>
      </c>
      <c r="N343" s="1" t="s">
        <v>552</v>
      </c>
      <c r="P343" s="1" t="s">
        <v>4175</v>
      </c>
      <c r="Q343" s="3">
        <v>1</v>
      </c>
      <c r="R343" s="22" t="s">
        <v>2765</v>
      </c>
      <c r="S343" s="22" t="s">
        <v>5099</v>
      </c>
      <c r="T343" s="51">
        <v>33</v>
      </c>
      <c r="U343" s="3" t="s">
        <v>6381</v>
      </c>
      <c r="V343" s="41" t="str">
        <f>HYPERLINK("http://ictvonline.org/taxonomy/p/taxonomy-history?taxnode_id=20180010","ICTVonline=20180010")</f>
        <v>ICTVonline=20180010</v>
      </c>
    </row>
    <row r="344" spans="1:22">
      <c r="A344" s="3">
        <v>343</v>
      </c>
      <c r="F344" s="1" t="s">
        <v>6374</v>
      </c>
      <c r="G344" s="1" t="s">
        <v>6467</v>
      </c>
      <c r="H344" s="1" t="s">
        <v>6468</v>
      </c>
      <c r="J344" s="1" t="s">
        <v>4224</v>
      </c>
      <c r="L344" s="1" t="s">
        <v>4225</v>
      </c>
      <c r="N344" s="1" t="s">
        <v>552</v>
      </c>
      <c r="P344" s="1" t="s">
        <v>4176</v>
      </c>
      <c r="Q344" s="3">
        <v>0</v>
      </c>
      <c r="R344" s="22" t="s">
        <v>2765</v>
      </c>
      <c r="S344" s="22" t="s">
        <v>5099</v>
      </c>
      <c r="T344" s="51">
        <v>33</v>
      </c>
      <c r="U344" s="3" t="s">
        <v>6381</v>
      </c>
      <c r="V344" s="41" t="str">
        <f>HYPERLINK("http://ictvonline.org/taxonomy/p/taxonomy-history?taxnode_id=20180011","ICTVonline=20180011")</f>
        <v>ICTVonline=20180011</v>
      </c>
    </row>
    <row r="345" spans="1:22">
      <c r="A345" s="3">
        <v>344</v>
      </c>
      <c r="F345" s="1" t="s">
        <v>6374</v>
      </c>
      <c r="G345" s="1" t="s">
        <v>6467</v>
      </c>
      <c r="H345" s="1" t="s">
        <v>6468</v>
      </c>
      <c r="J345" s="1" t="s">
        <v>4224</v>
      </c>
      <c r="L345" s="1" t="s">
        <v>4225</v>
      </c>
      <c r="N345" s="1" t="s">
        <v>552</v>
      </c>
      <c r="P345" s="1" t="s">
        <v>4177</v>
      </c>
      <c r="Q345" s="3">
        <v>0</v>
      </c>
      <c r="R345" s="22" t="s">
        <v>2765</v>
      </c>
      <c r="S345" s="22" t="s">
        <v>5099</v>
      </c>
      <c r="T345" s="51">
        <v>33</v>
      </c>
      <c r="U345" s="3" t="s">
        <v>6381</v>
      </c>
      <c r="V345" s="41" t="str">
        <f>HYPERLINK("http://ictvonline.org/taxonomy/p/taxonomy-history?taxnode_id=20180012","ICTVonline=20180012")</f>
        <v>ICTVonline=20180012</v>
      </c>
    </row>
    <row r="346" spans="1:22">
      <c r="A346" s="3">
        <v>345</v>
      </c>
      <c r="F346" s="1" t="s">
        <v>6374</v>
      </c>
      <c r="G346" s="1" t="s">
        <v>6467</v>
      </c>
      <c r="H346" s="1" t="s">
        <v>6468</v>
      </c>
      <c r="J346" s="1" t="s">
        <v>4224</v>
      </c>
      <c r="L346" s="1" t="s">
        <v>4225</v>
      </c>
      <c r="N346" s="1" t="s">
        <v>552</v>
      </c>
      <c r="P346" s="1" t="s">
        <v>4178</v>
      </c>
      <c r="Q346" s="3">
        <v>0</v>
      </c>
      <c r="R346" s="22" t="s">
        <v>2765</v>
      </c>
      <c r="S346" s="22" t="s">
        <v>5099</v>
      </c>
      <c r="T346" s="51">
        <v>33</v>
      </c>
      <c r="U346" s="3" t="s">
        <v>6381</v>
      </c>
      <c r="V346" s="41" t="str">
        <f>HYPERLINK("http://ictvonline.org/taxonomy/p/taxonomy-history?taxnode_id=20180013","ICTVonline=20180013")</f>
        <v>ICTVonline=20180013</v>
      </c>
    </row>
    <row r="347" spans="1:22">
      <c r="A347" s="3">
        <v>346</v>
      </c>
      <c r="F347" s="1" t="s">
        <v>6374</v>
      </c>
      <c r="G347" s="1" t="s">
        <v>6467</v>
      </c>
      <c r="H347" s="1" t="s">
        <v>6468</v>
      </c>
      <c r="J347" s="1" t="s">
        <v>4224</v>
      </c>
      <c r="L347" s="1" t="s">
        <v>4225</v>
      </c>
      <c r="N347" s="1" t="s">
        <v>552</v>
      </c>
      <c r="P347" s="1" t="s">
        <v>4263</v>
      </c>
      <c r="Q347" s="3">
        <v>0</v>
      </c>
      <c r="R347" s="22" t="s">
        <v>2765</v>
      </c>
      <c r="S347" s="22" t="s">
        <v>5099</v>
      </c>
      <c r="T347" s="51">
        <v>33</v>
      </c>
      <c r="U347" s="3" t="s">
        <v>6381</v>
      </c>
      <c r="V347" s="41" t="str">
        <f>HYPERLINK("http://ictvonline.org/taxonomy/p/taxonomy-history?taxnode_id=20180014","ICTVonline=20180014")</f>
        <v>ICTVonline=20180014</v>
      </c>
    </row>
    <row r="348" spans="1:22">
      <c r="A348" s="3">
        <v>347</v>
      </c>
      <c r="F348" s="1" t="s">
        <v>6374</v>
      </c>
      <c r="G348" s="1" t="s">
        <v>6467</v>
      </c>
      <c r="H348" s="1" t="s">
        <v>6468</v>
      </c>
      <c r="J348" s="1" t="s">
        <v>4224</v>
      </c>
      <c r="L348" s="1" t="s">
        <v>4225</v>
      </c>
      <c r="N348" s="1" t="s">
        <v>552</v>
      </c>
      <c r="P348" s="1" t="s">
        <v>4179</v>
      </c>
      <c r="Q348" s="3">
        <v>0</v>
      </c>
      <c r="R348" s="22" t="s">
        <v>2765</v>
      </c>
      <c r="S348" s="22" t="s">
        <v>5099</v>
      </c>
      <c r="T348" s="51">
        <v>33</v>
      </c>
      <c r="U348" s="3" t="s">
        <v>6381</v>
      </c>
      <c r="V348" s="41" t="str">
        <f>HYPERLINK("http://ictvonline.org/taxonomy/p/taxonomy-history?taxnode_id=20180015","ICTVonline=20180015")</f>
        <v>ICTVonline=20180015</v>
      </c>
    </row>
    <row r="349" spans="1:22">
      <c r="A349" s="3">
        <v>348</v>
      </c>
      <c r="F349" s="1" t="s">
        <v>6374</v>
      </c>
      <c r="G349" s="1" t="s">
        <v>6467</v>
      </c>
      <c r="H349" s="1" t="s">
        <v>6468</v>
      </c>
      <c r="J349" s="1" t="s">
        <v>4224</v>
      </c>
      <c r="L349" s="1" t="s">
        <v>4225</v>
      </c>
      <c r="N349" s="1" t="s">
        <v>552</v>
      </c>
      <c r="P349" s="1" t="s">
        <v>4264</v>
      </c>
      <c r="Q349" s="3">
        <v>0</v>
      </c>
      <c r="R349" s="22" t="s">
        <v>2765</v>
      </c>
      <c r="S349" s="22" t="s">
        <v>5099</v>
      </c>
      <c r="T349" s="51">
        <v>33</v>
      </c>
      <c r="U349" s="3" t="s">
        <v>6381</v>
      </c>
      <c r="V349" s="41" t="str">
        <f>HYPERLINK("http://ictvonline.org/taxonomy/p/taxonomy-history?taxnode_id=20180016","ICTVonline=20180016")</f>
        <v>ICTVonline=20180016</v>
      </c>
    </row>
    <row r="350" spans="1:22">
      <c r="A350" s="3">
        <v>349</v>
      </c>
      <c r="F350" s="1" t="s">
        <v>6374</v>
      </c>
      <c r="G350" s="1" t="s">
        <v>6467</v>
      </c>
      <c r="H350" s="1" t="s">
        <v>6468</v>
      </c>
      <c r="J350" s="1" t="s">
        <v>4224</v>
      </c>
      <c r="L350" s="1" t="s">
        <v>4225</v>
      </c>
      <c r="N350" s="1" t="s">
        <v>552</v>
      </c>
      <c r="P350" s="1" t="s">
        <v>4180</v>
      </c>
      <c r="Q350" s="3">
        <v>0</v>
      </c>
      <c r="R350" s="22" t="s">
        <v>2765</v>
      </c>
      <c r="S350" s="22" t="s">
        <v>5099</v>
      </c>
      <c r="T350" s="51">
        <v>33</v>
      </c>
      <c r="U350" s="3" t="s">
        <v>6381</v>
      </c>
      <c r="V350" s="41" t="str">
        <f>HYPERLINK("http://ictvonline.org/taxonomy/p/taxonomy-history?taxnode_id=20180017","ICTVonline=20180017")</f>
        <v>ICTVonline=20180017</v>
      </c>
    </row>
    <row r="351" spans="1:22">
      <c r="A351" s="3">
        <v>350</v>
      </c>
      <c r="F351" s="1" t="s">
        <v>6374</v>
      </c>
      <c r="G351" s="1" t="s">
        <v>6467</v>
      </c>
      <c r="H351" s="1" t="s">
        <v>6468</v>
      </c>
      <c r="J351" s="1" t="s">
        <v>4224</v>
      </c>
      <c r="L351" s="1" t="s">
        <v>4226</v>
      </c>
      <c r="N351" s="1" t="s">
        <v>6473</v>
      </c>
      <c r="P351" s="1" t="s">
        <v>6474</v>
      </c>
      <c r="Q351" s="3">
        <v>1</v>
      </c>
      <c r="R351" s="22" t="s">
        <v>2765</v>
      </c>
      <c r="S351" s="22" t="s">
        <v>5098</v>
      </c>
      <c r="T351" s="51">
        <v>33</v>
      </c>
      <c r="U351" s="3" t="s">
        <v>6472</v>
      </c>
      <c r="V351" s="41" t="str">
        <f>HYPERLINK("http://ictvonline.org/taxonomy/p/taxonomy-history?taxnode_id=20180044","ICTVonline=20180044")</f>
        <v>ICTVonline=20180044</v>
      </c>
    </row>
    <row r="352" spans="1:22">
      <c r="A352" s="3">
        <v>351</v>
      </c>
      <c r="F352" s="1" t="s">
        <v>6374</v>
      </c>
      <c r="G352" s="1" t="s">
        <v>6467</v>
      </c>
      <c r="H352" s="1" t="s">
        <v>6468</v>
      </c>
      <c r="J352" s="1" t="s">
        <v>4224</v>
      </c>
      <c r="L352" s="1" t="s">
        <v>4226</v>
      </c>
      <c r="N352" s="1" t="s">
        <v>6475</v>
      </c>
      <c r="P352" s="1" t="s">
        <v>6476</v>
      </c>
      <c r="Q352" s="3">
        <v>0</v>
      </c>
      <c r="R352" s="22" t="s">
        <v>2765</v>
      </c>
      <c r="S352" s="22" t="s">
        <v>5098</v>
      </c>
      <c r="T352" s="51">
        <v>33</v>
      </c>
      <c r="U352" s="3" t="s">
        <v>6472</v>
      </c>
      <c r="V352" s="41" t="str">
        <f>HYPERLINK("http://ictvonline.org/taxonomy/p/taxonomy-history?taxnode_id=20180043","ICTVonline=20180043")</f>
        <v>ICTVonline=20180043</v>
      </c>
    </row>
    <row r="353" spans="1:22">
      <c r="A353" s="3">
        <v>352</v>
      </c>
      <c r="F353" s="1" t="s">
        <v>6374</v>
      </c>
      <c r="G353" s="1" t="s">
        <v>6467</v>
      </c>
      <c r="H353" s="1" t="s">
        <v>6468</v>
      </c>
      <c r="J353" s="1" t="s">
        <v>4224</v>
      </c>
      <c r="L353" s="1" t="s">
        <v>4226</v>
      </c>
      <c r="N353" s="1" t="s">
        <v>6475</v>
      </c>
      <c r="P353" s="1" t="s">
        <v>6477</v>
      </c>
      <c r="Q353" s="3">
        <v>1</v>
      </c>
      <c r="R353" s="22" t="s">
        <v>2765</v>
      </c>
      <c r="S353" s="22" t="s">
        <v>5098</v>
      </c>
      <c r="T353" s="51">
        <v>33</v>
      </c>
      <c r="U353" s="3" t="s">
        <v>6472</v>
      </c>
      <c r="V353" s="41" t="str">
        <f>HYPERLINK("http://ictvonline.org/taxonomy/p/taxonomy-history?taxnode_id=20180049","ICTVonline=20180049")</f>
        <v>ICTVonline=20180049</v>
      </c>
    </row>
    <row r="354" spans="1:22">
      <c r="A354" s="3">
        <v>353</v>
      </c>
      <c r="F354" s="1" t="s">
        <v>6374</v>
      </c>
      <c r="G354" s="1" t="s">
        <v>6467</v>
      </c>
      <c r="H354" s="1" t="s">
        <v>6468</v>
      </c>
      <c r="J354" s="1" t="s">
        <v>4224</v>
      </c>
      <c r="L354" s="1" t="s">
        <v>4226</v>
      </c>
      <c r="N354" s="1" t="s">
        <v>6475</v>
      </c>
      <c r="P354" s="1" t="s">
        <v>6478</v>
      </c>
      <c r="Q354" s="3">
        <v>0</v>
      </c>
      <c r="R354" s="22" t="s">
        <v>2765</v>
      </c>
      <c r="S354" s="22" t="s">
        <v>5098</v>
      </c>
      <c r="T354" s="51">
        <v>33</v>
      </c>
      <c r="U354" s="3" t="s">
        <v>6472</v>
      </c>
      <c r="V354" s="41" t="str">
        <f>HYPERLINK("http://ictvonline.org/taxonomy/p/taxonomy-history?taxnode_id=20180053","ICTVonline=20180053")</f>
        <v>ICTVonline=20180053</v>
      </c>
    </row>
    <row r="355" spans="1:22">
      <c r="A355" s="3">
        <v>354</v>
      </c>
      <c r="F355" s="1" t="s">
        <v>6374</v>
      </c>
      <c r="G355" s="1" t="s">
        <v>6467</v>
      </c>
      <c r="H355" s="1" t="s">
        <v>6468</v>
      </c>
      <c r="J355" s="1" t="s">
        <v>4224</v>
      </c>
      <c r="L355" s="1" t="s">
        <v>4226</v>
      </c>
      <c r="N355" s="1" t="s">
        <v>4227</v>
      </c>
      <c r="P355" s="1" t="s">
        <v>4265</v>
      </c>
      <c r="Q355" s="3">
        <v>0</v>
      </c>
      <c r="R355" s="22" t="s">
        <v>2765</v>
      </c>
      <c r="S355" s="22" t="s">
        <v>5099</v>
      </c>
      <c r="T355" s="51">
        <v>33</v>
      </c>
      <c r="U355" s="3" t="s">
        <v>6381</v>
      </c>
      <c r="V355" s="41" t="str">
        <f>HYPERLINK("http://ictvonline.org/taxonomy/p/taxonomy-history?taxnode_id=20180021","ICTVonline=20180021")</f>
        <v>ICTVonline=20180021</v>
      </c>
    </row>
    <row r="356" spans="1:22">
      <c r="A356" s="3">
        <v>355</v>
      </c>
      <c r="F356" s="1" t="s">
        <v>6374</v>
      </c>
      <c r="G356" s="1" t="s">
        <v>6467</v>
      </c>
      <c r="H356" s="1" t="s">
        <v>6468</v>
      </c>
      <c r="J356" s="1" t="s">
        <v>4224</v>
      </c>
      <c r="L356" s="1" t="s">
        <v>4226</v>
      </c>
      <c r="N356" s="1" t="s">
        <v>4227</v>
      </c>
      <c r="P356" s="1" t="s">
        <v>4181</v>
      </c>
      <c r="Q356" s="3">
        <v>0</v>
      </c>
      <c r="R356" s="22" t="s">
        <v>2765</v>
      </c>
      <c r="S356" s="22" t="s">
        <v>5099</v>
      </c>
      <c r="T356" s="51">
        <v>33</v>
      </c>
      <c r="U356" s="3" t="s">
        <v>6381</v>
      </c>
      <c r="V356" s="41" t="str">
        <f>HYPERLINK("http://ictvonline.org/taxonomy/p/taxonomy-history?taxnode_id=20180022","ICTVonline=20180022")</f>
        <v>ICTVonline=20180022</v>
      </c>
    </row>
    <row r="357" spans="1:22">
      <c r="A357" s="3">
        <v>356</v>
      </c>
      <c r="F357" s="1" t="s">
        <v>6374</v>
      </c>
      <c r="G357" s="1" t="s">
        <v>6467</v>
      </c>
      <c r="H357" s="1" t="s">
        <v>6468</v>
      </c>
      <c r="J357" s="1" t="s">
        <v>4224</v>
      </c>
      <c r="L357" s="1" t="s">
        <v>4226</v>
      </c>
      <c r="N357" s="1" t="s">
        <v>4227</v>
      </c>
      <c r="P357" s="1" t="s">
        <v>4266</v>
      </c>
      <c r="Q357" s="3">
        <v>0</v>
      </c>
      <c r="R357" s="22" t="s">
        <v>2765</v>
      </c>
      <c r="S357" s="22" t="s">
        <v>5099</v>
      </c>
      <c r="T357" s="51">
        <v>33</v>
      </c>
      <c r="U357" s="3" t="s">
        <v>6381</v>
      </c>
      <c r="V357" s="41" t="str">
        <f>HYPERLINK("http://ictvonline.org/taxonomy/p/taxonomy-history?taxnode_id=20180023","ICTVonline=20180023")</f>
        <v>ICTVonline=20180023</v>
      </c>
    </row>
    <row r="358" spans="1:22">
      <c r="A358" s="3">
        <v>357</v>
      </c>
      <c r="F358" s="1" t="s">
        <v>6374</v>
      </c>
      <c r="G358" s="1" t="s">
        <v>6467</v>
      </c>
      <c r="H358" s="1" t="s">
        <v>6468</v>
      </c>
      <c r="J358" s="1" t="s">
        <v>4224</v>
      </c>
      <c r="L358" s="1" t="s">
        <v>4226</v>
      </c>
      <c r="N358" s="1" t="s">
        <v>4227</v>
      </c>
      <c r="P358" s="1" t="s">
        <v>4267</v>
      </c>
      <c r="Q358" s="3">
        <v>0</v>
      </c>
      <c r="R358" s="22" t="s">
        <v>2765</v>
      </c>
      <c r="S358" s="22" t="s">
        <v>5099</v>
      </c>
      <c r="T358" s="51">
        <v>33</v>
      </c>
      <c r="U358" s="3" t="s">
        <v>6381</v>
      </c>
      <c r="V358" s="41" t="str">
        <f>HYPERLINK("http://ictvonline.org/taxonomy/p/taxonomy-history?taxnode_id=20180024","ICTVonline=20180024")</f>
        <v>ICTVonline=20180024</v>
      </c>
    </row>
    <row r="359" spans="1:22">
      <c r="A359" s="3">
        <v>358</v>
      </c>
      <c r="F359" s="1" t="s">
        <v>6374</v>
      </c>
      <c r="G359" s="1" t="s">
        <v>6467</v>
      </c>
      <c r="H359" s="1" t="s">
        <v>6468</v>
      </c>
      <c r="J359" s="1" t="s">
        <v>4224</v>
      </c>
      <c r="L359" s="1" t="s">
        <v>4226</v>
      </c>
      <c r="N359" s="1" t="s">
        <v>4227</v>
      </c>
      <c r="P359" s="1" t="s">
        <v>4182</v>
      </c>
      <c r="Q359" s="3">
        <v>0</v>
      </c>
      <c r="R359" s="22" t="s">
        <v>2765</v>
      </c>
      <c r="S359" s="22" t="s">
        <v>5099</v>
      </c>
      <c r="T359" s="51">
        <v>33</v>
      </c>
      <c r="U359" s="3" t="s">
        <v>6381</v>
      </c>
      <c r="V359" s="41" t="str">
        <f>HYPERLINK("http://ictvonline.org/taxonomy/p/taxonomy-history?taxnode_id=20180025","ICTVonline=20180025")</f>
        <v>ICTVonline=20180025</v>
      </c>
    </row>
    <row r="360" spans="1:22">
      <c r="A360" s="3">
        <v>359</v>
      </c>
      <c r="F360" s="1" t="s">
        <v>6374</v>
      </c>
      <c r="G360" s="1" t="s">
        <v>6467</v>
      </c>
      <c r="H360" s="1" t="s">
        <v>6468</v>
      </c>
      <c r="J360" s="1" t="s">
        <v>4224</v>
      </c>
      <c r="L360" s="1" t="s">
        <v>4226</v>
      </c>
      <c r="N360" s="1" t="s">
        <v>4227</v>
      </c>
      <c r="P360" s="1" t="s">
        <v>4183</v>
      </c>
      <c r="Q360" s="3">
        <v>0</v>
      </c>
      <c r="R360" s="22" t="s">
        <v>2765</v>
      </c>
      <c r="S360" s="22" t="s">
        <v>5099</v>
      </c>
      <c r="T360" s="51">
        <v>33</v>
      </c>
      <c r="U360" s="3" t="s">
        <v>6381</v>
      </c>
      <c r="V360" s="41" t="str">
        <f>HYPERLINK("http://ictvonline.org/taxonomy/p/taxonomy-history?taxnode_id=20180026","ICTVonline=20180026")</f>
        <v>ICTVonline=20180026</v>
      </c>
    </row>
    <row r="361" spans="1:22">
      <c r="A361" s="3">
        <v>360</v>
      </c>
      <c r="F361" s="1" t="s">
        <v>6374</v>
      </c>
      <c r="G361" s="1" t="s">
        <v>6467</v>
      </c>
      <c r="H361" s="1" t="s">
        <v>6468</v>
      </c>
      <c r="J361" s="1" t="s">
        <v>4224</v>
      </c>
      <c r="L361" s="1" t="s">
        <v>4226</v>
      </c>
      <c r="N361" s="1" t="s">
        <v>4227</v>
      </c>
      <c r="P361" s="1" t="s">
        <v>4268</v>
      </c>
      <c r="Q361" s="3">
        <v>0</v>
      </c>
      <c r="R361" s="22" t="s">
        <v>2765</v>
      </c>
      <c r="S361" s="22" t="s">
        <v>5099</v>
      </c>
      <c r="T361" s="51">
        <v>33</v>
      </c>
      <c r="U361" s="3" t="s">
        <v>6381</v>
      </c>
      <c r="V361" s="41" t="str">
        <f>HYPERLINK("http://ictvonline.org/taxonomy/p/taxonomy-history?taxnode_id=20180027","ICTVonline=20180027")</f>
        <v>ICTVonline=20180027</v>
      </c>
    </row>
    <row r="362" spans="1:22">
      <c r="A362" s="3">
        <v>361</v>
      </c>
      <c r="F362" s="1" t="s">
        <v>6374</v>
      </c>
      <c r="G362" s="1" t="s">
        <v>6467</v>
      </c>
      <c r="H362" s="1" t="s">
        <v>6468</v>
      </c>
      <c r="J362" s="1" t="s">
        <v>4224</v>
      </c>
      <c r="L362" s="1" t="s">
        <v>4226</v>
      </c>
      <c r="N362" s="1" t="s">
        <v>4227</v>
      </c>
      <c r="P362" s="1" t="s">
        <v>4269</v>
      </c>
      <c r="Q362" s="3">
        <v>0</v>
      </c>
      <c r="R362" s="22" t="s">
        <v>2765</v>
      </c>
      <c r="S362" s="22" t="s">
        <v>5099</v>
      </c>
      <c r="T362" s="51">
        <v>33</v>
      </c>
      <c r="U362" s="3" t="s">
        <v>6381</v>
      </c>
      <c r="V362" s="41" t="str">
        <f>HYPERLINK("http://ictvonline.org/taxonomy/p/taxonomy-history?taxnode_id=20180028","ICTVonline=20180028")</f>
        <v>ICTVonline=20180028</v>
      </c>
    </row>
    <row r="363" spans="1:22">
      <c r="A363" s="3">
        <v>362</v>
      </c>
      <c r="F363" s="1" t="s">
        <v>6374</v>
      </c>
      <c r="G363" s="1" t="s">
        <v>6467</v>
      </c>
      <c r="H363" s="1" t="s">
        <v>6468</v>
      </c>
      <c r="J363" s="1" t="s">
        <v>4224</v>
      </c>
      <c r="L363" s="1" t="s">
        <v>4226</v>
      </c>
      <c r="N363" s="1" t="s">
        <v>4227</v>
      </c>
      <c r="P363" s="1" t="s">
        <v>4184</v>
      </c>
      <c r="Q363" s="3">
        <v>0</v>
      </c>
      <c r="R363" s="22" t="s">
        <v>2765</v>
      </c>
      <c r="S363" s="22" t="s">
        <v>5099</v>
      </c>
      <c r="T363" s="51">
        <v>33</v>
      </c>
      <c r="U363" s="3" t="s">
        <v>6381</v>
      </c>
      <c r="V363" s="41" t="str">
        <f>HYPERLINK("http://ictvonline.org/taxonomy/p/taxonomy-history?taxnode_id=20180029","ICTVonline=20180029")</f>
        <v>ICTVonline=20180029</v>
      </c>
    </row>
    <row r="364" spans="1:22">
      <c r="A364" s="3">
        <v>363</v>
      </c>
      <c r="F364" s="1" t="s">
        <v>6374</v>
      </c>
      <c r="G364" s="1" t="s">
        <v>6467</v>
      </c>
      <c r="H364" s="1" t="s">
        <v>6468</v>
      </c>
      <c r="J364" s="1" t="s">
        <v>4224</v>
      </c>
      <c r="L364" s="1" t="s">
        <v>4226</v>
      </c>
      <c r="N364" s="1" t="s">
        <v>4227</v>
      </c>
      <c r="P364" s="1" t="s">
        <v>4270</v>
      </c>
      <c r="Q364" s="3">
        <v>0</v>
      </c>
      <c r="R364" s="22" t="s">
        <v>2765</v>
      </c>
      <c r="S364" s="22" t="s">
        <v>5099</v>
      </c>
      <c r="T364" s="51">
        <v>33</v>
      </c>
      <c r="U364" s="3" t="s">
        <v>6381</v>
      </c>
      <c r="V364" s="41" t="str">
        <f>HYPERLINK("http://ictvonline.org/taxonomy/p/taxonomy-history?taxnode_id=20180030","ICTVonline=20180030")</f>
        <v>ICTVonline=20180030</v>
      </c>
    </row>
    <row r="365" spans="1:22">
      <c r="A365" s="3">
        <v>364</v>
      </c>
      <c r="F365" s="1" t="s">
        <v>6374</v>
      </c>
      <c r="G365" s="1" t="s">
        <v>6467</v>
      </c>
      <c r="H365" s="1" t="s">
        <v>6468</v>
      </c>
      <c r="J365" s="1" t="s">
        <v>4224</v>
      </c>
      <c r="L365" s="1" t="s">
        <v>4226</v>
      </c>
      <c r="N365" s="1" t="s">
        <v>4227</v>
      </c>
      <c r="P365" s="1" t="s">
        <v>4271</v>
      </c>
      <c r="Q365" s="3">
        <v>0</v>
      </c>
      <c r="R365" s="22" t="s">
        <v>2765</v>
      </c>
      <c r="S365" s="22" t="s">
        <v>5099</v>
      </c>
      <c r="T365" s="51">
        <v>33</v>
      </c>
      <c r="U365" s="3" t="s">
        <v>6381</v>
      </c>
      <c r="V365" s="41" t="str">
        <f>HYPERLINK("http://ictvonline.org/taxonomy/p/taxonomy-history?taxnode_id=20180031","ICTVonline=20180031")</f>
        <v>ICTVonline=20180031</v>
      </c>
    </row>
    <row r="366" spans="1:22">
      <c r="A366" s="3">
        <v>365</v>
      </c>
      <c r="F366" s="1" t="s">
        <v>6374</v>
      </c>
      <c r="G366" s="1" t="s">
        <v>6467</v>
      </c>
      <c r="H366" s="1" t="s">
        <v>6468</v>
      </c>
      <c r="J366" s="1" t="s">
        <v>4224</v>
      </c>
      <c r="L366" s="1" t="s">
        <v>4226</v>
      </c>
      <c r="N366" s="1" t="s">
        <v>4227</v>
      </c>
      <c r="P366" s="1" t="s">
        <v>4272</v>
      </c>
      <c r="Q366" s="3">
        <v>0</v>
      </c>
      <c r="R366" s="22" t="s">
        <v>2765</v>
      </c>
      <c r="S366" s="22" t="s">
        <v>5099</v>
      </c>
      <c r="T366" s="51">
        <v>33</v>
      </c>
      <c r="U366" s="3" t="s">
        <v>6381</v>
      </c>
      <c r="V366" s="41" t="str">
        <f>HYPERLINK("http://ictvonline.org/taxonomy/p/taxonomy-history?taxnode_id=20180032","ICTVonline=20180032")</f>
        <v>ICTVonline=20180032</v>
      </c>
    </row>
    <row r="367" spans="1:22">
      <c r="A367" s="3">
        <v>366</v>
      </c>
      <c r="F367" s="1" t="s">
        <v>6374</v>
      </c>
      <c r="G367" s="1" t="s">
        <v>6467</v>
      </c>
      <c r="H367" s="1" t="s">
        <v>6468</v>
      </c>
      <c r="J367" s="1" t="s">
        <v>4224</v>
      </c>
      <c r="L367" s="1" t="s">
        <v>4226</v>
      </c>
      <c r="N367" s="1" t="s">
        <v>4227</v>
      </c>
      <c r="P367" s="1" t="s">
        <v>4185</v>
      </c>
      <c r="Q367" s="3">
        <v>0</v>
      </c>
      <c r="R367" s="22" t="s">
        <v>2765</v>
      </c>
      <c r="S367" s="22" t="s">
        <v>5099</v>
      </c>
      <c r="T367" s="51">
        <v>33</v>
      </c>
      <c r="U367" s="3" t="s">
        <v>6381</v>
      </c>
      <c r="V367" s="41" t="str">
        <f>HYPERLINK("http://ictvonline.org/taxonomy/p/taxonomy-history?taxnode_id=20180033","ICTVonline=20180033")</f>
        <v>ICTVonline=20180033</v>
      </c>
    </row>
    <row r="368" spans="1:22">
      <c r="A368" s="3">
        <v>367</v>
      </c>
      <c r="F368" s="1" t="s">
        <v>6374</v>
      </c>
      <c r="G368" s="1" t="s">
        <v>6467</v>
      </c>
      <c r="H368" s="1" t="s">
        <v>6468</v>
      </c>
      <c r="J368" s="1" t="s">
        <v>4224</v>
      </c>
      <c r="L368" s="1" t="s">
        <v>4226</v>
      </c>
      <c r="N368" s="1" t="s">
        <v>4227</v>
      </c>
      <c r="P368" s="1" t="s">
        <v>4186</v>
      </c>
      <c r="Q368" s="3">
        <v>0</v>
      </c>
      <c r="R368" s="22" t="s">
        <v>2765</v>
      </c>
      <c r="S368" s="22" t="s">
        <v>5099</v>
      </c>
      <c r="T368" s="51">
        <v>33</v>
      </c>
      <c r="U368" s="3" t="s">
        <v>6381</v>
      </c>
      <c r="V368" s="41" t="str">
        <f>HYPERLINK("http://ictvonline.org/taxonomy/p/taxonomy-history?taxnode_id=20180034","ICTVonline=20180034")</f>
        <v>ICTVonline=20180034</v>
      </c>
    </row>
    <row r="369" spans="1:22">
      <c r="A369" s="3">
        <v>368</v>
      </c>
      <c r="F369" s="1" t="s">
        <v>6374</v>
      </c>
      <c r="G369" s="1" t="s">
        <v>6467</v>
      </c>
      <c r="H369" s="1" t="s">
        <v>6468</v>
      </c>
      <c r="J369" s="1" t="s">
        <v>4224</v>
      </c>
      <c r="L369" s="1" t="s">
        <v>4226</v>
      </c>
      <c r="N369" s="1" t="s">
        <v>4227</v>
      </c>
      <c r="P369" s="1" t="s">
        <v>4273</v>
      </c>
      <c r="Q369" s="3">
        <v>0</v>
      </c>
      <c r="R369" s="22" t="s">
        <v>2765</v>
      </c>
      <c r="S369" s="22" t="s">
        <v>5099</v>
      </c>
      <c r="T369" s="51">
        <v>33</v>
      </c>
      <c r="U369" s="3" t="s">
        <v>6381</v>
      </c>
      <c r="V369" s="41" t="str">
        <f>HYPERLINK("http://ictvonline.org/taxonomy/p/taxonomy-history?taxnode_id=20180035","ICTVonline=20180035")</f>
        <v>ICTVonline=20180035</v>
      </c>
    </row>
    <row r="370" spans="1:22">
      <c r="A370" s="3">
        <v>369</v>
      </c>
      <c r="F370" s="1" t="s">
        <v>6374</v>
      </c>
      <c r="G370" s="1" t="s">
        <v>6467</v>
      </c>
      <c r="H370" s="1" t="s">
        <v>6468</v>
      </c>
      <c r="J370" s="1" t="s">
        <v>4224</v>
      </c>
      <c r="L370" s="1" t="s">
        <v>4226</v>
      </c>
      <c r="N370" s="1" t="s">
        <v>4227</v>
      </c>
      <c r="P370" s="1" t="s">
        <v>4274</v>
      </c>
      <c r="Q370" s="3">
        <v>0</v>
      </c>
      <c r="R370" s="22" t="s">
        <v>2765</v>
      </c>
      <c r="S370" s="22" t="s">
        <v>5099</v>
      </c>
      <c r="T370" s="51">
        <v>33</v>
      </c>
      <c r="U370" s="3" t="s">
        <v>6381</v>
      </c>
      <c r="V370" s="41" t="str">
        <f>HYPERLINK("http://ictvonline.org/taxonomy/p/taxonomy-history?taxnode_id=20180036","ICTVonline=20180036")</f>
        <v>ICTVonline=20180036</v>
      </c>
    </row>
    <row r="371" spans="1:22">
      <c r="A371" s="3">
        <v>370</v>
      </c>
      <c r="F371" s="1" t="s">
        <v>6374</v>
      </c>
      <c r="G371" s="1" t="s">
        <v>6467</v>
      </c>
      <c r="H371" s="1" t="s">
        <v>6468</v>
      </c>
      <c r="J371" s="1" t="s">
        <v>4224</v>
      </c>
      <c r="L371" s="1" t="s">
        <v>4226</v>
      </c>
      <c r="N371" s="1" t="s">
        <v>4227</v>
      </c>
      <c r="P371" s="1" t="s">
        <v>4187</v>
      </c>
      <c r="Q371" s="3">
        <v>1</v>
      </c>
      <c r="R371" s="22" t="s">
        <v>2765</v>
      </c>
      <c r="S371" s="22" t="s">
        <v>5099</v>
      </c>
      <c r="T371" s="51">
        <v>33</v>
      </c>
      <c r="U371" s="3" t="s">
        <v>6381</v>
      </c>
      <c r="V371" s="41" t="str">
        <f>HYPERLINK("http://ictvonline.org/taxonomy/p/taxonomy-history?taxnode_id=20180037","ICTVonline=20180037")</f>
        <v>ICTVonline=20180037</v>
      </c>
    </row>
    <row r="372" spans="1:22">
      <c r="A372" s="3">
        <v>371</v>
      </c>
      <c r="F372" s="1" t="s">
        <v>6374</v>
      </c>
      <c r="G372" s="1" t="s">
        <v>6467</v>
      </c>
      <c r="H372" s="1" t="s">
        <v>6468</v>
      </c>
      <c r="J372" s="1" t="s">
        <v>4224</v>
      </c>
      <c r="L372" s="1" t="s">
        <v>4226</v>
      </c>
      <c r="N372" s="1" t="s">
        <v>4227</v>
      </c>
      <c r="P372" s="1" t="s">
        <v>4275</v>
      </c>
      <c r="Q372" s="3">
        <v>0</v>
      </c>
      <c r="R372" s="22" t="s">
        <v>2765</v>
      </c>
      <c r="S372" s="22" t="s">
        <v>5099</v>
      </c>
      <c r="T372" s="51">
        <v>33</v>
      </c>
      <c r="U372" s="3" t="s">
        <v>6381</v>
      </c>
      <c r="V372" s="41" t="str">
        <f>HYPERLINK("http://ictvonline.org/taxonomy/p/taxonomy-history?taxnode_id=20180039","ICTVonline=20180039")</f>
        <v>ICTVonline=20180039</v>
      </c>
    </row>
    <row r="373" spans="1:22">
      <c r="A373" s="3">
        <v>372</v>
      </c>
      <c r="F373" s="1" t="s">
        <v>6374</v>
      </c>
      <c r="G373" s="1" t="s">
        <v>6467</v>
      </c>
      <c r="H373" s="1" t="s">
        <v>6468</v>
      </c>
      <c r="J373" s="1" t="s">
        <v>4224</v>
      </c>
      <c r="L373" s="1" t="s">
        <v>4226</v>
      </c>
      <c r="N373" s="1" t="s">
        <v>4227</v>
      </c>
      <c r="P373" s="1" t="s">
        <v>4276</v>
      </c>
      <c r="Q373" s="3">
        <v>0</v>
      </c>
      <c r="R373" s="22" t="s">
        <v>2765</v>
      </c>
      <c r="S373" s="22" t="s">
        <v>5099</v>
      </c>
      <c r="T373" s="51">
        <v>33</v>
      </c>
      <c r="U373" s="3" t="s">
        <v>6381</v>
      </c>
      <c r="V373" s="41" t="str">
        <f>HYPERLINK("http://ictvonline.org/taxonomy/p/taxonomy-history?taxnode_id=20180040","ICTVonline=20180040")</f>
        <v>ICTVonline=20180040</v>
      </c>
    </row>
    <row r="374" spans="1:22">
      <c r="A374" s="3">
        <v>373</v>
      </c>
      <c r="F374" s="1" t="s">
        <v>6374</v>
      </c>
      <c r="G374" s="1" t="s">
        <v>6467</v>
      </c>
      <c r="H374" s="1" t="s">
        <v>6468</v>
      </c>
      <c r="J374" s="1" t="s">
        <v>4224</v>
      </c>
      <c r="L374" s="1" t="s">
        <v>4226</v>
      </c>
      <c r="N374" s="1" t="s">
        <v>4227</v>
      </c>
      <c r="P374" s="1" t="s">
        <v>4188</v>
      </c>
      <c r="Q374" s="3">
        <v>0</v>
      </c>
      <c r="R374" s="22" t="s">
        <v>2765</v>
      </c>
      <c r="S374" s="22" t="s">
        <v>5099</v>
      </c>
      <c r="T374" s="51">
        <v>33</v>
      </c>
      <c r="U374" s="3" t="s">
        <v>6381</v>
      </c>
      <c r="V374" s="41" t="str">
        <f>HYPERLINK("http://ictvonline.org/taxonomy/p/taxonomy-history?taxnode_id=20180041","ICTVonline=20180041")</f>
        <v>ICTVonline=20180041</v>
      </c>
    </row>
    <row r="375" spans="1:22">
      <c r="A375" s="3">
        <v>374</v>
      </c>
      <c r="F375" s="1" t="s">
        <v>6374</v>
      </c>
      <c r="G375" s="1" t="s">
        <v>6467</v>
      </c>
      <c r="H375" s="1" t="s">
        <v>6468</v>
      </c>
      <c r="J375" s="1" t="s">
        <v>4224</v>
      </c>
      <c r="L375" s="1" t="s">
        <v>4226</v>
      </c>
      <c r="N375" s="1" t="s">
        <v>4227</v>
      </c>
      <c r="P375" s="1" t="s">
        <v>4189</v>
      </c>
      <c r="Q375" s="3">
        <v>0</v>
      </c>
      <c r="R375" s="22" t="s">
        <v>2765</v>
      </c>
      <c r="S375" s="22" t="s">
        <v>5099</v>
      </c>
      <c r="T375" s="51">
        <v>33</v>
      </c>
      <c r="U375" s="3" t="s">
        <v>6381</v>
      </c>
      <c r="V375" s="41" t="str">
        <f>HYPERLINK("http://ictvonline.org/taxonomy/p/taxonomy-history?taxnode_id=20180042","ICTVonline=20180042")</f>
        <v>ICTVonline=20180042</v>
      </c>
    </row>
    <row r="376" spans="1:22">
      <c r="A376" s="3">
        <v>375</v>
      </c>
      <c r="F376" s="1" t="s">
        <v>6374</v>
      </c>
      <c r="G376" s="1" t="s">
        <v>6467</v>
      </c>
      <c r="H376" s="1" t="s">
        <v>6468</v>
      </c>
      <c r="J376" s="1" t="s">
        <v>4224</v>
      </c>
      <c r="L376" s="1" t="s">
        <v>4226</v>
      </c>
      <c r="N376" s="1" t="s">
        <v>4227</v>
      </c>
      <c r="P376" s="1" t="s">
        <v>4277</v>
      </c>
      <c r="Q376" s="3">
        <v>0</v>
      </c>
      <c r="R376" s="22" t="s">
        <v>2765</v>
      </c>
      <c r="S376" s="22" t="s">
        <v>5099</v>
      </c>
      <c r="T376" s="51">
        <v>33</v>
      </c>
      <c r="U376" s="3" t="s">
        <v>6381</v>
      </c>
      <c r="V376" s="41" t="str">
        <f>HYPERLINK("http://ictvonline.org/taxonomy/p/taxonomy-history?taxnode_id=20180045","ICTVonline=20180045")</f>
        <v>ICTVonline=20180045</v>
      </c>
    </row>
    <row r="377" spans="1:22">
      <c r="A377" s="3">
        <v>376</v>
      </c>
      <c r="F377" s="1" t="s">
        <v>6374</v>
      </c>
      <c r="G377" s="1" t="s">
        <v>6467</v>
      </c>
      <c r="H377" s="1" t="s">
        <v>6468</v>
      </c>
      <c r="J377" s="1" t="s">
        <v>4224</v>
      </c>
      <c r="L377" s="1" t="s">
        <v>4226</v>
      </c>
      <c r="N377" s="1" t="s">
        <v>4227</v>
      </c>
      <c r="P377" s="1" t="s">
        <v>4278</v>
      </c>
      <c r="Q377" s="3">
        <v>0</v>
      </c>
      <c r="R377" s="22" t="s">
        <v>2765</v>
      </c>
      <c r="S377" s="22" t="s">
        <v>5099</v>
      </c>
      <c r="T377" s="51">
        <v>33</v>
      </c>
      <c r="U377" s="3" t="s">
        <v>6381</v>
      </c>
      <c r="V377" s="41" t="str">
        <f>HYPERLINK("http://ictvonline.org/taxonomy/p/taxonomy-history?taxnode_id=20180046","ICTVonline=20180046")</f>
        <v>ICTVonline=20180046</v>
      </c>
    </row>
    <row r="378" spans="1:22">
      <c r="A378" s="3">
        <v>377</v>
      </c>
      <c r="F378" s="1" t="s">
        <v>6374</v>
      </c>
      <c r="G378" s="1" t="s">
        <v>6467</v>
      </c>
      <c r="H378" s="1" t="s">
        <v>6468</v>
      </c>
      <c r="J378" s="1" t="s">
        <v>4224</v>
      </c>
      <c r="L378" s="1" t="s">
        <v>4226</v>
      </c>
      <c r="N378" s="1" t="s">
        <v>4227</v>
      </c>
      <c r="P378" s="1" t="s">
        <v>4279</v>
      </c>
      <c r="Q378" s="3">
        <v>0</v>
      </c>
      <c r="R378" s="22" t="s">
        <v>2765</v>
      </c>
      <c r="S378" s="22" t="s">
        <v>5099</v>
      </c>
      <c r="T378" s="51">
        <v>33</v>
      </c>
      <c r="U378" s="3" t="s">
        <v>6381</v>
      </c>
      <c r="V378" s="41" t="str">
        <f>HYPERLINK("http://ictvonline.org/taxonomy/p/taxonomy-history?taxnode_id=20180047","ICTVonline=20180047")</f>
        <v>ICTVonline=20180047</v>
      </c>
    </row>
    <row r="379" spans="1:22">
      <c r="A379" s="3">
        <v>378</v>
      </c>
      <c r="F379" s="1" t="s">
        <v>6374</v>
      </c>
      <c r="G379" s="1" t="s">
        <v>6467</v>
      </c>
      <c r="H379" s="1" t="s">
        <v>6468</v>
      </c>
      <c r="J379" s="1" t="s">
        <v>4224</v>
      </c>
      <c r="L379" s="1" t="s">
        <v>4226</v>
      </c>
      <c r="N379" s="1" t="s">
        <v>4227</v>
      </c>
      <c r="P379" s="1" t="s">
        <v>4280</v>
      </c>
      <c r="Q379" s="3">
        <v>0</v>
      </c>
      <c r="R379" s="22" t="s">
        <v>2765</v>
      </c>
      <c r="S379" s="22" t="s">
        <v>5099</v>
      </c>
      <c r="T379" s="51">
        <v>33</v>
      </c>
      <c r="U379" s="3" t="s">
        <v>6381</v>
      </c>
      <c r="V379" s="41" t="str">
        <f>HYPERLINK("http://ictvonline.org/taxonomy/p/taxonomy-history?taxnode_id=20180048","ICTVonline=20180048")</f>
        <v>ICTVonline=20180048</v>
      </c>
    </row>
    <row r="380" spans="1:22">
      <c r="A380" s="3">
        <v>379</v>
      </c>
      <c r="F380" s="1" t="s">
        <v>6374</v>
      </c>
      <c r="G380" s="1" t="s">
        <v>6467</v>
      </c>
      <c r="H380" s="1" t="s">
        <v>6468</v>
      </c>
      <c r="J380" s="1" t="s">
        <v>4224</v>
      </c>
      <c r="L380" s="1" t="s">
        <v>4226</v>
      </c>
      <c r="N380" s="1" t="s">
        <v>4227</v>
      </c>
      <c r="P380" s="1" t="s">
        <v>4281</v>
      </c>
      <c r="Q380" s="3">
        <v>0</v>
      </c>
      <c r="R380" s="22" t="s">
        <v>2765</v>
      </c>
      <c r="S380" s="22" t="s">
        <v>5099</v>
      </c>
      <c r="T380" s="51">
        <v>33</v>
      </c>
      <c r="U380" s="3" t="s">
        <v>6381</v>
      </c>
      <c r="V380" s="41" t="str">
        <f>HYPERLINK("http://ictvonline.org/taxonomy/p/taxonomy-history?taxnode_id=20180050","ICTVonline=20180050")</f>
        <v>ICTVonline=20180050</v>
      </c>
    </row>
    <row r="381" spans="1:22">
      <c r="A381" s="3">
        <v>380</v>
      </c>
      <c r="F381" s="1" t="s">
        <v>6374</v>
      </c>
      <c r="G381" s="1" t="s">
        <v>6467</v>
      </c>
      <c r="H381" s="1" t="s">
        <v>6468</v>
      </c>
      <c r="J381" s="1" t="s">
        <v>4224</v>
      </c>
      <c r="L381" s="1" t="s">
        <v>4226</v>
      </c>
      <c r="N381" s="1" t="s">
        <v>4227</v>
      </c>
      <c r="P381" s="1" t="s">
        <v>4190</v>
      </c>
      <c r="Q381" s="3">
        <v>0</v>
      </c>
      <c r="R381" s="22" t="s">
        <v>2765</v>
      </c>
      <c r="S381" s="22" t="s">
        <v>5099</v>
      </c>
      <c r="T381" s="51">
        <v>33</v>
      </c>
      <c r="U381" s="3" t="s">
        <v>6381</v>
      </c>
      <c r="V381" s="41" t="str">
        <f>HYPERLINK("http://ictvonline.org/taxonomy/p/taxonomy-history?taxnode_id=20180051","ICTVonline=20180051")</f>
        <v>ICTVonline=20180051</v>
      </c>
    </row>
    <row r="382" spans="1:22">
      <c r="A382" s="3">
        <v>381</v>
      </c>
      <c r="F382" s="1" t="s">
        <v>6374</v>
      </c>
      <c r="G382" s="1" t="s">
        <v>6467</v>
      </c>
      <c r="H382" s="1" t="s">
        <v>6468</v>
      </c>
      <c r="J382" s="1" t="s">
        <v>4224</v>
      </c>
      <c r="L382" s="1" t="s">
        <v>4226</v>
      </c>
      <c r="N382" s="1" t="s">
        <v>4227</v>
      </c>
      <c r="P382" s="1" t="s">
        <v>4191</v>
      </c>
      <c r="Q382" s="3">
        <v>0</v>
      </c>
      <c r="R382" s="22" t="s">
        <v>2765</v>
      </c>
      <c r="S382" s="22" t="s">
        <v>5099</v>
      </c>
      <c r="T382" s="51">
        <v>33</v>
      </c>
      <c r="U382" s="3" t="s">
        <v>6381</v>
      </c>
      <c r="V382" s="41" t="str">
        <f>HYPERLINK("http://ictvonline.org/taxonomy/p/taxonomy-history?taxnode_id=20180052","ICTVonline=20180052")</f>
        <v>ICTVonline=20180052</v>
      </c>
    </row>
    <row r="383" spans="1:22">
      <c r="A383" s="3">
        <v>382</v>
      </c>
      <c r="F383" s="1" t="s">
        <v>6374</v>
      </c>
      <c r="G383" s="1" t="s">
        <v>6467</v>
      </c>
      <c r="H383" s="1" t="s">
        <v>6468</v>
      </c>
      <c r="J383" s="1" t="s">
        <v>4224</v>
      </c>
      <c r="L383" s="1" t="s">
        <v>4226</v>
      </c>
      <c r="N383" s="1" t="s">
        <v>4227</v>
      </c>
      <c r="P383" s="1" t="s">
        <v>4282</v>
      </c>
      <c r="Q383" s="3">
        <v>0</v>
      </c>
      <c r="R383" s="22" t="s">
        <v>2765</v>
      </c>
      <c r="S383" s="22" t="s">
        <v>5099</v>
      </c>
      <c r="T383" s="51">
        <v>33</v>
      </c>
      <c r="U383" s="3" t="s">
        <v>6381</v>
      </c>
      <c r="V383" s="41" t="str">
        <f>HYPERLINK("http://ictvonline.org/taxonomy/p/taxonomy-history?taxnode_id=20180054","ICTVonline=20180054")</f>
        <v>ICTVonline=20180054</v>
      </c>
    </row>
    <row r="384" spans="1:22">
      <c r="A384" s="3">
        <v>383</v>
      </c>
      <c r="F384" s="1" t="s">
        <v>6374</v>
      </c>
      <c r="G384" s="1" t="s">
        <v>6467</v>
      </c>
      <c r="H384" s="1" t="s">
        <v>6468</v>
      </c>
      <c r="J384" s="1" t="s">
        <v>4224</v>
      </c>
      <c r="L384" s="1" t="s">
        <v>4226</v>
      </c>
      <c r="N384" s="1" t="s">
        <v>4227</v>
      </c>
      <c r="P384" s="1" t="s">
        <v>4192</v>
      </c>
      <c r="Q384" s="3">
        <v>0</v>
      </c>
      <c r="R384" s="22" t="s">
        <v>2765</v>
      </c>
      <c r="S384" s="22" t="s">
        <v>5099</v>
      </c>
      <c r="T384" s="51">
        <v>33</v>
      </c>
      <c r="U384" s="3" t="s">
        <v>6381</v>
      </c>
      <c r="V384" s="41" t="str">
        <f>HYPERLINK("http://ictvonline.org/taxonomy/p/taxonomy-history?taxnode_id=20180055","ICTVonline=20180055")</f>
        <v>ICTVonline=20180055</v>
      </c>
    </row>
    <row r="385" spans="1:22">
      <c r="A385" s="3">
        <v>384</v>
      </c>
      <c r="F385" s="1" t="s">
        <v>6374</v>
      </c>
      <c r="G385" s="1" t="s">
        <v>6467</v>
      </c>
      <c r="H385" s="1" t="s">
        <v>6468</v>
      </c>
      <c r="J385" s="1" t="s">
        <v>4224</v>
      </c>
      <c r="L385" s="1" t="s">
        <v>4226</v>
      </c>
      <c r="N385" s="1" t="s">
        <v>4227</v>
      </c>
      <c r="P385" s="1" t="s">
        <v>4193</v>
      </c>
      <c r="Q385" s="3">
        <v>0</v>
      </c>
      <c r="R385" s="22" t="s">
        <v>2765</v>
      </c>
      <c r="S385" s="22" t="s">
        <v>5099</v>
      </c>
      <c r="T385" s="51">
        <v>33</v>
      </c>
      <c r="U385" s="3" t="s">
        <v>6381</v>
      </c>
      <c r="V385" s="41" t="str">
        <f>HYPERLINK("http://ictvonline.org/taxonomy/p/taxonomy-history?taxnode_id=20180056","ICTVonline=20180056")</f>
        <v>ICTVonline=20180056</v>
      </c>
    </row>
    <row r="386" spans="1:22">
      <c r="A386" s="3">
        <v>385</v>
      </c>
      <c r="F386" s="1" t="s">
        <v>6374</v>
      </c>
      <c r="G386" s="1" t="s">
        <v>6467</v>
      </c>
      <c r="H386" s="1" t="s">
        <v>6468</v>
      </c>
      <c r="J386" s="1" t="s">
        <v>4224</v>
      </c>
      <c r="L386" s="1" t="s">
        <v>4226</v>
      </c>
      <c r="N386" s="1" t="s">
        <v>4227</v>
      </c>
      <c r="P386" s="1" t="s">
        <v>4194</v>
      </c>
      <c r="Q386" s="3">
        <v>0</v>
      </c>
      <c r="R386" s="22" t="s">
        <v>2765</v>
      </c>
      <c r="S386" s="22" t="s">
        <v>5099</v>
      </c>
      <c r="T386" s="51">
        <v>33</v>
      </c>
      <c r="U386" s="3" t="s">
        <v>6381</v>
      </c>
      <c r="V386" s="41" t="str">
        <f>HYPERLINK("http://ictvonline.org/taxonomy/p/taxonomy-history?taxnode_id=20180057","ICTVonline=20180057")</f>
        <v>ICTVonline=20180057</v>
      </c>
    </row>
    <row r="387" spans="1:22">
      <c r="A387" s="3">
        <v>386</v>
      </c>
      <c r="F387" s="1" t="s">
        <v>6374</v>
      </c>
      <c r="G387" s="1" t="s">
        <v>6467</v>
      </c>
      <c r="H387" s="1" t="s">
        <v>6468</v>
      </c>
      <c r="J387" s="1" t="s">
        <v>4224</v>
      </c>
      <c r="L387" s="1" t="s">
        <v>4226</v>
      </c>
      <c r="N387" s="1" t="s">
        <v>4227</v>
      </c>
      <c r="P387" s="1" t="s">
        <v>4195</v>
      </c>
      <c r="Q387" s="3">
        <v>0</v>
      </c>
      <c r="R387" s="22" t="s">
        <v>2765</v>
      </c>
      <c r="S387" s="22" t="s">
        <v>5099</v>
      </c>
      <c r="T387" s="51">
        <v>33</v>
      </c>
      <c r="U387" s="3" t="s">
        <v>6381</v>
      </c>
      <c r="V387" s="41" t="str">
        <f>HYPERLINK("http://ictvonline.org/taxonomy/p/taxonomy-history?taxnode_id=20180058","ICTVonline=20180058")</f>
        <v>ICTVonline=20180058</v>
      </c>
    </row>
    <row r="388" spans="1:22">
      <c r="A388" s="3">
        <v>387</v>
      </c>
      <c r="F388" s="1" t="s">
        <v>6374</v>
      </c>
      <c r="G388" s="1" t="s">
        <v>6467</v>
      </c>
      <c r="H388" s="1" t="s">
        <v>6468</v>
      </c>
      <c r="J388" s="1" t="s">
        <v>4224</v>
      </c>
      <c r="L388" s="1" t="s">
        <v>4226</v>
      </c>
      <c r="N388" s="1" t="s">
        <v>4227</v>
      </c>
      <c r="P388" s="1" t="s">
        <v>4196</v>
      </c>
      <c r="Q388" s="3">
        <v>0</v>
      </c>
      <c r="R388" s="22" t="s">
        <v>2765</v>
      </c>
      <c r="S388" s="22" t="s">
        <v>5099</v>
      </c>
      <c r="T388" s="51">
        <v>33</v>
      </c>
      <c r="U388" s="3" t="s">
        <v>6381</v>
      </c>
      <c r="V388" s="41" t="str">
        <f>HYPERLINK("http://ictvonline.org/taxonomy/p/taxonomy-history?taxnode_id=20180060","ICTVonline=20180060")</f>
        <v>ICTVonline=20180060</v>
      </c>
    </row>
    <row r="389" spans="1:22">
      <c r="A389" s="3">
        <v>388</v>
      </c>
      <c r="F389" s="1" t="s">
        <v>6374</v>
      </c>
      <c r="G389" s="1" t="s">
        <v>6467</v>
      </c>
      <c r="H389" s="1" t="s">
        <v>6468</v>
      </c>
      <c r="J389" s="1" t="s">
        <v>4224</v>
      </c>
      <c r="L389" s="1" t="s">
        <v>4226</v>
      </c>
      <c r="N389" s="1" t="s">
        <v>4227</v>
      </c>
      <c r="P389" s="1" t="s">
        <v>4283</v>
      </c>
      <c r="Q389" s="3">
        <v>0</v>
      </c>
      <c r="R389" s="22" t="s">
        <v>2765</v>
      </c>
      <c r="S389" s="22" t="s">
        <v>5099</v>
      </c>
      <c r="T389" s="51">
        <v>33</v>
      </c>
      <c r="U389" s="3" t="s">
        <v>6381</v>
      </c>
      <c r="V389" s="41" t="str">
        <f>HYPERLINK("http://ictvonline.org/taxonomy/p/taxonomy-history?taxnode_id=20180061","ICTVonline=20180061")</f>
        <v>ICTVonline=20180061</v>
      </c>
    </row>
    <row r="390" spans="1:22">
      <c r="A390" s="3">
        <v>389</v>
      </c>
      <c r="F390" s="1" t="s">
        <v>6374</v>
      </c>
      <c r="G390" s="1" t="s">
        <v>6467</v>
      </c>
      <c r="H390" s="1" t="s">
        <v>6468</v>
      </c>
      <c r="J390" s="1" t="s">
        <v>4224</v>
      </c>
      <c r="L390" s="1" t="s">
        <v>4226</v>
      </c>
      <c r="N390" s="1" t="s">
        <v>6479</v>
      </c>
      <c r="P390" s="1" t="s">
        <v>6480</v>
      </c>
      <c r="Q390" s="3">
        <v>0</v>
      </c>
      <c r="R390" s="22" t="s">
        <v>2765</v>
      </c>
      <c r="S390" s="22" t="s">
        <v>5098</v>
      </c>
      <c r="T390" s="51">
        <v>33</v>
      </c>
      <c r="U390" s="3" t="s">
        <v>6472</v>
      </c>
      <c r="V390" s="41" t="str">
        <f>HYPERLINK("http://ictvonline.org/taxonomy/p/taxonomy-history?taxnode_id=20180038","ICTVonline=20180038")</f>
        <v>ICTVonline=20180038</v>
      </c>
    </row>
    <row r="391" spans="1:22">
      <c r="A391" s="3">
        <v>390</v>
      </c>
      <c r="F391" s="1" t="s">
        <v>6374</v>
      </c>
      <c r="G391" s="1" t="s">
        <v>6467</v>
      </c>
      <c r="H391" s="1" t="s">
        <v>6468</v>
      </c>
      <c r="J391" s="1" t="s">
        <v>4224</v>
      </c>
      <c r="L391" s="1" t="s">
        <v>4226</v>
      </c>
      <c r="N391" s="1" t="s">
        <v>6479</v>
      </c>
      <c r="P391" s="1" t="s">
        <v>6481</v>
      </c>
      <c r="Q391" s="3">
        <v>1</v>
      </c>
      <c r="R391" s="22" t="s">
        <v>2765</v>
      </c>
      <c r="S391" s="22" t="s">
        <v>5098</v>
      </c>
      <c r="T391" s="51">
        <v>33</v>
      </c>
      <c r="U391" s="3" t="s">
        <v>6472</v>
      </c>
      <c r="V391" s="41" t="str">
        <f>HYPERLINK("http://ictvonline.org/taxonomy/p/taxonomy-history?taxnode_id=20180059","ICTVonline=20180059")</f>
        <v>ICTVonline=20180059</v>
      </c>
    </row>
    <row r="392" spans="1:22">
      <c r="A392" s="3">
        <v>391</v>
      </c>
      <c r="F392" s="1" t="s">
        <v>6374</v>
      </c>
      <c r="G392" s="1" t="s">
        <v>6467</v>
      </c>
      <c r="H392" s="1" t="s">
        <v>6468</v>
      </c>
      <c r="J392" s="1" t="s">
        <v>4224</v>
      </c>
      <c r="L392" s="1" t="s">
        <v>6482</v>
      </c>
      <c r="N392" s="1" t="s">
        <v>6483</v>
      </c>
      <c r="P392" s="1" t="s">
        <v>6484</v>
      </c>
      <c r="Q392" s="3">
        <v>1</v>
      </c>
      <c r="R392" s="22" t="s">
        <v>2765</v>
      </c>
      <c r="S392" s="22" t="s">
        <v>5097</v>
      </c>
      <c r="T392" s="51">
        <v>33</v>
      </c>
      <c r="U392" s="3" t="s">
        <v>6472</v>
      </c>
      <c r="V392" s="41" t="str">
        <f>HYPERLINK("http://ictvonline.org/taxonomy/p/taxonomy-history?taxnode_id=20186215","ICTVonline=20186215")</f>
        <v>ICTVonline=20186215</v>
      </c>
    </row>
    <row r="393" spans="1:22">
      <c r="A393" s="3">
        <v>392</v>
      </c>
      <c r="F393" s="1" t="s">
        <v>6374</v>
      </c>
      <c r="G393" s="1" t="s">
        <v>6467</v>
      </c>
      <c r="H393" s="1" t="s">
        <v>6468</v>
      </c>
      <c r="J393" s="1" t="s">
        <v>4224</v>
      </c>
      <c r="L393" s="1" t="s">
        <v>4228</v>
      </c>
      <c r="N393" s="1" t="s">
        <v>4229</v>
      </c>
      <c r="P393" s="1" t="s">
        <v>5196</v>
      </c>
      <c r="Q393" s="3">
        <v>0</v>
      </c>
      <c r="R393" s="22" t="s">
        <v>2765</v>
      </c>
      <c r="S393" s="22" t="s">
        <v>5099</v>
      </c>
      <c r="T393" s="51">
        <v>33</v>
      </c>
      <c r="U393" s="3" t="s">
        <v>6381</v>
      </c>
      <c r="V393" s="41" t="str">
        <f>HYPERLINK("http://ictvonline.org/taxonomy/p/taxonomy-history?taxnode_id=20185462","ICTVonline=20185462")</f>
        <v>ICTVonline=20185462</v>
      </c>
    </row>
    <row r="394" spans="1:22">
      <c r="A394" s="3">
        <v>393</v>
      </c>
      <c r="F394" s="1" t="s">
        <v>6374</v>
      </c>
      <c r="G394" s="1" t="s">
        <v>6467</v>
      </c>
      <c r="H394" s="1" t="s">
        <v>6468</v>
      </c>
      <c r="J394" s="1" t="s">
        <v>4224</v>
      </c>
      <c r="L394" s="1" t="s">
        <v>4228</v>
      </c>
      <c r="N394" s="1" t="s">
        <v>4229</v>
      </c>
      <c r="P394" s="1" t="s">
        <v>5197</v>
      </c>
      <c r="Q394" s="3">
        <v>0</v>
      </c>
      <c r="R394" s="22" t="s">
        <v>2765</v>
      </c>
      <c r="S394" s="22" t="s">
        <v>5099</v>
      </c>
      <c r="T394" s="51">
        <v>33</v>
      </c>
      <c r="U394" s="3" t="s">
        <v>6381</v>
      </c>
      <c r="V394" s="41" t="str">
        <f>HYPERLINK("http://ictvonline.org/taxonomy/p/taxonomy-history?taxnode_id=20185463","ICTVonline=20185463")</f>
        <v>ICTVonline=20185463</v>
      </c>
    </row>
    <row r="395" spans="1:22">
      <c r="A395" s="3">
        <v>394</v>
      </c>
      <c r="F395" s="1" t="s">
        <v>6374</v>
      </c>
      <c r="G395" s="1" t="s">
        <v>6467</v>
      </c>
      <c r="H395" s="1" t="s">
        <v>6468</v>
      </c>
      <c r="J395" s="1" t="s">
        <v>4224</v>
      </c>
      <c r="L395" s="1" t="s">
        <v>4228</v>
      </c>
      <c r="N395" s="1" t="s">
        <v>4229</v>
      </c>
      <c r="P395" s="1" t="s">
        <v>4197</v>
      </c>
      <c r="Q395" s="3">
        <v>0</v>
      </c>
      <c r="R395" s="22" t="s">
        <v>2765</v>
      </c>
      <c r="S395" s="22" t="s">
        <v>5099</v>
      </c>
      <c r="T395" s="51">
        <v>33</v>
      </c>
      <c r="U395" s="3" t="s">
        <v>6381</v>
      </c>
      <c r="V395" s="41" t="str">
        <f>HYPERLINK("http://ictvonline.org/taxonomy/p/taxonomy-history?taxnode_id=20180070","ICTVonline=20180070")</f>
        <v>ICTVonline=20180070</v>
      </c>
    </row>
    <row r="396" spans="1:22">
      <c r="A396" s="3">
        <v>395</v>
      </c>
      <c r="F396" s="1" t="s">
        <v>6374</v>
      </c>
      <c r="G396" s="1" t="s">
        <v>6467</v>
      </c>
      <c r="H396" s="1" t="s">
        <v>6468</v>
      </c>
      <c r="J396" s="1" t="s">
        <v>4224</v>
      </c>
      <c r="L396" s="1" t="s">
        <v>4228</v>
      </c>
      <c r="N396" s="1" t="s">
        <v>4229</v>
      </c>
      <c r="P396" s="1" t="s">
        <v>4198</v>
      </c>
      <c r="Q396" s="3">
        <v>0</v>
      </c>
      <c r="R396" s="22" t="s">
        <v>2765</v>
      </c>
      <c r="S396" s="22" t="s">
        <v>5099</v>
      </c>
      <c r="T396" s="51">
        <v>33</v>
      </c>
      <c r="U396" s="3" t="s">
        <v>6381</v>
      </c>
      <c r="V396" s="41" t="str">
        <f>HYPERLINK("http://ictvonline.org/taxonomy/p/taxonomy-history?taxnode_id=20180071","ICTVonline=20180071")</f>
        <v>ICTVonline=20180071</v>
      </c>
    </row>
    <row r="397" spans="1:22">
      <c r="A397" s="3">
        <v>396</v>
      </c>
      <c r="F397" s="1" t="s">
        <v>6374</v>
      </c>
      <c r="G397" s="1" t="s">
        <v>6467</v>
      </c>
      <c r="H397" s="1" t="s">
        <v>6468</v>
      </c>
      <c r="J397" s="1" t="s">
        <v>4224</v>
      </c>
      <c r="L397" s="1" t="s">
        <v>4228</v>
      </c>
      <c r="N397" s="1" t="s">
        <v>4229</v>
      </c>
      <c r="P397" s="1" t="s">
        <v>4199</v>
      </c>
      <c r="Q397" s="3">
        <v>1</v>
      </c>
      <c r="R397" s="22" t="s">
        <v>2765</v>
      </c>
      <c r="S397" s="22" t="s">
        <v>5099</v>
      </c>
      <c r="T397" s="51">
        <v>33</v>
      </c>
      <c r="U397" s="3" t="s">
        <v>6381</v>
      </c>
      <c r="V397" s="41" t="str">
        <f>HYPERLINK("http://ictvonline.org/taxonomy/p/taxonomy-history?taxnode_id=20180072","ICTVonline=20180072")</f>
        <v>ICTVonline=20180072</v>
      </c>
    </row>
    <row r="398" spans="1:22">
      <c r="A398" s="3">
        <v>397</v>
      </c>
      <c r="F398" s="1" t="s">
        <v>6374</v>
      </c>
      <c r="G398" s="1" t="s">
        <v>6467</v>
      </c>
      <c r="H398" s="1" t="s">
        <v>6468</v>
      </c>
      <c r="J398" s="1" t="s">
        <v>4224</v>
      </c>
      <c r="L398" s="1" t="s">
        <v>4228</v>
      </c>
      <c r="N398" s="1" t="s">
        <v>4229</v>
      </c>
      <c r="P398" s="1" t="s">
        <v>4288</v>
      </c>
      <c r="Q398" s="3">
        <v>0</v>
      </c>
      <c r="R398" s="22" t="s">
        <v>2765</v>
      </c>
      <c r="S398" s="22" t="s">
        <v>5099</v>
      </c>
      <c r="T398" s="51">
        <v>33</v>
      </c>
      <c r="U398" s="3" t="s">
        <v>6381</v>
      </c>
      <c r="V398" s="41" t="str">
        <f>HYPERLINK("http://ictvonline.org/taxonomy/p/taxonomy-history?taxnode_id=20180073","ICTVonline=20180073")</f>
        <v>ICTVonline=20180073</v>
      </c>
    </row>
    <row r="399" spans="1:22">
      <c r="A399" s="3">
        <v>398</v>
      </c>
      <c r="F399" s="1" t="s">
        <v>6374</v>
      </c>
      <c r="G399" s="1" t="s">
        <v>6467</v>
      </c>
      <c r="H399" s="1" t="s">
        <v>6468</v>
      </c>
      <c r="J399" s="1" t="s">
        <v>4224</v>
      </c>
      <c r="L399" s="1" t="s">
        <v>4228</v>
      </c>
      <c r="N399" s="1" t="s">
        <v>4229</v>
      </c>
      <c r="P399" s="1" t="s">
        <v>4200</v>
      </c>
      <c r="Q399" s="3">
        <v>0</v>
      </c>
      <c r="R399" s="22" t="s">
        <v>2765</v>
      </c>
      <c r="S399" s="22" t="s">
        <v>5099</v>
      </c>
      <c r="T399" s="51">
        <v>33</v>
      </c>
      <c r="U399" s="3" t="s">
        <v>6381</v>
      </c>
      <c r="V399" s="41" t="str">
        <f>HYPERLINK("http://ictvonline.org/taxonomy/p/taxonomy-history?taxnode_id=20180074","ICTVonline=20180074")</f>
        <v>ICTVonline=20180074</v>
      </c>
    </row>
    <row r="400" spans="1:22">
      <c r="A400" s="3">
        <v>399</v>
      </c>
      <c r="F400" s="1" t="s">
        <v>6374</v>
      </c>
      <c r="G400" s="1" t="s">
        <v>6467</v>
      </c>
      <c r="H400" s="1" t="s">
        <v>6468</v>
      </c>
      <c r="J400" s="1" t="s">
        <v>4224</v>
      </c>
      <c r="L400" s="1" t="s">
        <v>4228</v>
      </c>
      <c r="N400" s="1" t="s">
        <v>4229</v>
      </c>
      <c r="P400" s="1" t="s">
        <v>4289</v>
      </c>
      <c r="Q400" s="3">
        <v>0</v>
      </c>
      <c r="R400" s="22" t="s">
        <v>2765</v>
      </c>
      <c r="S400" s="22" t="s">
        <v>5099</v>
      </c>
      <c r="T400" s="51">
        <v>33</v>
      </c>
      <c r="U400" s="3" t="s">
        <v>6381</v>
      </c>
      <c r="V400" s="41" t="str">
        <f>HYPERLINK("http://ictvonline.org/taxonomy/p/taxonomy-history?taxnode_id=20180075","ICTVonline=20180075")</f>
        <v>ICTVonline=20180075</v>
      </c>
    </row>
    <row r="401" spans="1:22">
      <c r="A401" s="3">
        <v>400</v>
      </c>
      <c r="F401" s="1" t="s">
        <v>6374</v>
      </c>
      <c r="G401" s="1" t="s">
        <v>6467</v>
      </c>
      <c r="H401" s="1" t="s">
        <v>6468</v>
      </c>
      <c r="J401" s="1" t="s">
        <v>4224</v>
      </c>
      <c r="L401" s="1" t="s">
        <v>4228</v>
      </c>
      <c r="N401" s="1" t="s">
        <v>4229</v>
      </c>
      <c r="P401" s="1" t="s">
        <v>4290</v>
      </c>
      <c r="Q401" s="3">
        <v>0</v>
      </c>
      <c r="R401" s="22" t="s">
        <v>2765</v>
      </c>
      <c r="S401" s="22" t="s">
        <v>5099</v>
      </c>
      <c r="T401" s="51">
        <v>33</v>
      </c>
      <c r="U401" s="3" t="s">
        <v>6381</v>
      </c>
      <c r="V401" s="41" t="str">
        <f>HYPERLINK("http://ictvonline.org/taxonomy/p/taxonomy-history?taxnode_id=20180076","ICTVonline=20180076")</f>
        <v>ICTVonline=20180076</v>
      </c>
    </row>
    <row r="402" spans="1:22">
      <c r="A402" s="3">
        <v>401</v>
      </c>
      <c r="F402" s="1" t="s">
        <v>6374</v>
      </c>
      <c r="G402" s="1" t="s">
        <v>6467</v>
      </c>
      <c r="H402" s="1" t="s">
        <v>6468</v>
      </c>
      <c r="J402" s="1" t="s">
        <v>4224</v>
      </c>
      <c r="L402" s="1" t="s">
        <v>4228</v>
      </c>
      <c r="N402" s="1" t="s">
        <v>4229</v>
      </c>
      <c r="P402" s="1" t="s">
        <v>4291</v>
      </c>
      <c r="Q402" s="3">
        <v>0</v>
      </c>
      <c r="R402" s="22" t="s">
        <v>2765</v>
      </c>
      <c r="S402" s="22" t="s">
        <v>5099</v>
      </c>
      <c r="T402" s="51">
        <v>33</v>
      </c>
      <c r="U402" s="3" t="s">
        <v>6381</v>
      </c>
      <c r="V402" s="41" t="str">
        <f>HYPERLINK("http://ictvonline.org/taxonomy/p/taxonomy-history?taxnode_id=20180077","ICTVonline=20180077")</f>
        <v>ICTVonline=20180077</v>
      </c>
    </row>
    <row r="403" spans="1:22">
      <c r="A403" s="3">
        <v>402</v>
      </c>
      <c r="F403" s="1" t="s">
        <v>6374</v>
      </c>
      <c r="G403" s="1" t="s">
        <v>6467</v>
      </c>
      <c r="H403" s="1" t="s">
        <v>6468</v>
      </c>
      <c r="J403" s="1" t="s">
        <v>4224</v>
      </c>
      <c r="L403" s="1" t="s">
        <v>4228</v>
      </c>
      <c r="N403" s="1" t="s">
        <v>4229</v>
      </c>
      <c r="P403" s="1" t="s">
        <v>4201</v>
      </c>
      <c r="Q403" s="3">
        <v>0</v>
      </c>
      <c r="R403" s="22" t="s">
        <v>2765</v>
      </c>
      <c r="S403" s="22" t="s">
        <v>5099</v>
      </c>
      <c r="T403" s="51">
        <v>33</v>
      </c>
      <c r="U403" s="3" t="s">
        <v>6381</v>
      </c>
      <c r="V403" s="41" t="str">
        <f>HYPERLINK("http://ictvonline.org/taxonomy/p/taxonomy-history?taxnode_id=20180078","ICTVonline=20180078")</f>
        <v>ICTVonline=20180078</v>
      </c>
    </row>
    <row r="404" spans="1:22">
      <c r="A404" s="3">
        <v>403</v>
      </c>
      <c r="F404" s="1" t="s">
        <v>6374</v>
      </c>
      <c r="G404" s="1" t="s">
        <v>6467</v>
      </c>
      <c r="H404" s="1" t="s">
        <v>6468</v>
      </c>
      <c r="J404" s="1" t="s">
        <v>4224</v>
      </c>
      <c r="L404" s="1" t="s">
        <v>4228</v>
      </c>
      <c r="N404" s="1" t="s">
        <v>4229</v>
      </c>
      <c r="P404" s="1" t="s">
        <v>4202</v>
      </c>
      <c r="Q404" s="3">
        <v>0</v>
      </c>
      <c r="R404" s="22" t="s">
        <v>2765</v>
      </c>
      <c r="S404" s="22" t="s">
        <v>5099</v>
      </c>
      <c r="T404" s="51">
        <v>33</v>
      </c>
      <c r="U404" s="3" t="s">
        <v>6381</v>
      </c>
      <c r="V404" s="41" t="str">
        <f>HYPERLINK("http://ictvonline.org/taxonomy/p/taxonomy-history?taxnode_id=20180079","ICTVonline=20180079")</f>
        <v>ICTVonline=20180079</v>
      </c>
    </row>
    <row r="405" spans="1:22">
      <c r="A405" s="3">
        <v>404</v>
      </c>
      <c r="F405" s="1" t="s">
        <v>6374</v>
      </c>
      <c r="G405" s="1" t="s">
        <v>6467</v>
      </c>
      <c r="H405" s="1" t="s">
        <v>6468</v>
      </c>
      <c r="J405" s="1" t="s">
        <v>4224</v>
      </c>
      <c r="L405" s="1" t="s">
        <v>4228</v>
      </c>
      <c r="N405" s="1" t="s">
        <v>4229</v>
      </c>
      <c r="P405" s="1" t="s">
        <v>5198</v>
      </c>
      <c r="Q405" s="3">
        <v>0</v>
      </c>
      <c r="R405" s="22" t="s">
        <v>2765</v>
      </c>
      <c r="S405" s="22" t="s">
        <v>5099</v>
      </c>
      <c r="T405" s="51">
        <v>33</v>
      </c>
      <c r="U405" s="3" t="s">
        <v>6381</v>
      </c>
      <c r="V405" s="41" t="str">
        <f>HYPERLINK("http://ictvonline.org/taxonomy/p/taxonomy-history?taxnode_id=20180069","ICTVonline=20180069")</f>
        <v>ICTVonline=20180069</v>
      </c>
    </row>
    <row r="406" spans="1:22">
      <c r="A406" s="3">
        <v>405</v>
      </c>
      <c r="F406" s="1" t="s">
        <v>6374</v>
      </c>
      <c r="G406" s="1" t="s">
        <v>6467</v>
      </c>
      <c r="H406" s="1" t="s">
        <v>6468</v>
      </c>
      <c r="J406" s="1" t="s">
        <v>4224</v>
      </c>
      <c r="L406" s="1" t="s">
        <v>4228</v>
      </c>
      <c r="N406" s="1" t="s">
        <v>4229</v>
      </c>
      <c r="P406" s="1" t="s">
        <v>4203</v>
      </c>
      <c r="Q406" s="3">
        <v>0</v>
      </c>
      <c r="R406" s="22" t="s">
        <v>2765</v>
      </c>
      <c r="S406" s="22" t="s">
        <v>5099</v>
      </c>
      <c r="T406" s="51">
        <v>33</v>
      </c>
      <c r="U406" s="3" t="s">
        <v>6381</v>
      </c>
      <c r="V406" s="41" t="str">
        <f>HYPERLINK("http://ictvonline.org/taxonomy/p/taxonomy-history?taxnode_id=20180080","ICTVonline=20180080")</f>
        <v>ICTVonline=20180080</v>
      </c>
    </row>
    <row r="407" spans="1:22">
      <c r="A407" s="3">
        <v>406</v>
      </c>
      <c r="F407" s="1" t="s">
        <v>6374</v>
      </c>
      <c r="G407" s="1" t="s">
        <v>6467</v>
      </c>
      <c r="H407" s="1" t="s">
        <v>6468</v>
      </c>
      <c r="J407" s="1" t="s">
        <v>4224</v>
      </c>
      <c r="L407" s="1" t="s">
        <v>4228</v>
      </c>
      <c r="N407" s="1" t="s">
        <v>6485</v>
      </c>
      <c r="P407" s="1" t="s">
        <v>6486</v>
      </c>
      <c r="Q407" s="3">
        <v>1</v>
      </c>
      <c r="R407" s="22" t="s">
        <v>2765</v>
      </c>
      <c r="S407" s="22" t="s">
        <v>5097</v>
      </c>
      <c r="T407" s="51">
        <v>33</v>
      </c>
      <c r="U407" s="3" t="s">
        <v>6472</v>
      </c>
      <c r="V407" s="41" t="str">
        <f>HYPERLINK("http://ictvonline.org/taxonomy/p/taxonomy-history?taxnode_id=20186217","ICTVonline=20186217")</f>
        <v>ICTVonline=20186217</v>
      </c>
    </row>
    <row r="408" spans="1:22">
      <c r="A408" s="3">
        <v>407</v>
      </c>
      <c r="F408" s="1" t="s">
        <v>6374</v>
      </c>
      <c r="G408" s="1" t="s">
        <v>6467</v>
      </c>
      <c r="H408" s="1" t="s">
        <v>6468</v>
      </c>
      <c r="J408" s="1" t="s">
        <v>4224</v>
      </c>
      <c r="L408" s="1" t="s">
        <v>4228</v>
      </c>
      <c r="N408" s="1" t="s">
        <v>6487</v>
      </c>
      <c r="P408" s="1" t="s">
        <v>6488</v>
      </c>
      <c r="Q408" s="3">
        <v>1</v>
      </c>
      <c r="R408" s="22" t="s">
        <v>2765</v>
      </c>
      <c r="S408" s="22" t="s">
        <v>5097</v>
      </c>
      <c r="T408" s="51">
        <v>33</v>
      </c>
      <c r="U408" s="3" t="s">
        <v>6472</v>
      </c>
      <c r="V408" s="41" t="str">
        <f>HYPERLINK("http://ictvonline.org/taxonomy/p/taxonomy-history?taxnode_id=20186219","ICTVonline=20186219")</f>
        <v>ICTVonline=20186219</v>
      </c>
    </row>
    <row r="409" spans="1:22">
      <c r="A409" s="3">
        <v>408</v>
      </c>
      <c r="F409" s="1" t="s">
        <v>6374</v>
      </c>
      <c r="G409" s="1" t="s">
        <v>6467</v>
      </c>
      <c r="H409" s="1" t="s">
        <v>6468</v>
      </c>
      <c r="J409" s="1" t="s">
        <v>4224</v>
      </c>
      <c r="L409" s="1" t="s">
        <v>4230</v>
      </c>
      <c r="N409" s="1" t="s">
        <v>4284</v>
      </c>
      <c r="P409" s="1" t="s">
        <v>4285</v>
      </c>
      <c r="Q409" s="3">
        <v>1</v>
      </c>
      <c r="R409" s="22" t="s">
        <v>2765</v>
      </c>
      <c r="S409" s="22" t="s">
        <v>5099</v>
      </c>
      <c r="T409" s="51">
        <v>33</v>
      </c>
      <c r="U409" s="3" t="s">
        <v>6381</v>
      </c>
      <c r="V409" s="41" t="str">
        <f>HYPERLINK("http://ictvonline.org/taxonomy/p/taxonomy-history?taxnode_id=20180083","ICTVonline=20180083")</f>
        <v>ICTVonline=20180083</v>
      </c>
    </row>
    <row r="410" spans="1:22">
      <c r="A410" s="3">
        <v>409</v>
      </c>
      <c r="F410" s="1" t="s">
        <v>6374</v>
      </c>
      <c r="G410" s="1" t="s">
        <v>6467</v>
      </c>
      <c r="H410" s="1" t="s">
        <v>6468</v>
      </c>
      <c r="J410" s="1" t="s">
        <v>4224</v>
      </c>
      <c r="L410" s="1" t="s">
        <v>4230</v>
      </c>
      <c r="N410" s="1" t="s">
        <v>4284</v>
      </c>
      <c r="P410" s="1" t="s">
        <v>4286</v>
      </c>
      <c r="Q410" s="3">
        <v>0</v>
      </c>
      <c r="R410" s="22" t="s">
        <v>2765</v>
      </c>
      <c r="S410" s="22" t="s">
        <v>5099</v>
      </c>
      <c r="T410" s="51">
        <v>33</v>
      </c>
      <c r="U410" s="3" t="s">
        <v>6381</v>
      </c>
      <c r="V410" s="41" t="str">
        <f>HYPERLINK("http://ictvonline.org/taxonomy/p/taxonomy-history?taxnode_id=20180084","ICTVonline=20180084")</f>
        <v>ICTVonline=20180084</v>
      </c>
    </row>
    <row r="411" spans="1:22">
      <c r="A411" s="3">
        <v>410</v>
      </c>
      <c r="F411" s="1" t="s">
        <v>6374</v>
      </c>
      <c r="G411" s="1" t="s">
        <v>6467</v>
      </c>
      <c r="H411" s="1" t="s">
        <v>6468</v>
      </c>
      <c r="J411" s="1" t="s">
        <v>4224</v>
      </c>
      <c r="L411" s="1" t="s">
        <v>4230</v>
      </c>
      <c r="N411" s="1" t="s">
        <v>4284</v>
      </c>
      <c r="P411" s="1" t="s">
        <v>4287</v>
      </c>
      <c r="Q411" s="3">
        <v>0</v>
      </c>
      <c r="R411" s="22" t="s">
        <v>2765</v>
      </c>
      <c r="S411" s="22" t="s">
        <v>5099</v>
      </c>
      <c r="T411" s="51">
        <v>33</v>
      </c>
      <c r="U411" s="3" t="s">
        <v>6381</v>
      </c>
      <c r="V411" s="41" t="str">
        <f>HYPERLINK("http://ictvonline.org/taxonomy/p/taxonomy-history?taxnode_id=20180086","ICTVonline=20180086")</f>
        <v>ICTVonline=20180086</v>
      </c>
    </row>
    <row r="412" spans="1:22">
      <c r="A412" s="3">
        <v>411</v>
      </c>
      <c r="F412" s="1" t="s">
        <v>6374</v>
      </c>
      <c r="G412" s="1" t="s">
        <v>6467</v>
      </c>
      <c r="H412" s="1" t="s">
        <v>6468</v>
      </c>
      <c r="J412" s="1" t="s">
        <v>4224</v>
      </c>
      <c r="L412" s="1" t="s">
        <v>4230</v>
      </c>
      <c r="N412" s="1" t="s">
        <v>1987</v>
      </c>
      <c r="P412" s="1" t="s">
        <v>3807</v>
      </c>
      <c r="Q412" s="3">
        <v>0</v>
      </c>
      <c r="R412" s="22" t="s">
        <v>2765</v>
      </c>
      <c r="S412" s="22" t="s">
        <v>5099</v>
      </c>
      <c r="T412" s="51">
        <v>33</v>
      </c>
      <c r="U412" s="3" t="s">
        <v>6381</v>
      </c>
      <c r="V412" s="41" t="str">
        <f>HYPERLINK("http://ictvonline.org/taxonomy/p/taxonomy-history?taxnode_id=20180089","ICTVonline=20180089")</f>
        <v>ICTVonline=20180089</v>
      </c>
    </row>
    <row r="413" spans="1:22">
      <c r="A413" s="3">
        <v>412</v>
      </c>
      <c r="F413" s="1" t="s">
        <v>6374</v>
      </c>
      <c r="G413" s="1" t="s">
        <v>6467</v>
      </c>
      <c r="H413" s="1" t="s">
        <v>6468</v>
      </c>
      <c r="J413" s="1" t="s">
        <v>4224</v>
      </c>
      <c r="L413" s="1" t="s">
        <v>4230</v>
      </c>
      <c r="N413" s="1" t="s">
        <v>1987</v>
      </c>
      <c r="P413" s="1" t="s">
        <v>3808</v>
      </c>
      <c r="Q413" s="3">
        <v>0</v>
      </c>
      <c r="R413" s="22" t="s">
        <v>2765</v>
      </c>
      <c r="S413" s="22" t="s">
        <v>5099</v>
      </c>
      <c r="T413" s="51">
        <v>33</v>
      </c>
      <c r="U413" s="3" t="s">
        <v>6381</v>
      </c>
      <c r="V413" s="41" t="str">
        <f>HYPERLINK("http://ictvonline.org/taxonomy/p/taxonomy-history?taxnode_id=20180090","ICTVonline=20180090")</f>
        <v>ICTVonline=20180090</v>
      </c>
    </row>
    <row r="414" spans="1:22">
      <c r="A414" s="3">
        <v>413</v>
      </c>
      <c r="F414" s="1" t="s">
        <v>6374</v>
      </c>
      <c r="G414" s="1" t="s">
        <v>6467</v>
      </c>
      <c r="H414" s="1" t="s">
        <v>6468</v>
      </c>
      <c r="J414" s="1" t="s">
        <v>4224</v>
      </c>
      <c r="L414" s="1" t="s">
        <v>4230</v>
      </c>
      <c r="N414" s="1" t="s">
        <v>1987</v>
      </c>
      <c r="P414" s="1" t="s">
        <v>3809</v>
      </c>
      <c r="Q414" s="3">
        <v>0</v>
      </c>
      <c r="R414" s="22" t="s">
        <v>2765</v>
      </c>
      <c r="S414" s="22" t="s">
        <v>5099</v>
      </c>
      <c r="T414" s="51">
        <v>33</v>
      </c>
      <c r="U414" s="3" t="s">
        <v>6381</v>
      </c>
      <c r="V414" s="41" t="str">
        <f>HYPERLINK("http://ictvonline.org/taxonomy/p/taxonomy-history?taxnode_id=20180091","ICTVonline=20180091")</f>
        <v>ICTVonline=20180091</v>
      </c>
    </row>
    <row r="415" spans="1:22">
      <c r="A415" s="3">
        <v>414</v>
      </c>
      <c r="F415" s="1" t="s">
        <v>6374</v>
      </c>
      <c r="G415" s="1" t="s">
        <v>6467</v>
      </c>
      <c r="H415" s="1" t="s">
        <v>6468</v>
      </c>
      <c r="J415" s="1" t="s">
        <v>4224</v>
      </c>
      <c r="L415" s="1" t="s">
        <v>4230</v>
      </c>
      <c r="N415" s="1" t="s">
        <v>1987</v>
      </c>
      <c r="P415" s="1" t="s">
        <v>3810</v>
      </c>
      <c r="Q415" s="3">
        <v>0</v>
      </c>
      <c r="R415" s="22" t="s">
        <v>2765</v>
      </c>
      <c r="S415" s="22" t="s">
        <v>5099</v>
      </c>
      <c r="T415" s="51">
        <v>33</v>
      </c>
      <c r="U415" s="3" t="s">
        <v>6381</v>
      </c>
      <c r="V415" s="41" t="str">
        <f>HYPERLINK("http://ictvonline.org/taxonomy/p/taxonomy-history?taxnode_id=20180092","ICTVonline=20180092")</f>
        <v>ICTVonline=20180092</v>
      </c>
    </row>
    <row r="416" spans="1:22">
      <c r="A416" s="3">
        <v>415</v>
      </c>
      <c r="F416" s="1" t="s">
        <v>6374</v>
      </c>
      <c r="G416" s="1" t="s">
        <v>6467</v>
      </c>
      <c r="H416" s="1" t="s">
        <v>6468</v>
      </c>
      <c r="J416" s="1" t="s">
        <v>4224</v>
      </c>
      <c r="L416" s="1" t="s">
        <v>4230</v>
      </c>
      <c r="N416" s="1" t="s">
        <v>1987</v>
      </c>
      <c r="P416" s="1" t="s">
        <v>3811</v>
      </c>
      <c r="Q416" s="3">
        <v>0</v>
      </c>
      <c r="R416" s="22" t="s">
        <v>2765</v>
      </c>
      <c r="S416" s="22" t="s">
        <v>5099</v>
      </c>
      <c r="T416" s="51">
        <v>33</v>
      </c>
      <c r="U416" s="3" t="s">
        <v>6381</v>
      </c>
      <c r="V416" s="41" t="str">
        <f>HYPERLINK("http://ictvonline.org/taxonomy/p/taxonomy-history?taxnode_id=20180093","ICTVonline=20180093")</f>
        <v>ICTVonline=20180093</v>
      </c>
    </row>
    <row r="417" spans="1:22">
      <c r="A417" s="3">
        <v>416</v>
      </c>
      <c r="F417" s="1" t="s">
        <v>6374</v>
      </c>
      <c r="G417" s="1" t="s">
        <v>6467</v>
      </c>
      <c r="H417" s="1" t="s">
        <v>6468</v>
      </c>
      <c r="J417" s="1" t="s">
        <v>4224</v>
      </c>
      <c r="L417" s="1" t="s">
        <v>4230</v>
      </c>
      <c r="N417" s="1" t="s">
        <v>1987</v>
      </c>
      <c r="P417" s="1" t="s">
        <v>3812</v>
      </c>
      <c r="Q417" s="3">
        <v>0</v>
      </c>
      <c r="R417" s="22" t="s">
        <v>2765</v>
      </c>
      <c r="S417" s="22" t="s">
        <v>5099</v>
      </c>
      <c r="T417" s="51">
        <v>33</v>
      </c>
      <c r="U417" s="3" t="s">
        <v>6381</v>
      </c>
      <c r="V417" s="41" t="str">
        <f>HYPERLINK("http://ictvonline.org/taxonomy/p/taxonomy-history?taxnode_id=20180094","ICTVonline=20180094")</f>
        <v>ICTVonline=20180094</v>
      </c>
    </row>
    <row r="418" spans="1:22">
      <c r="A418" s="3">
        <v>417</v>
      </c>
      <c r="F418" s="1" t="s">
        <v>6374</v>
      </c>
      <c r="G418" s="1" t="s">
        <v>6467</v>
      </c>
      <c r="H418" s="1" t="s">
        <v>6468</v>
      </c>
      <c r="J418" s="1" t="s">
        <v>4224</v>
      </c>
      <c r="L418" s="1" t="s">
        <v>4230</v>
      </c>
      <c r="N418" s="1" t="s">
        <v>1987</v>
      </c>
      <c r="P418" s="1" t="s">
        <v>3813</v>
      </c>
      <c r="Q418" s="3">
        <v>0</v>
      </c>
      <c r="R418" s="22" t="s">
        <v>2765</v>
      </c>
      <c r="S418" s="22" t="s">
        <v>5099</v>
      </c>
      <c r="T418" s="51">
        <v>33</v>
      </c>
      <c r="U418" s="3" t="s">
        <v>6381</v>
      </c>
      <c r="V418" s="41" t="str">
        <f>HYPERLINK("http://ictvonline.org/taxonomy/p/taxonomy-history?taxnode_id=20180095","ICTVonline=20180095")</f>
        <v>ICTVonline=20180095</v>
      </c>
    </row>
    <row r="419" spans="1:22">
      <c r="A419" s="3">
        <v>418</v>
      </c>
      <c r="F419" s="1" t="s">
        <v>6374</v>
      </c>
      <c r="G419" s="1" t="s">
        <v>6467</v>
      </c>
      <c r="H419" s="1" t="s">
        <v>6468</v>
      </c>
      <c r="J419" s="1" t="s">
        <v>4224</v>
      </c>
      <c r="L419" s="1" t="s">
        <v>4230</v>
      </c>
      <c r="N419" s="1" t="s">
        <v>1987</v>
      </c>
      <c r="P419" s="1" t="s">
        <v>3814</v>
      </c>
      <c r="Q419" s="3">
        <v>0</v>
      </c>
      <c r="R419" s="22" t="s">
        <v>2765</v>
      </c>
      <c r="S419" s="22" t="s">
        <v>5099</v>
      </c>
      <c r="T419" s="51">
        <v>33</v>
      </c>
      <c r="U419" s="3" t="s">
        <v>6381</v>
      </c>
      <c r="V419" s="41" t="str">
        <f>HYPERLINK("http://ictvonline.org/taxonomy/p/taxonomy-history?taxnode_id=20180096","ICTVonline=20180096")</f>
        <v>ICTVonline=20180096</v>
      </c>
    </row>
    <row r="420" spans="1:22">
      <c r="A420" s="3">
        <v>419</v>
      </c>
      <c r="F420" s="1" t="s">
        <v>6374</v>
      </c>
      <c r="G420" s="1" t="s">
        <v>6467</v>
      </c>
      <c r="H420" s="1" t="s">
        <v>6468</v>
      </c>
      <c r="J420" s="1" t="s">
        <v>4224</v>
      </c>
      <c r="L420" s="1" t="s">
        <v>4230</v>
      </c>
      <c r="N420" s="1" t="s">
        <v>1987</v>
      </c>
      <c r="P420" s="1" t="s">
        <v>3815</v>
      </c>
      <c r="Q420" s="3">
        <v>0</v>
      </c>
      <c r="R420" s="22" t="s">
        <v>2765</v>
      </c>
      <c r="S420" s="22" t="s">
        <v>5099</v>
      </c>
      <c r="T420" s="51">
        <v>33</v>
      </c>
      <c r="U420" s="3" t="s">
        <v>6381</v>
      </c>
      <c r="V420" s="41" t="str">
        <f>HYPERLINK("http://ictvonline.org/taxonomy/p/taxonomy-history?taxnode_id=20180097","ICTVonline=20180097")</f>
        <v>ICTVonline=20180097</v>
      </c>
    </row>
    <row r="421" spans="1:22">
      <c r="A421" s="3">
        <v>420</v>
      </c>
      <c r="F421" s="1" t="s">
        <v>6374</v>
      </c>
      <c r="G421" s="1" t="s">
        <v>6467</v>
      </c>
      <c r="H421" s="1" t="s">
        <v>6468</v>
      </c>
      <c r="J421" s="1" t="s">
        <v>4224</v>
      </c>
      <c r="L421" s="1" t="s">
        <v>4230</v>
      </c>
      <c r="N421" s="1" t="s">
        <v>1987</v>
      </c>
      <c r="P421" s="1" t="s">
        <v>3816</v>
      </c>
      <c r="Q421" s="3">
        <v>0</v>
      </c>
      <c r="R421" s="22" t="s">
        <v>2765</v>
      </c>
      <c r="S421" s="22" t="s">
        <v>5099</v>
      </c>
      <c r="T421" s="51">
        <v>33</v>
      </c>
      <c r="U421" s="3" t="s">
        <v>6381</v>
      </c>
      <c r="V421" s="41" t="str">
        <f>HYPERLINK("http://ictvonline.org/taxonomy/p/taxonomy-history?taxnode_id=20180098","ICTVonline=20180098")</f>
        <v>ICTVonline=20180098</v>
      </c>
    </row>
    <row r="422" spans="1:22">
      <c r="A422" s="3">
        <v>421</v>
      </c>
      <c r="F422" s="1" t="s">
        <v>6374</v>
      </c>
      <c r="G422" s="1" t="s">
        <v>6467</v>
      </c>
      <c r="H422" s="1" t="s">
        <v>6468</v>
      </c>
      <c r="J422" s="1" t="s">
        <v>4224</v>
      </c>
      <c r="L422" s="1" t="s">
        <v>4230</v>
      </c>
      <c r="N422" s="1" t="s">
        <v>1987</v>
      </c>
      <c r="P422" s="1" t="s">
        <v>3817</v>
      </c>
      <c r="Q422" s="3">
        <v>0</v>
      </c>
      <c r="R422" s="22" t="s">
        <v>2765</v>
      </c>
      <c r="S422" s="22" t="s">
        <v>5099</v>
      </c>
      <c r="T422" s="51">
        <v>33</v>
      </c>
      <c r="U422" s="3" t="s">
        <v>6381</v>
      </c>
      <c r="V422" s="41" t="str">
        <f>HYPERLINK("http://ictvonline.org/taxonomy/p/taxonomy-history?taxnode_id=20180099","ICTVonline=20180099")</f>
        <v>ICTVonline=20180099</v>
      </c>
    </row>
    <row r="423" spans="1:22">
      <c r="A423" s="3">
        <v>422</v>
      </c>
      <c r="F423" s="1" t="s">
        <v>6374</v>
      </c>
      <c r="G423" s="1" t="s">
        <v>6467</v>
      </c>
      <c r="H423" s="1" t="s">
        <v>6468</v>
      </c>
      <c r="J423" s="1" t="s">
        <v>4224</v>
      </c>
      <c r="L423" s="1" t="s">
        <v>4230</v>
      </c>
      <c r="N423" s="1" t="s">
        <v>1987</v>
      </c>
      <c r="P423" s="1" t="s">
        <v>3818</v>
      </c>
      <c r="Q423" s="3">
        <v>1</v>
      </c>
      <c r="R423" s="22" t="s">
        <v>2765</v>
      </c>
      <c r="S423" s="22" t="s">
        <v>5099</v>
      </c>
      <c r="T423" s="51">
        <v>33</v>
      </c>
      <c r="U423" s="3" t="s">
        <v>6381</v>
      </c>
      <c r="V423" s="41" t="str">
        <f>HYPERLINK("http://ictvonline.org/taxonomy/p/taxonomy-history?taxnode_id=20180100","ICTVonline=20180100")</f>
        <v>ICTVonline=20180100</v>
      </c>
    </row>
    <row r="424" spans="1:22">
      <c r="A424" s="3">
        <v>423</v>
      </c>
      <c r="F424" s="1" t="s">
        <v>6374</v>
      </c>
      <c r="G424" s="1" t="s">
        <v>6467</v>
      </c>
      <c r="H424" s="1" t="s">
        <v>6468</v>
      </c>
      <c r="J424" s="1" t="s">
        <v>4224</v>
      </c>
      <c r="L424" s="1" t="s">
        <v>4230</v>
      </c>
      <c r="N424" s="1" t="s">
        <v>1987</v>
      </c>
      <c r="P424" s="1" t="s">
        <v>3819</v>
      </c>
      <c r="Q424" s="3">
        <v>0</v>
      </c>
      <c r="R424" s="22" t="s">
        <v>2765</v>
      </c>
      <c r="S424" s="22" t="s">
        <v>5099</v>
      </c>
      <c r="T424" s="51">
        <v>33</v>
      </c>
      <c r="U424" s="3" t="s">
        <v>6381</v>
      </c>
      <c r="V424" s="41" t="str">
        <f>HYPERLINK("http://ictvonline.org/taxonomy/p/taxonomy-history?taxnode_id=20180101","ICTVonline=20180101")</f>
        <v>ICTVonline=20180101</v>
      </c>
    </row>
    <row r="425" spans="1:22">
      <c r="A425" s="3">
        <v>424</v>
      </c>
      <c r="F425" s="1" t="s">
        <v>6374</v>
      </c>
      <c r="G425" s="1" t="s">
        <v>6467</v>
      </c>
      <c r="H425" s="1" t="s">
        <v>6468</v>
      </c>
      <c r="J425" s="1" t="s">
        <v>4224</v>
      </c>
      <c r="L425" s="1" t="s">
        <v>4230</v>
      </c>
      <c r="N425" s="1" t="s">
        <v>1987</v>
      </c>
      <c r="P425" s="1" t="s">
        <v>3820</v>
      </c>
      <c r="Q425" s="3">
        <v>0</v>
      </c>
      <c r="R425" s="22" t="s">
        <v>2765</v>
      </c>
      <c r="S425" s="22" t="s">
        <v>5099</v>
      </c>
      <c r="T425" s="51">
        <v>33</v>
      </c>
      <c r="U425" s="3" t="s">
        <v>6381</v>
      </c>
      <c r="V425" s="41" t="str">
        <f>HYPERLINK("http://ictvonline.org/taxonomy/p/taxonomy-history?taxnode_id=20180102","ICTVonline=20180102")</f>
        <v>ICTVonline=20180102</v>
      </c>
    </row>
    <row r="426" spans="1:22">
      <c r="A426" s="3">
        <v>425</v>
      </c>
      <c r="F426" s="1" t="s">
        <v>6374</v>
      </c>
      <c r="G426" s="1" t="s">
        <v>6467</v>
      </c>
      <c r="H426" s="1" t="s">
        <v>6468</v>
      </c>
      <c r="J426" s="1" t="s">
        <v>4224</v>
      </c>
      <c r="L426" s="1" t="s">
        <v>4230</v>
      </c>
      <c r="N426" s="1" t="s">
        <v>1987</v>
      </c>
      <c r="P426" s="1" t="s">
        <v>3821</v>
      </c>
      <c r="Q426" s="3">
        <v>0</v>
      </c>
      <c r="R426" s="22" t="s">
        <v>2765</v>
      </c>
      <c r="S426" s="22" t="s">
        <v>5099</v>
      </c>
      <c r="T426" s="51">
        <v>33</v>
      </c>
      <c r="U426" s="3" t="s">
        <v>6381</v>
      </c>
      <c r="V426" s="41" t="str">
        <f>HYPERLINK("http://ictvonline.org/taxonomy/p/taxonomy-history?taxnode_id=20180103","ICTVonline=20180103")</f>
        <v>ICTVonline=20180103</v>
      </c>
    </row>
    <row r="427" spans="1:22">
      <c r="A427" s="3">
        <v>426</v>
      </c>
      <c r="F427" s="1" t="s">
        <v>6374</v>
      </c>
      <c r="G427" s="1" t="s">
        <v>6467</v>
      </c>
      <c r="H427" s="1" t="s">
        <v>6468</v>
      </c>
      <c r="J427" s="1" t="s">
        <v>4224</v>
      </c>
      <c r="L427" s="1" t="s">
        <v>4230</v>
      </c>
      <c r="N427" s="1" t="s">
        <v>1987</v>
      </c>
      <c r="P427" s="1" t="s">
        <v>3822</v>
      </c>
      <c r="Q427" s="3">
        <v>0</v>
      </c>
      <c r="R427" s="22" t="s">
        <v>2765</v>
      </c>
      <c r="S427" s="22" t="s">
        <v>5099</v>
      </c>
      <c r="T427" s="51">
        <v>33</v>
      </c>
      <c r="U427" s="3" t="s">
        <v>6381</v>
      </c>
      <c r="V427" s="41" t="str">
        <f>HYPERLINK("http://ictvonline.org/taxonomy/p/taxonomy-history?taxnode_id=20180104","ICTVonline=20180104")</f>
        <v>ICTVonline=20180104</v>
      </c>
    </row>
    <row r="428" spans="1:22">
      <c r="A428" s="3">
        <v>427</v>
      </c>
      <c r="F428" s="1" t="s">
        <v>6374</v>
      </c>
      <c r="G428" s="1" t="s">
        <v>6467</v>
      </c>
      <c r="H428" s="1" t="s">
        <v>6468</v>
      </c>
      <c r="J428" s="1" t="s">
        <v>4224</v>
      </c>
      <c r="L428" s="1" t="s">
        <v>4230</v>
      </c>
      <c r="N428" s="1" t="s">
        <v>1987</v>
      </c>
      <c r="P428" s="1" t="s">
        <v>3823</v>
      </c>
      <c r="Q428" s="3">
        <v>0</v>
      </c>
      <c r="R428" s="22" t="s">
        <v>2765</v>
      </c>
      <c r="S428" s="22" t="s">
        <v>5099</v>
      </c>
      <c r="T428" s="51">
        <v>33</v>
      </c>
      <c r="U428" s="3" t="s">
        <v>6381</v>
      </c>
      <c r="V428" s="41" t="str">
        <f>HYPERLINK("http://ictvonline.org/taxonomy/p/taxonomy-history?taxnode_id=20180105","ICTVonline=20180105")</f>
        <v>ICTVonline=20180105</v>
      </c>
    </row>
    <row r="429" spans="1:22">
      <c r="A429" s="3">
        <v>428</v>
      </c>
      <c r="F429" s="1" t="s">
        <v>6374</v>
      </c>
      <c r="G429" s="1" t="s">
        <v>6467</v>
      </c>
      <c r="H429" s="1" t="s">
        <v>6468</v>
      </c>
      <c r="J429" s="1" t="s">
        <v>4224</v>
      </c>
      <c r="L429" s="1" t="s">
        <v>4230</v>
      </c>
      <c r="N429" s="1" t="s">
        <v>1987</v>
      </c>
      <c r="P429" s="1" t="s">
        <v>3824</v>
      </c>
      <c r="Q429" s="3">
        <v>0</v>
      </c>
      <c r="R429" s="22" t="s">
        <v>2765</v>
      </c>
      <c r="S429" s="22" t="s">
        <v>5099</v>
      </c>
      <c r="T429" s="51">
        <v>33</v>
      </c>
      <c r="U429" s="3" t="s">
        <v>6381</v>
      </c>
      <c r="V429" s="41" t="str">
        <f>HYPERLINK("http://ictvonline.org/taxonomy/p/taxonomy-history?taxnode_id=20180106","ICTVonline=20180106")</f>
        <v>ICTVonline=20180106</v>
      </c>
    </row>
    <row r="430" spans="1:22">
      <c r="A430" s="3">
        <v>429</v>
      </c>
      <c r="F430" s="1" t="s">
        <v>6374</v>
      </c>
      <c r="G430" s="1" t="s">
        <v>6467</v>
      </c>
      <c r="H430" s="1" t="s">
        <v>6468</v>
      </c>
      <c r="J430" s="1" t="s">
        <v>4224</v>
      </c>
      <c r="L430" s="1" t="s">
        <v>4230</v>
      </c>
      <c r="N430" s="1" t="s">
        <v>1987</v>
      </c>
      <c r="P430" s="1" t="s">
        <v>3825</v>
      </c>
      <c r="Q430" s="3">
        <v>0</v>
      </c>
      <c r="R430" s="22" t="s">
        <v>2765</v>
      </c>
      <c r="S430" s="22" t="s">
        <v>5099</v>
      </c>
      <c r="T430" s="51">
        <v>33</v>
      </c>
      <c r="U430" s="3" t="s">
        <v>6381</v>
      </c>
      <c r="V430" s="41" t="str">
        <f>HYPERLINK("http://ictvonline.org/taxonomy/p/taxonomy-history?taxnode_id=20180107","ICTVonline=20180107")</f>
        <v>ICTVonline=20180107</v>
      </c>
    </row>
    <row r="431" spans="1:22">
      <c r="A431" s="3">
        <v>430</v>
      </c>
      <c r="F431" s="1" t="s">
        <v>6374</v>
      </c>
      <c r="G431" s="1" t="s">
        <v>6467</v>
      </c>
      <c r="H431" s="1" t="s">
        <v>6468</v>
      </c>
      <c r="J431" s="1" t="s">
        <v>4224</v>
      </c>
      <c r="L431" s="1" t="s">
        <v>4230</v>
      </c>
      <c r="N431" s="1" t="s">
        <v>1987</v>
      </c>
      <c r="P431" s="1" t="s">
        <v>3826</v>
      </c>
      <c r="Q431" s="3">
        <v>0</v>
      </c>
      <c r="R431" s="22" t="s">
        <v>2765</v>
      </c>
      <c r="S431" s="22" t="s">
        <v>5099</v>
      </c>
      <c r="T431" s="51">
        <v>33</v>
      </c>
      <c r="U431" s="3" t="s">
        <v>6381</v>
      </c>
      <c r="V431" s="41" t="str">
        <f>HYPERLINK("http://ictvonline.org/taxonomy/p/taxonomy-history?taxnode_id=20180108","ICTVonline=20180108")</f>
        <v>ICTVonline=20180108</v>
      </c>
    </row>
    <row r="432" spans="1:22">
      <c r="A432" s="3">
        <v>431</v>
      </c>
      <c r="F432" s="1" t="s">
        <v>6374</v>
      </c>
      <c r="G432" s="1" t="s">
        <v>6467</v>
      </c>
      <c r="H432" s="1" t="s">
        <v>6468</v>
      </c>
      <c r="J432" s="1" t="s">
        <v>4224</v>
      </c>
      <c r="L432" s="1" t="s">
        <v>4230</v>
      </c>
      <c r="N432" s="1" t="s">
        <v>1987</v>
      </c>
      <c r="P432" s="1" t="s">
        <v>3827</v>
      </c>
      <c r="Q432" s="3">
        <v>0</v>
      </c>
      <c r="R432" s="22" t="s">
        <v>2765</v>
      </c>
      <c r="S432" s="22" t="s">
        <v>5099</v>
      </c>
      <c r="T432" s="51">
        <v>33</v>
      </c>
      <c r="U432" s="3" t="s">
        <v>6381</v>
      </c>
      <c r="V432" s="41" t="str">
        <f>HYPERLINK("http://ictvonline.org/taxonomy/p/taxonomy-history?taxnode_id=20180109","ICTVonline=20180109")</f>
        <v>ICTVonline=20180109</v>
      </c>
    </row>
    <row r="433" spans="1:22">
      <c r="A433" s="3">
        <v>432</v>
      </c>
      <c r="F433" s="1" t="s">
        <v>6374</v>
      </c>
      <c r="G433" s="1" t="s">
        <v>6467</v>
      </c>
      <c r="H433" s="1" t="s">
        <v>6468</v>
      </c>
      <c r="J433" s="1" t="s">
        <v>4224</v>
      </c>
      <c r="L433" s="1" t="s">
        <v>4230</v>
      </c>
      <c r="N433" s="1" t="s">
        <v>1987</v>
      </c>
      <c r="P433" s="1" t="s">
        <v>3828</v>
      </c>
      <c r="Q433" s="3">
        <v>0</v>
      </c>
      <c r="R433" s="22" t="s">
        <v>2765</v>
      </c>
      <c r="S433" s="22" t="s">
        <v>5099</v>
      </c>
      <c r="T433" s="51">
        <v>33</v>
      </c>
      <c r="U433" s="3" t="s">
        <v>6381</v>
      </c>
      <c r="V433" s="41" t="str">
        <f>HYPERLINK("http://ictvonline.org/taxonomy/p/taxonomy-history?taxnode_id=20180110","ICTVonline=20180110")</f>
        <v>ICTVonline=20180110</v>
      </c>
    </row>
    <row r="434" spans="1:22">
      <c r="A434" s="3">
        <v>433</v>
      </c>
      <c r="F434" s="1" t="s">
        <v>6374</v>
      </c>
      <c r="G434" s="1" t="s">
        <v>6467</v>
      </c>
      <c r="H434" s="1" t="s">
        <v>6468</v>
      </c>
      <c r="J434" s="1" t="s">
        <v>4224</v>
      </c>
      <c r="L434" s="1" t="s">
        <v>4230</v>
      </c>
      <c r="N434" s="1" t="s">
        <v>1987</v>
      </c>
      <c r="P434" s="1" t="s">
        <v>3829</v>
      </c>
      <c r="Q434" s="3">
        <v>0</v>
      </c>
      <c r="R434" s="22" t="s">
        <v>2765</v>
      </c>
      <c r="S434" s="22" t="s">
        <v>5099</v>
      </c>
      <c r="T434" s="51">
        <v>33</v>
      </c>
      <c r="U434" s="3" t="s">
        <v>6381</v>
      </c>
      <c r="V434" s="41" t="str">
        <f>HYPERLINK("http://ictvonline.org/taxonomy/p/taxonomy-history?taxnode_id=20180111","ICTVonline=20180111")</f>
        <v>ICTVonline=20180111</v>
      </c>
    </row>
    <row r="435" spans="1:22">
      <c r="A435" s="3">
        <v>434</v>
      </c>
      <c r="F435" s="1" t="s">
        <v>6374</v>
      </c>
      <c r="G435" s="1" t="s">
        <v>6467</v>
      </c>
      <c r="H435" s="1" t="s">
        <v>6468</v>
      </c>
      <c r="J435" s="1" t="s">
        <v>4224</v>
      </c>
      <c r="L435" s="1" t="s">
        <v>4230</v>
      </c>
      <c r="N435" s="1" t="s">
        <v>1987</v>
      </c>
      <c r="P435" s="1" t="s">
        <v>3830</v>
      </c>
      <c r="Q435" s="3">
        <v>0</v>
      </c>
      <c r="R435" s="22" t="s">
        <v>2765</v>
      </c>
      <c r="S435" s="22" t="s">
        <v>5099</v>
      </c>
      <c r="T435" s="51">
        <v>33</v>
      </c>
      <c r="U435" s="3" t="s">
        <v>6381</v>
      </c>
      <c r="V435" s="41" t="str">
        <f>HYPERLINK("http://ictvonline.org/taxonomy/p/taxonomy-history?taxnode_id=20180112","ICTVonline=20180112")</f>
        <v>ICTVonline=20180112</v>
      </c>
    </row>
    <row r="436" spans="1:22">
      <c r="A436" s="3">
        <v>435</v>
      </c>
      <c r="F436" s="1" t="s">
        <v>6374</v>
      </c>
      <c r="G436" s="1" t="s">
        <v>6467</v>
      </c>
      <c r="H436" s="1" t="s">
        <v>6468</v>
      </c>
      <c r="J436" s="1" t="s">
        <v>4224</v>
      </c>
      <c r="L436" s="1" t="s">
        <v>4230</v>
      </c>
      <c r="N436" s="1" t="s">
        <v>1987</v>
      </c>
      <c r="P436" s="1" t="s">
        <v>3831</v>
      </c>
      <c r="Q436" s="3">
        <v>0</v>
      </c>
      <c r="R436" s="22" t="s">
        <v>2765</v>
      </c>
      <c r="S436" s="22" t="s">
        <v>5099</v>
      </c>
      <c r="T436" s="51">
        <v>33</v>
      </c>
      <c r="U436" s="3" t="s">
        <v>6381</v>
      </c>
      <c r="V436" s="41" t="str">
        <f>HYPERLINK("http://ictvonline.org/taxonomy/p/taxonomy-history?taxnode_id=20180113","ICTVonline=20180113")</f>
        <v>ICTVonline=20180113</v>
      </c>
    </row>
    <row r="437" spans="1:22">
      <c r="A437" s="3">
        <v>436</v>
      </c>
      <c r="F437" s="1" t="s">
        <v>6374</v>
      </c>
      <c r="G437" s="1" t="s">
        <v>6467</v>
      </c>
      <c r="H437" s="1" t="s">
        <v>6468</v>
      </c>
      <c r="J437" s="1" t="s">
        <v>4224</v>
      </c>
      <c r="L437" s="1" t="s">
        <v>4230</v>
      </c>
      <c r="N437" s="1" t="s">
        <v>1987</v>
      </c>
      <c r="P437" s="1" t="s">
        <v>3832</v>
      </c>
      <c r="Q437" s="3">
        <v>0</v>
      </c>
      <c r="R437" s="22" t="s">
        <v>2765</v>
      </c>
      <c r="S437" s="22" t="s">
        <v>5099</v>
      </c>
      <c r="T437" s="51">
        <v>33</v>
      </c>
      <c r="U437" s="3" t="s">
        <v>6381</v>
      </c>
      <c r="V437" s="41" t="str">
        <f>HYPERLINK("http://ictvonline.org/taxonomy/p/taxonomy-history?taxnode_id=20180114","ICTVonline=20180114")</f>
        <v>ICTVonline=20180114</v>
      </c>
    </row>
    <row r="438" spans="1:22">
      <c r="A438" s="3">
        <v>437</v>
      </c>
      <c r="F438" s="1" t="s">
        <v>6374</v>
      </c>
      <c r="G438" s="1" t="s">
        <v>6467</v>
      </c>
      <c r="H438" s="1" t="s">
        <v>6468</v>
      </c>
      <c r="J438" s="1" t="s">
        <v>4224</v>
      </c>
      <c r="L438" s="1" t="s">
        <v>4230</v>
      </c>
      <c r="N438" s="1" t="s">
        <v>1987</v>
      </c>
      <c r="P438" s="1" t="s">
        <v>3833</v>
      </c>
      <c r="Q438" s="3">
        <v>0</v>
      </c>
      <c r="R438" s="22" t="s">
        <v>2765</v>
      </c>
      <c r="S438" s="22" t="s">
        <v>5099</v>
      </c>
      <c r="T438" s="51">
        <v>33</v>
      </c>
      <c r="U438" s="3" t="s">
        <v>6381</v>
      </c>
      <c r="V438" s="41" t="str">
        <f>HYPERLINK("http://ictvonline.org/taxonomy/p/taxonomy-history?taxnode_id=20180115","ICTVonline=20180115")</f>
        <v>ICTVonline=20180115</v>
      </c>
    </row>
    <row r="439" spans="1:22">
      <c r="A439" s="3">
        <v>438</v>
      </c>
      <c r="F439" s="1" t="s">
        <v>6374</v>
      </c>
      <c r="G439" s="1" t="s">
        <v>6467</v>
      </c>
      <c r="H439" s="1" t="s">
        <v>6468</v>
      </c>
      <c r="J439" s="1" t="s">
        <v>4224</v>
      </c>
      <c r="L439" s="1" t="s">
        <v>4230</v>
      </c>
      <c r="N439" s="1" t="s">
        <v>1987</v>
      </c>
      <c r="P439" s="1" t="s">
        <v>3834</v>
      </c>
      <c r="Q439" s="3">
        <v>0</v>
      </c>
      <c r="R439" s="22" t="s">
        <v>2765</v>
      </c>
      <c r="S439" s="22" t="s">
        <v>5099</v>
      </c>
      <c r="T439" s="51">
        <v>33</v>
      </c>
      <c r="U439" s="3" t="s">
        <v>6381</v>
      </c>
      <c r="V439" s="41" t="str">
        <f>HYPERLINK("http://ictvonline.org/taxonomy/p/taxonomy-history?taxnode_id=20180116","ICTVonline=20180116")</f>
        <v>ICTVonline=20180116</v>
      </c>
    </row>
    <row r="440" spans="1:22">
      <c r="A440" s="3">
        <v>439</v>
      </c>
      <c r="F440" s="1" t="s">
        <v>6374</v>
      </c>
      <c r="G440" s="1" t="s">
        <v>6467</v>
      </c>
      <c r="H440" s="1" t="s">
        <v>6468</v>
      </c>
      <c r="J440" s="1" t="s">
        <v>4224</v>
      </c>
      <c r="L440" s="1" t="s">
        <v>4230</v>
      </c>
      <c r="N440" s="1" t="s">
        <v>1987</v>
      </c>
      <c r="P440" s="1" t="s">
        <v>3835</v>
      </c>
      <c r="Q440" s="3">
        <v>0</v>
      </c>
      <c r="R440" s="22" t="s">
        <v>2765</v>
      </c>
      <c r="S440" s="22" t="s">
        <v>5099</v>
      </c>
      <c r="T440" s="51">
        <v>33</v>
      </c>
      <c r="U440" s="3" t="s">
        <v>6381</v>
      </c>
      <c r="V440" s="41" t="str">
        <f>HYPERLINK("http://ictvonline.org/taxonomy/p/taxonomy-history?taxnode_id=20180117","ICTVonline=20180117")</f>
        <v>ICTVonline=20180117</v>
      </c>
    </row>
    <row r="441" spans="1:22">
      <c r="A441" s="3">
        <v>440</v>
      </c>
      <c r="F441" s="1" t="s">
        <v>6374</v>
      </c>
      <c r="G441" s="1" t="s">
        <v>6467</v>
      </c>
      <c r="H441" s="1" t="s">
        <v>6468</v>
      </c>
      <c r="J441" s="1" t="s">
        <v>4224</v>
      </c>
      <c r="L441" s="1" t="s">
        <v>4230</v>
      </c>
      <c r="N441" s="1" t="s">
        <v>1987</v>
      </c>
      <c r="P441" s="1" t="s">
        <v>3836</v>
      </c>
      <c r="Q441" s="3">
        <v>0</v>
      </c>
      <c r="R441" s="22" t="s">
        <v>2765</v>
      </c>
      <c r="S441" s="22" t="s">
        <v>5099</v>
      </c>
      <c r="T441" s="51">
        <v>33</v>
      </c>
      <c r="U441" s="3" t="s">
        <v>6381</v>
      </c>
      <c r="V441" s="41" t="str">
        <f>HYPERLINK("http://ictvonline.org/taxonomy/p/taxonomy-history?taxnode_id=20180118","ICTVonline=20180118")</f>
        <v>ICTVonline=20180118</v>
      </c>
    </row>
    <row r="442" spans="1:22">
      <c r="A442" s="3">
        <v>441</v>
      </c>
      <c r="F442" s="1" t="s">
        <v>6374</v>
      </c>
      <c r="G442" s="1" t="s">
        <v>6467</v>
      </c>
      <c r="H442" s="1" t="s">
        <v>6468</v>
      </c>
      <c r="J442" s="1" t="s">
        <v>4224</v>
      </c>
      <c r="L442" s="1" t="s">
        <v>4230</v>
      </c>
      <c r="N442" s="1" t="s">
        <v>1987</v>
      </c>
      <c r="P442" s="1" t="s">
        <v>3837</v>
      </c>
      <c r="Q442" s="3">
        <v>0</v>
      </c>
      <c r="R442" s="22" t="s">
        <v>2765</v>
      </c>
      <c r="S442" s="22" t="s">
        <v>5099</v>
      </c>
      <c r="T442" s="51">
        <v>33</v>
      </c>
      <c r="U442" s="3" t="s">
        <v>6381</v>
      </c>
      <c r="V442" s="41" t="str">
        <f>HYPERLINK("http://ictvonline.org/taxonomy/p/taxonomy-history?taxnode_id=20180119","ICTVonline=20180119")</f>
        <v>ICTVonline=20180119</v>
      </c>
    </row>
    <row r="443" spans="1:22">
      <c r="A443" s="3">
        <v>442</v>
      </c>
      <c r="F443" s="1" t="s">
        <v>6374</v>
      </c>
      <c r="G443" s="1" t="s">
        <v>6467</v>
      </c>
      <c r="H443" s="1" t="s">
        <v>6468</v>
      </c>
      <c r="J443" s="1" t="s">
        <v>4224</v>
      </c>
      <c r="L443" s="1" t="s">
        <v>4230</v>
      </c>
      <c r="N443" s="1" t="s">
        <v>1987</v>
      </c>
      <c r="P443" s="1" t="s">
        <v>3838</v>
      </c>
      <c r="Q443" s="3">
        <v>0</v>
      </c>
      <c r="R443" s="22" t="s">
        <v>2765</v>
      </c>
      <c r="S443" s="22" t="s">
        <v>5099</v>
      </c>
      <c r="T443" s="51">
        <v>33</v>
      </c>
      <c r="U443" s="3" t="s">
        <v>6381</v>
      </c>
      <c r="V443" s="41" t="str">
        <f>HYPERLINK("http://ictvonline.org/taxonomy/p/taxonomy-history?taxnode_id=20180120","ICTVonline=20180120")</f>
        <v>ICTVonline=20180120</v>
      </c>
    </row>
    <row r="444" spans="1:22">
      <c r="A444" s="3">
        <v>443</v>
      </c>
      <c r="F444" s="1" t="s">
        <v>6374</v>
      </c>
      <c r="G444" s="1" t="s">
        <v>6467</v>
      </c>
      <c r="H444" s="1" t="s">
        <v>6468</v>
      </c>
      <c r="J444" s="1" t="s">
        <v>4224</v>
      </c>
      <c r="L444" s="1" t="s">
        <v>4230</v>
      </c>
      <c r="N444" s="1" t="s">
        <v>1987</v>
      </c>
      <c r="P444" s="1" t="s">
        <v>3839</v>
      </c>
      <c r="Q444" s="3">
        <v>0</v>
      </c>
      <c r="R444" s="22" t="s">
        <v>2765</v>
      </c>
      <c r="S444" s="22" t="s">
        <v>5099</v>
      </c>
      <c r="T444" s="51">
        <v>33</v>
      </c>
      <c r="U444" s="3" t="s">
        <v>6381</v>
      </c>
      <c r="V444" s="41" t="str">
        <f>HYPERLINK("http://ictvonline.org/taxonomy/p/taxonomy-history?taxnode_id=20180121","ICTVonline=20180121")</f>
        <v>ICTVonline=20180121</v>
      </c>
    </row>
    <row r="445" spans="1:22">
      <c r="A445" s="3">
        <v>444</v>
      </c>
      <c r="F445" s="1" t="s">
        <v>6374</v>
      </c>
      <c r="G445" s="1" t="s">
        <v>6467</v>
      </c>
      <c r="H445" s="1" t="s">
        <v>6468</v>
      </c>
      <c r="J445" s="1" t="s">
        <v>4224</v>
      </c>
      <c r="L445" s="1" t="s">
        <v>4230</v>
      </c>
      <c r="N445" s="1" t="s">
        <v>1987</v>
      </c>
      <c r="P445" s="1" t="s">
        <v>3840</v>
      </c>
      <c r="Q445" s="3">
        <v>0</v>
      </c>
      <c r="R445" s="22" t="s">
        <v>2765</v>
      </c>
      <c r="S445" s="22" t="s">
        <v>5099</v>
      </c>
      <c r="T445" s="51">
        <v>33</v>
      </c>
      <c r="U445" s="3" t="s">
        <v>6381</v>
      </c>
      <c r="V445" s="41" t="str">
        <f>HYPERLINK("http://ictvonline.org/taxonomy/p/taxonomy-history?taxnode_id=20180122","ICTVonline=20180122")</f>
        <v>ICTVonline=20180122</v>
      </c>
    </row>
    <row r="446" spans="1:22">
      <c r="A446" s="3">
        <v>445</v>
      </c>
      <c r="F446" s="1" t="s">
        <v>6374</v>
      </c>
      <c r="G446" s="1" t="s">
        <v>6467</v>
      </c>
      <c r="H446" s="1" t="s">
        <v>6468</v>
      </c>
      <c r="J446" s="1" t="s">
        <v>4224</v>
      </c>
      <c r="L446" s="1" t="s">
        <v>4230</v>
      </c>
      <c r="N446" s="1" t="s">
        <v>1987</v>
      </c>
      <c r="P446" s="1" t="s">
        <v>3841</v>
      </c>
      <c r="Q446" s="3">
        <v>0</v>
      </c>
      <c r="R446" s="22" t="s">
        <v>2765</v>
      </c>
      <c r="S446" s="22" t="s">
        <v>5099</v>
      </c>
      <c r="T446" s="51">
        <v>33</v>
      </c>
      <c r="U446" s="3" t="s">
        <v>6381</v>
      </c>
      <c r="V446" s="41" t="str">
        <f>HYPERLINK("http://ictvonline.org/taxonomy/p/taxonomy-history?taxnode_id=20180123","ICTVonline=20180123")</f>
        <v>ICTVonline=20180123</v>
      </c>
    </row>
    <row r="447" spans="1:22">
      <c r="A447" s="3">
        <v>446</v>
      </c>
      <c r="F447" s="1" t="s">
        <v>6374</v>
      </c>
      <c r="G447" s="1" t="s">
        <v>6467</v>
      </c>
      <c r="H447" s="1" t="s">
        <v>6468</v>
      </c>
      <c r="J447" s="1" t="s">
        <v>4224</v>
      </c>
      <c r="L447" s="1" t="s">
        <v>4230</v>
      </c>
      <c r="N447" s="1" t="s">
        <v>1987</v>
      </c>
      <c r="P447" s="1" t="s">
        <v>3842</v>
      </c>
      <c r="Q447" s="3">
        <v>0</v>
      </c>
      <c r="R447" s="22" t="s">
        <v>2765</v>
      </c>
      <c r="S447" s="22" t="s">
        <v>5099</v>
      </c>
      <c r="T447" s="51">
        <v>33</v>
      </c>
      <c r="U447" s="3" t="s">
        <v>6381</v>
      </c>
      <c r="V447" s="41" t="str">
        <f>HYPERLINK("http://ictvonline.org/taxonomy/p/taxonomy-history?taxnode_id=20180124","ICTVonline=20180124")</f>
        <v>ICTVonline=20180124</v>
      </c>
    </row>
    <row r="448" spans="1:22">
      <c r="A448" s="3">
        <v>447</v>
      </c>
      <c r="F448" s="1" t="s">
        <v>6374</v>
      </c>
      <c r="G448" s="1" t="s">
        <v>6467</v>
      </c>
      <c r="H448" s="1" t="s">
        <v>6468</v>
      </c>
      <c r="J448" s="1" t="s">
        <v>4224</v>
      </c>
      <c r="L448" s="1" t="s">
        <v>4230</v>
      </c>
      <c r="N448" s="1" t="s">
        <v>1987</v>
      </c>
      <c r="P448" s="1" t="s">
        <v>3843</v>
      </c>
      <c r="Q448" s="3">
        <v>0</v>
      </c>
      <c r="R448" s="22" t="s">
        <v>2765</v>
      </c>
      <c r="S448" s="22" t="s">
        <v>5099</v>
      </c>
      <c r="T448" s="51">
        <v>33</v>
      </c>
      <c r="U448" s="3" t="s">
        <v>6381</v>
      </c>
      <c r="V448" s="41" t="str">
        <f>HYPERLINK("http://ictvonline.org/taxonomy/p/taxonomy-history?taxnode_id=20180125","ICTVonline=20180125")</f>
        <v>ICTVonline=20180125</v>
      </c>
    </row>
    <row r="449" spans="1:22">
      <c r="A449" s="3">
        <v>448</v>
      </c>
      <c r="F449" s="1" t="s">
        <v>6374</v>
      </c>
      <c r="G449" s="1" t="s">
        <v>6467</v>
      </c>
      <c r="H449" s="1" t="s">
        <v>6468</v>
      </c>
      <c r="J449" s="1" t="s">
        <v>4224</v>
      </c>
      <c r="L449" s="1" t="s">
        <v>4230</v>
      </c>
      <c r="N449" s="1" t="s">
        <v>1987</v>
      </c>
      <c r="P449" s="1" t="s">
        <v>3844</v>
      </c>
      <c r="Q449" s="3">
        <v>0</v>
      </c>
      <c r="R449" s="22" t="s">
        <v>2765</v>
      </c>
      <c r="S449" s="22" t="s">
        <v>5099</v>
      </c>
      <c r="T449" s="51">
        <v>33</v>
      </c>
      <c r="U449" s="3" t="s">
        <v>6381</v>
      </c>
      <c r="V449" s="41" t="str">
        <f>HYPERLINK("http://ictvonline.org/taxonomy/p/taxonomy-history?taxnode_id=20180126","ICTVonline=20180126")</f>
        <v>ICTVonline=20180126</v>
      </c>
    </row>
    <row r="450" spans="1:22">
      <c r="A450" s="3">
        <v>449</v>
      </c>
      <c r="F450" s="1" t="s">
        <v>6374</v>
      </c>
      <c r="G450" s="1" t="s">
        <v>6467</v>
      </c>
      <c r="H450" s="1" t="s">
        <v>6468</v>
      </c>
      <c r="J450" s="1" t="s">
        <v>4224</v>
      </c>
      <c r="L450" s="1" t="s">
        <v>4230</v>
      </c>
      <c r="N450" s="1" t="s">
        <v>1987</v>
      </c>
      <c r="P450" s="1" t="s">
        <v>3845</v>
      </c>
      <c r="Q450" s="3">
        <v>0</v>
      </c>
      <c r="R450" s="22" t="s">
        <v>2765</v>
      </c>
      <c r="S450" s="22" t="s">
        <v>5099</v>
      </c>
      <c r="T450" s="51">
        <v>33</v>
      </c>
      <c r="U450" s="3" t="s">
        <v>6381</v>
      </c>
      <c r="V450" s="41" t="str">
        <f>HYPERLINK("http://ictvonline.org/taxonomy/p/taxonomy-history?taxnode_id=20180127","ICTVonline=20180127")</f>
        <v>ICTVonline=20180127</v>
      </c>
    </row>
    <row r="451" spans="1:22">
      <c r="A451" s="3">
        <v>450</v>
      </c>
      <c r="F451" s="1" t="s">
        <v>6374</v>
      </c>
      <c r="G451" s="1" t="s">
        <v>6467</v>
      </c>
      <c r="H451" s="1" t="s">
        <v>6468</v>
      </c>
      <c r="J451" s="1" t="s">
        <v>4224</v>
      </c>
      <c r="L451" s="1" t="s">
        <v>4230</v>
      </c>
      <c r="N451" s="1" t="s">
        <v>1987</v>
      </c>
      <c r="P451" s="1" t="s">
        <v>3846</v>
      </c>
      <c r="Q451" s="3">
        <v>0</v>
      </c>
      <c r="R451" s="22" t="s">
        <v>2765</v>
      </c>
      <c r="S451" s="22" t="s">
        <v>5099</v>
      </c>
      <c r="T451" s="51">
        <v>33</v>
      </c>
      <c r="U451" s="3" t="s">
        <v>6381</v>
      </c>
      <c r="V451" s="41" t="str">
        <f>HYPERLINK("http://ictvonline.org/taxonomy/p/taxonomy-history?taxnode_id=20180128","ICTVonline=20180128")</f>
        <v>ICTVonline=20180128</v>
      </c>
    </row>
    <row r="452" spans="1:22">
      <c r="A452" s="3">
        <v>451</v>
      </c>
      <c r="F452" s="1" t="s">
        <v>6374</v>
      </c>
      <c r="G452" s="1" t="s">
        <v>6467</v>
      </c>
      <c r="H452" s="1" t="s">
        <v>6468</v>
      </c>
      <c r="J452" s="1" t="s">
        <v>4224</v>
      </c>
      <c r="L452" s="1" t="s">
        <v>4230</v>
      </c>
      <c r="N452" s="1" t="s">
        <v>1987</v>
      </c>
      <c r="P452" s="1" t="s">
        <v>3847</v>
      </c>
      <c r="Q452" s="3">
        <v>0</v>
      </c>
      <c r="R452" s="22" t="s">
        <v>2765</v>
      </c>
      <c r="S452" s="22" t="s">
        <v>5099</v>
      </c>
      <c r="T452" s="51">
        <v>33</v>
      </c>
      <c r="U452" s="3" t="s">
        <v>6381</v>
      </c>
      <c r="V452" s="41" t="str">
        <f>HYPERLINK("http://ictvonline.org/taxonomy/p/taxonomy-history?taxnode_id=20180129","ICTVonline=20180129")</f>
        <v>ICTVonline=20180129</v>
      </c>
    </row>
    <row r="453" spans="1:22">
      <c r="A453" s="3">
        <v>452</v>
      </c>
      <c r="F453" s="1" t="s">
        <v>6374</v>
      </c>
      <c r="G453" s="1" t="s">
        <v>6467</v>
      </c>
      <c r="H453" s="1" t="s">
        <v>6468</v>
      </c>
      <c r="J453" s="1" t="s">
        <v>4224</v>
      </c>
      <c r="L453" s="1" t="s">
        <v>4230</v>
      </c>
      <c r="N453" s="1" t="s">
        <v>1987</v>
      </c>
      <c r="P453" s="1" t="s">
        <v>3848</v>
      </c>
      <c r="Q453" s="3">
        <v>0</v>
      </c>
      <c r="R453" s="22" t="s">
        <v>2765</v>
      </c>
      <c r="S453" s="22" t="s">
        <v>5099</v>
      </c>
      <c r="T453" s="51">
        <v>33</v>
      </c>
      <c r="U453" s="3" t="s">
        <v>6381</v>
      </c>
      <c r="V453" s="41" t="str">
        <f>HYPERLINK("http://ictvonline.org/taxonomy/p/taxonomy-history?taxnode_id=20180130","ICTVonline=20180130")</f>
        <v>ICTVonline=20180130</v>
      </c>
    </row>
    <row r="454" spans="1:22">
      <c r="A454" s="3">
        <v>453</v>
      </c>
      <c r="F454" s="1" t="s">
        <v>6374</v>
      </c>
      <c r="G454" s="1" t="s">
        <v>6467</v>
      </c>
      <c r="H454" s="1" t="s">
        <v>6468</v>
      </c>
      <c r="J454" s="1" t="s">
        <v>4224</v>
      </c>
      <c r="L454" s="1" t="s">
        <v>4230</v>
      </c>
      <c r="N454" s="1" t="s">
        <v>1987</v>
      </c>
      <c r="P454" s="1" t="s">
        <v>3849</v>
      </c>
      <c r="Q454" s="3">
        <v>0</v>
      </c>
      <c r="R454" s="22" t="s">
        <v>2765</v>
      </c>
      <c r="S454" s="22" t="s">
        <v>5099</v>
      </c>
      <c r="T454" s="51">
        <v>33</v>
      </c>
      <c r="U454" s="3" t="s">
        <v>6381</v>
      </c>
      <c r="V454" s="41" t="str">
        <f>HYPERLINK("http://ictvonline.org/taxonomy/p/taxonomy-history?taxnode_id=20180131","ICTVonline=20180131")</f>
        <v>ICTVonline=20180131</v>
      </c>
    </row>
    <row r="455" spans="1:22">
      <c r="A455" s="3">
        <v>454</v>
      </c>
      <c r="F455" s="1" t="s">
        <v>6374</v>
      </c>
      <c r="G455" s="1" t="s">
        <v>6467</v>
      </c>
      <c r="H455" s="1" t="s">
        <v>6468</v>
      </c>
      <c r="J455" s="1" t="s">
        <v>4224</v>
      </c>
      <c r="L455" s="1" t="s">
        <v>4230</v>
      </c>
      <c r="N455" s="1" t="s">
        <v>1987</v>
      </c>
      <c r="P455" s="1" t="s">
        <v>3850</v>
      </c>
      <c r="Q455" s="3">
        <v>0</v>
      </c>
      <c r="R455" s="22" t="s">
        <v>2765</v>
      </c>
      <c r="S455" s="22" t="s">
        <v>5099</v>
      </c>
      <c r="T455" s="51">
        <v>33</v>
      </c>
      <c r="U455" s="3" t="s">
        <v>6381</v>
      </c>
      <c r="V455" s="41" t="str">
        <f>HYPERLINK("http://ictvonline.org/taxonomy/p/taxonomy-history?taxnode_id=20180132","ICTVonline=20180132")</f>
        <v>ICTVonline=20180132</v>
      </c>
    </row>
    <row r="456" spans="1:22">
      <c r="A456" s="3">
        <v>455</v>
      </c>
      <c r="F456" s="1" t="s">
        <v>6374</v>
      </c>
      <c r="G456" s="1" t="s">
        <v>6467</v>
      </c>
      <c r="H456" s="1" t="s">
        <v>6468</v>
      </c>
      <c r="J456" s="1" t="s">
        <v>4224</v>
      </c>
      <c r="L456" s="1" t="s">
        <v>4230</v>
      </c>
      <c r="N456" s="1" t="s">
        <v>1987</v>
      </c>
      <c r="P456" s="1" t="s">
        <v>3851</v>
      </c>
      <c r="Q456" s="3">
        <v>0</v>
      </c>
      <c r="R456" s="22" t="s">
        <v>2765</v>
      </c>
      <c r="S456" s="22" t="s">
        <v>5099</v>
      </c>
      <c r="T456" s="51">
        <v>33</v>
      </c>
      <c r="U456" s="3" t="s">
        <v>6381</v>
      </c>
      <c r="V456" s="41" t="str">
        <f>HYPERLINK("http://ictvonline.org/taxonomy/p/taxonomy-history?taxnode_id=20180133","ICTVonline=20180133")</f>
        <v>ICTVonline=20180133</v>
      </c>
    </row>
    <row r="457" spans="1:22">
      <c r="A457" s="3">
        <v>456</v>
      </c>
      <c r="F457" s="1" t="s">
        <v>6374</v>
      </c>
      <c r="G457" s="1" t="s">
        <v>6467</v>
      </c>
      <c r="H457" s="1" t="s">
        <v>6468</v>
      </c>
      <c r="J457" s="1" t="s">
        <v>4224</v>
      </c>
      <c r="L457" s="1" t="s">
        <v>4230</v>
      </c>
      <c r="N457" s="1" t="s">
        <v>1987</v>
      </c>
      <c r="P457" s="1" t="s">
        <v>3852</v>
      </c>
      <c r="Q457" s="3">
        <v>0</v>
      </c>
      <c r="R457" s="22" t="s">
        <v>2765</v>
      </c>
      <c r="S457" s="22" t="s">
        <v>5099</v>
      </c>
      <c r="T457" s="51">
        <v>33</v>
      </c>
      <c r="U457" s="3" t="s">
        <v>6381</v>
      </c>
      <c r="V457" s="41" t="str">
        <f>HYPERLINK("http://ictvonline.org/taxonomy/p/taxonomy-history?taxnode_id=20180134","ICTVonline=20180134")</f>
        <v>ICTVonline=20180134</v>
      </c>
    </row>
    <row r="458" spans="1:22">
      <c r="A458" s="3">
        <v>457</v>
      </c>
      <c r="F458" s="1" t="s">
        <v>6374</v>
      </c>
      <c r="G458" s="1" t="s">
        <v>6467</v>
      </c>
      <c r="H458" s="1" t="s">
        <v>6468</v>
      </c>
      <c r="J458" s="1" t="s">
        <v>4224</v>
      </c>
      <c r="L458" s="1" t="s">
        <v>4230</v>
      </c>
      <c r="N458" s="1" t="s">
        <v>1987</v>
      </c>
      <c r="P458" s="1" t="s">
        <v>5199</v>
      </c>
      <c r="Q458" s="3">
        <v>0</v>
      </c>
      <c r="R458" s="22" t="s">
        <v>2765</v>
      </c>
      <c r="S458" s="22" t="s">
        <v>5099</v>
      </c>
      <c r="T458" s="51">
        <v>33</v>
      </c>
      <c r="U458" s="3" t="s">
        <v>6381</v>
      </c>
      <c r="V458" s="41" t="str">
        <f>HYPERLINK("http://ictvonline.org/taxonomy/p/taxonomy-history?taxnode_id=20185464","ICTVonline=20185464")</f>
        <v>ICTVonline=20185464</v>
      </c>
    </row>
    <row r="459" spans="1:22">
      <c r="A459" s="3">
        <v>458</v>
      </c>
      <c r="F459" s="1" t="s">
        <v>6374</v>
      </c>
      <c r="G459" s="1" t="s">
        <v>6467</v>
      </c>
      <c r="H459" s="1" t="s">
        <v>6468</v>
      </c>
      <c r="J459" s="1" t="s">
        <v>4224</v>
      </c>
      <c r="L459" s="1" t="s">
        <v>4230</v>
      </c>
      <c r="N459" s="1" t="s">
        <v>1987</v>
      </c>
      <c r="P459" s="1" t="s">
        <v>3853</v>
      </c>
      <c r="Q459" s="3">
        <v>0</v>
      </c>
      <c r="R459" s="22" t="s">
        <v>2765</v>
      </c>
      <c r="S459" s="22" t="s">
        <v>5099</v>
      </c>
      <c r="T459" s="51">
        <v>33</v>
      </c>
      <c r="U459" s="3" t="s">
        <v>6381</v>
      </c>
      <c r="V459" s="41" t="str">
        <f>HYPERLINK("http://ictvonline.org/taxonomy/p/taxonomy-history?taxnode_id=20180135","ICTVonline=20180135")</f>
        <v>ICTVonline=20180135</v>
      </c>
    </row>
    <row r="460" spans="1:22">
      <c r="A460" s="3">
        <v>459</v>
      </c>
      <c r="F460" s="1" t="s">
        <v>6374</v>
      </c>
      <c r="G460" s="1" t="s">
        <v>6467</v>
      </c>
      <c r="H460" s="1" t="s">
        <v>6468</v>
      </c>
      <c r="J460" s="1" t="s">
        <v>4224</v>
      </c>
      <c r="L460" s="1" t="s">
        <v>4230</v>
      </c>
      <c r="N460" s="1" t="s">
        <v>1987</v>
      </c>
      <c r="P460" s="1" t="s">
        <v>3854</v>
      </c>
      <c r="Q460" s="3">
        <v>0</v>
      </c>
      <c r="R460" s="22" t="s">
        <v>2765</v>
      </c>
      <c r="S460" s="22" t="s">
        <v>5099</v>
      </c>
      <c r="T460" s="51">
        <v>33</v>
      </c>
      <c r="U460" s="3" t="s">
        <v>6381</v>
      </c>
      <c r="V460" s="41" t="str">
        <f>HYPERLINK("http://ictvonline.org/taxonomy/p/taxonomy-history?taxnode_id=20180136","ICTVonline=20180136")</f>
        <v>ICTVonline=20180136</v>
      </c>
    </row>
    <row r="461" spans="1:22">
      <c r="A461" s="3">
        <v>460</v>
      </c>
      <c r="F461" s="1" t="s">
        <v>6374</v>
      </c>
      <c r="G461" s="1" t="s">
        <v>6467</v>
      </c>
      <c r="H461" s="1" t="s">
        <v>6468</v>
      </c>
      <c r="J461" s="1" t="s">
        <v>4224</v>
      </c>
      <c r="L461" s="1" t="s">
        <v>4230</v>
      </c>
      <c r="N461" s="1" t="s">
        <v>6489</v>
      </c>
      <c r="P461" s="1" t="s">
        <v>6490</v>
      </c>
      <c r="Q461" s="3">
        <v>1</v>
      </c>
      <c r="R461" s="22" t="s">
        <v>2765</v>
      </c>
      <c r="S461" s="22" t="s">
        <v>5098</v>
      </c>
      <c r="T461" s="51">
        <v>33</v>
      </c>
      <c r="U461" s="3" t="s">
        <v>6472</v>
      </c>
      <c r="V461" s="41" t="str">
        <f>HYPERLINK("http://ictvonline.org/taxonomy/p/taxonomy-history?taxnode_id=20180085","ICTVonline=20180085")</f>
        <v>ICTVonline=20180085</v>
      </c>
    </row>
    <row r="462" spans="1:22">
      <c r="A462" s="3">
        <v>461</v>
      </c>
      <c r="F462" s="1" t="s">
        <v>6374</v>
      </c>
      <c r="G462" s="1" t="s">
        <v>6467</v>
      </c>
      <c r="H462" s="1" t="s">
        <v>6468</v>
      </c>
      <c r="J462" s="1" t="s">
        <v>4224</v>
      </c>
      <c r="L462" s="1" t="s">
        <v>4230</v>
      </c>
      <c r="N462" s="1" t="s">
        <v>6491</v>
      </c>
      <c r="P462" s="1" t="s">
        <v>6492</v>
      </c>
      <c r="Q462" s="3">
        <v>0</v>
      </c>
      <c r="R462" s="22" t="s">
        <v>3794</v>
      </c>
      <c r="S462" s="22" t="s">
        <v>5098</v>
      </c>
      <c r="T462" s="51">
        <v>33</v>
      </c>
      <c r="U462" s="3" t="s">
        <v>6472</v>
      </c>
      <c r="V462" s="41" t="str">
        <f>HYPERLINK("http://ictvonline.org/taxonomy/p/taxonomy-history?taxnode_id=20180179","ICTVonline=20180179")</f>
        <v>ICTVonline=20180179</v>
      </c>
    </row>
    <row r="463" spans="1:22">
      <c r="A463" s="3">
        <v>462</v>
      </c>
      <c r="F463" s="1" t="s">
        <v>6374</v>
      </c>
      <c r="G463" s="1" t="s">
        <v>6467</v>
      </c>
      <c r="H463" s="1" t="s">
        <v>6468</v>
      </c>
      <c r="J463" s="1" t="s">
        <v>4224</v>
      </c>
      <c r="L463" s="1" t="s">
        <v>4230</v>
      </c>
      <c r="N463" s="1" t="s">
        <v>6491</v>
      </c>
      <c r="P463" s="1" t="s">
        <v>6493</v>
      </c>
      <c r="Q463" s="3">
        <v>0</v>
      </c>
      <c r="R463" s="22" t="s">
        <v>3794</v>
      </c>
      <c r="S463" s="22" t="s">
        <v>5098</v>
      </c>
      <c r="T463" s="51">
        <v>33</v>
      </c>
      <c r="U463" s="3" t="s">
        <v>6472</v>
      </c>
      <c r="V463" s="41" t="str">
        <f>HYPERLINK("http://ictvonline.org/taxonomy/p/taxonomy-history?taxnode_id=20180180","ICTVonline=20180180")</f>
        <v>ICTVonline=20180180</v>
      </c>
    </row>
    <row r="464" spans="1:22">
      <c r="A464" s="3">
        <v>463</v>
      </c>
      <c r="F464" s="1" t="s">
        <v>6374</v>
      </c>
      <c r="G464" s="1" t="s">
        <v>6467</v>
      </c>
      <c r="H464" s="1" t="s">
        <v>6468</v>
      </c>
      <c r="J464" s="1" t="s">
        <v>4224</v>
      </c>
      <c r="L464" s="1" t="s">
        <v>4230</v>
      </c>
      <c r="N464" s="1" t="s">
        <v>6491</v>
      </c>
      <c r="P464" s="1" t="s">
        <v>6494</v>
      </c>
      <c r="Q464" s="3">
        <v>0</v>
      </c>
      <c r="R464" s="22" t="s">
        <v>3794</v>
      </c>
      <c r="S464" s="22" t="s">
        <v>5098</v>
      </c>
      <c r="T464" s="51">
        <v>33</v>
      </c>
      <c r="U464" s="3" t="s">
        <v>6472</v>
      </c>
      <c r="V464" s="41" t="str">
        <f>HYPERLINK("http://ictvonline.org/taxonomy/p/taxonomy-history?taxnode_id=20180181","ICTVonline=20180181")</f>
        <v>ICTVonline=20180181</v>
      </c>
    </row>
    <row r="465" spans="1:22">
      <c r="A465" s="3">
        <v>464</v>
      </c>
      <c r="F465" s="1" t="s">
        <v>6374</v>
      </c>
      <c r="G465" s="1" t="s">
        <v>6467</v>
      </c>
      <c r="H465" s="1" t="s">
        <v>6468</v>
      </c>
      <c r="J465" s="1" t="s">
        <v>4224</v>
      </c>
      <c r="L465" s="1" t="s">
        <v>4230</v>
      </c>
      <c r="N465" s="1" t="s">
        <v>6491</v>
      </c>
      <c r="P465" s="1" t="s">
        <v>6495</v>
      </c>
      <c r="Q465" s="3">
        <v>0</v>
      </c>
      <c r="R465" s="22" t="s">
        <v>3794</v>
      </c>
      <c r="S465" s="22" t="s">
        <v>5098</v>
      </c>
      <c r="T465" s="51">
        <v>33</v>
      </c>
      <c r="U465" s="3" t="s">
        <v>6472</v>
      </c>
      <c r="V465" s="41" t="str">
        <f>HYPERLINK("http://ictvonline.org/taxonomy/p/taxonomy-history?taxnode_id=20180182","ICTVonline=20180182")</f>
        <v>ICTVonline=20180182</v>
      </c>
    </row>
    <row r="466" spans="1:22">
      <c r="A466" s="3">
        <v>465</v>
      </c>
      <c r="F466" s="1" t="s">
        <v>6374</v>
      </c>
      <c r="G466" s="1" t="s">
        <v>6467</v>
      </c>
      <c r="H466" s="1" t="s">
        <v>6468</v>
      </c>
      <c r="J466" s="1" t="s">
        <v>4224</v>
      </c>
      <c r="L466" s="1" t="s">
        <v>4230</v>
      </c>
      <c r="N466" s="1" t="s">
        <v>6491</v>
      </c>
      <c r="P466" s="1" t="s">
        <v>6496</v>
      </c>
      <c r="Q466" s="3">
        <v>0</v>
      </c>
      <c r="R466" s="22" t="s">
        <v>3794</v>
      </c>
      <c r="S466" s="22" t="s">
        <v>5098</v>
      </c>
      <c r="T466" s="51">
        <v>33</v>
      </c>
      <c r="U466" s="3" t="s">
        <v>6472</v>
      </c>
      <c r="V466" s="41" t="str">
        <f>HYPERLINK("http://ictvonline.org/taxonomy/p/taxonomy-history?taxnode_id=20180183","ICTVonline=20180183")</f>
        <v>ICTVonline=20180183</v>
      </c>
    </row>
    <row r="467" spans="1:22">
      <c r="A467" s="3">
        <v>466</v>
      </c>
      <c r="F467" s="1" t="s">
        <v>6374</v>
      </c>
      <c r="G467" s="1" t="s">
        <v>6467</v>
      </c>
      <c r="H467" s="1" t="s">
        <v>6468</v>
      </c>
      <c r="J467" s="1" t="s">
        <v>4224</v>
      </c>
      <c r="L467" s="1" t="s">
        <v>4230</v>
      </c>
      <c r="N467" s="1" t="s">
        <v>6491</v>
      </c>
      <c r="P467" s="1" t="s">
        <v>6497</v>
      </c>
      <c r="Q467" s="3">
        <v>0</v>
      </c>
      <c r="R467" s="22" t="s">
        <v>3794</v>
      </c>
      <c r="S467" s="22" t="s">
        <v>5098</v>
      </c>
      <c r="T467" s="51">
        <v>33</v>
      </c>
      <c r="U467" s="3" t="s">
        <v>6472</v>
      </c>
      <c r="V467" s="41" t="str">
        <f>HYPERLINK("http://ictvonline.org/taxonomy/p/taxonomy-history?taxnode_id=20180184","ICTVonline=20180184")</f>
        <v>ICTVonline=20180184</v>
      </c>
    </row>
    <row r="468" spans="1:22">
      <c r="A468" s="3">
        <v>467</v>
      </c>
      <c r="F468" s="1" t="s">
        <v>6374</v>
      </c>
      <c r="G468" s="1" t="s">
        <v>6467</v>
      </c>
      <c r="H468" s="1" t="s">
        <v>6468</v>
      </c>
      <c r="J468" s="1" t="s">
        <v>4224</v>
      </c>
      <c r="L468" s="1" t="s">
        <v>4230</v>
      </c>
      <c r="N468" s="1" t="s">
        <v>6491</v>
      </c>
      <c r="P468" s="1" t="s">
        <v>6498</v>
      </c>
      <c r="Q468" s="3">
        <v>0</v>
      </c>
      <c r="R468" s="22" t="s">
        <v>3794</v>
      </c>
      <c r="S468" s="22" t="s">
        <v>5098</v>
      </c>
      <c r="T468" s="51">
        <v>33</v>
      </c>
      <c r="U468" s="3" t="s">
        <v>6472</v>
      </c>
      <c r="V468" s="41" t="str">
        <f>HYPERLINK("http://ictvonline.org/taxonomy/p/taxonomy-history?taxnode_id=20180185","ICTVonline=20180185")</f>
        <v>ICTVonline=20180185</v>
      </c>
    </row>
    <row r="469" spans="1:22">
      <c r="A469" s="3">
        <v>468</v>
      </c>
      <c r="F469" s="1" t="s">
        <v>6374</v>
      </c>
      <c r="G469" s="1" t="s">
        <v>6467</v>
      </c>
      <c r="H469" s="1" t="s">
        <v>6468</v>
      </c>
      <c r="J469" s="1" t="s">
        <v>4224</v>
      </c>
      <c r="L469" s="1" t="s">
        <v>4230</v>
      </c>
      <c r="N469" s="1" t="s">
        <v>6491</v>
      </c>
      <c r="P469" s="1" t="s">
        <v>6499</v>
      </c>
      <c r="Q469" s="3">
        <v>1</v>
      </c>
      <c r="R469" s="22" t="s">
        <v>3794</v>
      </c>
      <c r="S469" s="22" t="s">
        <v>5098</v>
      </c>
      <c r="T469" s="51">
        <v>33</v>
      </c>
      <c r="U469" s="3" t="s">
        <v>6472</v>
      </c>
      <c r="V469" s="41" t="str">
        <f>HYPERLINK("http://ictvonline.org/taxonomy/p/taxonomy-history?taxnode_id=20180186","ICTVonline=20180186")</f>
        <v>ICTVonline=20180186</v>
      </c>
    </row>
    <row r="470" spans="1:22">
      <c r="A470" s="3">
        <v>469</v>
      </c>
      <c r="F470" s="1" t="s">
        <v>6374</v>
      </c>
      <c r="G470" s="1" t="s">
        <v>6467</v>
      </c>
      <c r="H470" s="1" t="s">
        <v>6468</v>
      </c>
      <c r="J470" s="1" t="s">
        <v>4224</v>
      </c>
      <c r="L470" s="1" t="s">
        <v>4230</v>
      </c>
      <c r="N470" s="1" t="s">
        <v>6491</v>
      </c>
      <c r="P470" s="1" t="s">
        <v>6500</v>
      </c>
      <c r="Q470" s="3">
        <v>0</v>
      </c>
      <c r="R470" s="22" t="s">
        <v>3794</v>
      </c>
      <c r="S470" s="22" t="s">
        <v>5098</v>
      </c>
      <c r="T470" s="51">
        <v>33</v>
      </c>
      <c r="U470" s="3" t="s">
        <v>6472</v>
      </c>
      <c r="V470" s="41" t="str">
        <f>HYPERLINK("http://ictvonline.org/taxonomy/p/taxonomy-history?taxnode_id=20180187","ICTVonline=20180187")</f>
        <v>ICTVonline=20180187</v>
      </c>
    </row>
    <row r="471" spans="1:22">
      <c r="A471" s="3">
        <v>470</v>
      </c>
      <c r="F471" s="1" t="s">
        <v>6374</v>
      </c>
      <c r="G471" s="1" t="s">
        <v>6467</v>
      </c>
      <c r="H471" s="1" t="s">
        <v>6468</v>
      </c>
      <c r="J471" s="1" t="s">
        <v>4224</v>
      </c>
      <c r="L471" s="1" t="s">
        <v>4230</v>
      </c>
      <c r="N471" s="1" t="s">
        <v>6491</v>
      </c>
      <c r="P471" s="1" t="s">
        <v>6501</v>
      </c>
      <c r="Q471" s="3">
        <v>0</v>
      </c>
      <c r="R471" s="22" t="s">
        <v>3794</v>
      </c>
      <c r="S471" s="22" t="s">
        <v>5098</v>
      </c>
      <c r="T471" s="51">
        <v>33</v>
      </c>
      <c r="U471" s="3" t="s">
        <v>6472</v>
      </c>
      <c r="V471" s="41" t="str">
        <f>HYPERLINK("http://ictvonline.org/taxonomy/p/taxonomy-history?taxnode_id=20180188","ICTVonline=20180188")</f>
        <v>ICTVonline=20180188</v>
      </c>
    </row>
    <row r="472" spans="1:22">
      <c r="A472" s="3">
        <v>471</v>
      </c>
      <c r="F472" s="1" t="s">
        <v>6374</v>
      </c>
      <c r="G472" s="1" t="s">
        <v>6467</v>
      </c>
      <c r="H472" s="1" t="s">
        <v>6468</v>
      </c>
      <c r="J472" s="1" t="s">
        <v>4224</v>
      </c>
      <c r="L472" s="1" t="s">
        <v>4230</v>
      </c>
      <c r="N472" s="1" t="s">
        <v>6491</v>
      </c>
      <c r="P472" s="1" t="s">
        <v>6502</v>
      </c>
      <c r="Q472" s="3">
        <v>0</v>
      </c>
      <c r="R472" s="22" t="s">
        <v>3794</v>
      </c>
      <c r="S472" s="22" t="s">
        <v>5098</v>
      </c>
      <c r="T472" s="51">
        <v>33</v>
      </c>
      <c r="U472" s="3" t="s">
        <v>6472</v>
      </c>
      <c r="V472" s="41" t="str">
        <f>HYPERLINK("http://ictvonline.org/taxonomy/p/taxonomy-history?taxnode_id=20180189","ICTVonline=20180189")</f>
        <v>ICTVonline=20180189</v>
      </c>
    </row>
    <row r="473" spans="1:22">
      <c r="A473" s="3">
        <v>472</v>
      </c>
      <c r="F473" s="1" t="s">
        <v>6374</v>
      </c>
      <c r="G473" s="1" t="s">
        <v>6467</v>
      </c>
      <c r="H473" s="1" t="s">
        <v>6468</v>
      </c>
      <c r="J473" s="1" t="s">
        <v>4224</v>
      </c>
      <c r="L473" s="1" t="s">
        <v>4292</v>
      </c>
      <c r="N473" s="1" t="s">
        <v>6503</v>
      </c>
      <c r="P473" s="1" t="s">
        <v>6504</v>
      </c>
      <c r="Q473" s="3">
        <v>1</v>
      </c>
      <c r="R473" s="22" t="s">
        <v>2765</v>
      </c>
      <c r="S473" s="22" t="s">
        <v>5098</v>
      </c>
      <c r="T473" s="51">
        <v>33</v>
      </c>
      <c r="U473" s="3" t="s">
        <v>6472</v>
      </c>
      <c r="V473" s="41" t="str">
        <f>HYPERLINK("http://ictvonline.org/taxonomy/p/taxonomy-history?taxnode_id=20180005","ICTVonline=20180005")</f>
        <v>ICTVonline=20180005</v>
      </c>
    </row>
    <row r="474" spans="1:22">
      <c r="A474" s="3">
        <v>473</v>
      </c>
      <c r="F474" s="1" t="s">
        <v>6374</v>
      </c>
      <c r="G474" s="1" t="s">
        <v>6467</v>
      </c>
      <c r="H474" s="1" t="s">
        <v>6468</v>
      </c>
      <c r="J474" s="1" t="s">
        <v>4224</v>
      </c>
      <c r="L474" s="1" t="s">
        <v>4292</v>
      </c>
      <c r="N474" s="1" t="s">
        <v>6505</v>
      </c>
      <c r="P474" s="1" t="s">
        <v>6506</v>
      </c>
      <c r="Q474" s="3">
        <v>1</v>
      </c>
      <c r="R474" s="22" t="s">
        <v>2765</v>
      </c>
      <c r="S474" s="22" t="s">
        <v>5098</v>
      </c>
      <c r="T474" s="51">
        <v>33</v>
      </c>
      <c r="U474" s="3" t="s">
        <v>6472</v>
      </c>
      <c r="V474" s="41" t="str">
        <f>HYPERLINK("http://ictvonline.org/taxonomy/p/taxonomy-history?taxnode_id=20180142","ICTVonline=20180142")</f>
        <v>ICTVonline=20180142</v>
      </c>
    </row>
    <row r="475" spans="1:22">
      <c r="A475" s="3">
        <v>474</v>
      </c>
      <c r="F475" s="1" t="s">
        <v>6374</v>
      </c>
      <c r="G475" s="1" t="s">
        <v>6467</v>
      </c>
      <c r="H475" s="1" t="s">
        <v>6468</v>
      </c>
      <c r="J475" s="1" t="s">
        <v>4224</v>
      </c>
      <c r="L475" s="1" t="s">
        <v>4292</v>
      </c>
      <c r="N475" s="1" t="s">
        <v>6507</v>
      </c>
      <c r="P475" s="1" t="s">
        <v>6508</v>
      </c>
      <c r="Q475" s="3">
        <v>1</v>
      </c>
      <c r="R475" s="22" t="s">
        <v>2765</v>
      </c>
      <c r="S475" s="22" t="s">
        <v>5098</v>
      </c>
      <c r="T475" s="51">
        <v>33</v>
      </c>
      <c r="U475" s="3" t="s">
        <v>6472</v>
      </c>
      <c r="V475" s="41" t="str">
        <f>HYPERLINK("http://ictvonline.org/taxonomy/p/taxonomy-history?taxnode_id=20180065","ICTVonline=20180065")</f>
        <v>ICTVonline=20180065</v>
      </c>
    </row>
    <row r="476" spans="1:22">
      <c r="A476" s="3">
        <v>475</v>
      </c>
      <c r="F476" s="1" t="s">
        <v>6374</v>
      </c>
      <c r="G476" s="1" t="s">
        <v>6467</v>
      </c>
      <c r="H476" s="1" t="s">
        <v>6468</v>
      </c>
      <c r="J476" s="1" t="s">
        <v>4224</v>
      </c>
      <c r="L476" s="1" t="s">
        <v>4292</v>
      </c>
      <c r="N476" s="1" t="s">
        <v>4293</v>
      </c>
      <c r="P476" s="1" t="s">
        <v>4294</v>
      </c>
      <c r="Q476" s="3">
        <v>1</v>
      </c>
      <c r="R476" s="22" t="s">
        <v>2765</v>
      </c>
      <c r="S476" s="22" t="s">
        <v>5099</v>
      </c>
      <c r="T476" s="51">
        <v>33</v>
      </c>
      <c r="U476" s="3" t="s">
        <v>6381</v>
      </c>
      <c r="V476" s="41" t="str">
        <f>HYPERLINK("http://ictvonline.org/taxonomy/p/taxonomy-history?taxnode_id=20180140","ICTVonline=20180140")</f>
        <v>ICTVonline=20180140</v>
      </c>
    </row>
    <row r="477" spans="1:22">
      <c r="A477" s="3">
        <v>476</v>
      </c>
      <c r="F477" s="1" t="s">
        <v>6374</v>
      </c>
      <c r="G477" s="1" t="s">
        <v>6467</v>
      </c>
      <c r="H477" s="1" t="s">
        <v>6468</v>
      </c>
      <c r="J477" s="1" t="s">
        <v>4224</v>
      </c>
      <c r="L477" s="1" t="s">
        <v>4292</v>
      </c>
      <c r="N477" s="1" t="s">
        <v>4293</v>
      </c>
      <c r="P477" s="1" t="s">
        <v>4295</v>
      </c>
      <c r="Q477" s="3">
        <v>0</v>
      </c>
      <c r="R477" s="22" t="s">
        <v>2765</v>
      </c>
      <c r="S477" s="22" t="s">
        <v>5099</v>
      </c>
      <c r="T477" s="51">
        <v>33</v>
      </c>
      <c r="U477" s="3" t="s">
        <v>6381</v>
      </c>
      <c r="V477" s="41" t="str">
        <f>HYPERLINK("http://ictvonline.org/taxonomy/p/taxonomy-history?taxnode_id=20180141","ICTVonline=20180141")</f>
        <v>ICTVonline=20180141</v>
      </c>
    </row>
    <row r="478" spans="1:22">
      <c r="A478" s="3">
        <v>477</v>
      </c>
      <c r="F478" s="1" t="s">
        <v>6374</v>
      </c>
      <c r="G478" s="1" t="s">
        <v>6467</v>
      </c>
      <c r="H478" s="1" t="s">
        <v>6468</v>
      </c>
      <c r="J478" s="1" t="s">
        <v>4224</v>
      </c>
      <c r="L478" s="1" t="s">
        <v>4292</v>
      </c>
      <c r="N478" s="1" t="s">
        <v>4293</v>
      </c>
      <c r="P478" s="1" t="s">
        <v>4296</v>
      </c>
      <c r="Q478" s="3">
        <v>0</v>
      </c>
      <c r="R478" s="22" t="s">
        <v>2765</v>
      </c>
      <c r="S478" s="22" t="s">
        <v>5099</v>
      </c>
      <c r="T478" s="51">
        <v>33</v>
      </c>
      <c r="U478" s="3" t="s">
        <v>6381</v>
      </c>
      <c r="V478" s="41" t="str">
        <f>HYPERLINK("http://ictvonline.org/taxonomy/p/taxonomy-history?taxnode_id=20180143","ICTVonline=20180143")</f>
        <v>ICTVonline=20180143</v>
      </c>
    </row>
    <row r="479" spans="1:22">
      <c r="A479" s="3">
        <v>478</v>
      </c>
      <c r="F479" s="1" t="s">
        <v>6374</v>
      </c>
      <c r="G479" s="1" t="s">
        <v>6467</v>
      </c>
      <c r="H479" s="1" t="s">
        <v>6468</v>
      </c>
      <c r="J479" s="1" t="s">
        <v>4224</v>
      </c>
      <c r="L479" s="1" t="s">
        <v>4292</v>
      </c>
      <c r="N479" s="1" t="s">
        <v>4293</v>
      </c>
      <c r="P479" s="1" t="s">
        <v>4297</v>
      </c>
      <c r="Q479" s="3">
        <v>0</v>
      </c>
      <c r="R479" s="22" t="s">
        <v>2765</v>
      </c>
      <c r="S479" s="22" t="s">
        <v>5099</v>
      </c>
      <c r="T479" s="51">
        <v>33</v>
      </c>
      <c r="U479" s="3" t="s">
        <v>6381</v>
      </c>
      <c r="V479" s="41" t="str">
        <f>HYPERLINK("http://ictvonline.org/taxonomy/p/taxonomy-history?taxnode_id=20180144","ICTVonline=20180144")</f>
        <v>ICTVonline=20180144</v>
      </c>
    </row>
    <row r="480" spans="1:22">
      <c r="A480" s="3">
        <v>479</v>
      </c>
      <c r="F480" s="1" t="s">
        <v>6374</v>
      </c>
      <c r="G480" s="1" t="s">
        <v>6467</v>
      </c>
      <c r="H480" s="1" t="s">
        <v>6468</v>
      </c>
      <c r="J480" s="1" t="s">
        <v>4224</v>
      </c>
      <c r="L480" s="1" t="s">
        <v>4292</v>
      </c>
      <c r="N480" s="1" t="s">
        <v>4293</v>
      </c>
      <c r="P480" s="1" t="s">
        <v>4298</v>
      </c>
      <c r="Q480" s="3">
        <v>0</v>
      </c>
      <c r="R480" s="22" t="s">
        <v>2765</v>
      </c>
      <c r="S480" s="22" t="s">
        <v>5099</v>
      </c>
      <c r="T480" s="51">
        <v>33</v>
      </c>
      <c r="U480" s="3" t="s">
        <v>6381</v>
      </c>
      <c r="V480" s="41" t="str">
        <f>HYPERLINK("http://ictvonline.org/taxonomy/p/taxonomy-history?taxnode_id=20180145","ICTVonline=20180145")</f>
        <v>ICTVonline=20180145</v>
      </c>
    </row>
    <row r="481" spans="1:22">
      <c r="A481" s="3">
        <v>480</v>
      </c>
      <c r="F481" s="1" t="s">
        <v>6374</v>
      </c>
      <c r="G481" s="1" t="s">
        <v>6467</v>
      </c>
      <c r="H481" s="1" t="s">
        <v>6468</v>
      </c>
      <c r="J481" s="1" t="s">
        <v>4224</v>
      </c>
      <c r="L481" s="1" t="s">
        <v>4292</v>
      </c>
      <c r="N481" s="1" t="s">
        <v>6509</v>
      </c>
      <c r="P481" s="1" t="s">
        <v>6510</v>
      </c>
      <c r="Q481" s="3">
        <v>1</v>
      </c>
      <c r="R481" s="22" t="s">
        <v>2765</v>
      </c>
      <c r="S481" s="22" t="s">
        <v>5097</v>
      </c>
      <c r="T481" s="51">
        <v>33</v>
      </c>
      <c r="U481" s="3" t="s">
        <v>6472</v>
      </c>
      <c r="V481" s="41" t="str">
        <f>HYPERLINK("http://ictvonline.org/taxonomy/p/taxonomy-history?taxnode_id=20186223","ICTVonline=20186223")</f>
        <v>ICTVonline=20186223</v>
      </c>
    </row>
    <row r="482" spans="1:22">
      <c r="A482" s="3">
        <v>481</v>
      </c>
      <c r="F482" s="1" t="s">
        <v>6374</v>
      </c>
      <c r="G482" s="1" t="s">
        <v>6467</v>
      </c>
      <c r="H482" s="1" t="s">
        <v>6468</v>
      </c>
      <c r="J482" s="1" t="s">
        <v>4224</v>
      </c>
      <c r="L482" s="1" t="s">
        <v>4231</v>
      </c>
      <c r="N482" s="1" t="s">
        <v>6511</v>
      </c>
      <c r="P482" s="1" t="s">
        <v>6512</v>
      </c>
      <c r="Q482" s="3">
        <v>1</v>
      </c>
      <c r="R482" s="22" t="s">
        <v>3794</v>
      </c>
      <c r="S482" s="22" t="s">
        <v>5098</v>
      </c>
      <c r="T482" s="51">
        <v>33</v>
      </c>
      <c r="U482" s="3" t="s">
        <v>6472</v>
      </c>
      <c r="V482" s="41" t="str">
        <f>HYPERLINK("http://ictvonline.org/taxonomy/p/taxonomy-history?taxnode_id=20180166","ICTVonline=20180166")</f>
        <v>ICTVonline=20180166</v>
      </c>
    </row>
    <row r="483" spans="1:22">
      <c r="A483" s="3">
        <v>482</v>
      </c>
      <c r="F483" s="1" t="s">
        <v>6374</v>
      </c>
      <c r="G483" s="1" t="s">
        <v>6467</v>
      </c>
      <c r="H483" s="1" t="s">
        <v>6468</v>
      </c>
      <c r="J483" s="1" t="s">
        <v>4224</v>
      </c>
      <c r="L483" s="1" t="s">
        <v>4231</v>
      </c>
      <c r="N483" s="1" t="s">
        <v>6513</v>
      </c>
      <c r="P483" s="1" t="s">
        <v>6514</v>
      </c>
      <c r="Q483" s="3">
        <v>1</v>
      </c>
      <c r="R483" s="22" t="s">
        <v>2765</v>
      </c>
      <c r="S483" s="22" t="s">
        <v>5097</v>
      </c>
      <c r="T483" s="51">
        <v>33</v>
      </c>
      <c r="U483" s="3" t="s">
        <v>6472</v>
      </c>
      <c r="V483" s="41" t="str">
        <f>HYPERLINK("http://ictvonline.org/taxonomy/p/taxonomy-history?taxnode_id=20186226","ICTVonline=20186226")</f>
        <v>ICTVonline=20186226</v>
      </c>
    </row>
    <row r="484" spans="1:22">
      <c r="A484" s="3">
        <v>483</v>
      </c>
      <c r="F484" s="1" t="s">
        <v>6374</v>
      </c>
      <c r="G484" s="1" t="s">
        <v>6467</v>
      </c>
      <c r="H484" s="1" t="s">
        <v>6468</v>
      </c>
      <c r="J484" s="1" t="s">
        <v>4224</v>
      </c>
      <c r="L484" s="1" t="s">
        <v>4231</v>
      </c>
      <c r="N484" s="1" t="s">
        <v>4299</v>
      </c>
      <c r="P484" s="1" t="s">
        <v>4300</v>
      </c>
      <c r="Q484" s="3">
        <v>0</v>
      </c>
      <c r="R484" s="22" t="s">
        <v>2765</v>
      </c>
      <c r="S484" s="22" t="s">
        <v>5099</v>
      </c>
      <c r="T484" s="51">
        <v>33</v>
      </c>
      <c r="U484" s="3" t="s">
        <v>6381</v>
      </c>
      <c r="V484" s="41" t="str">
        <f>HYPERLINK("http://ictvonline.org/taxonomy/p/taxonomy-history?taxnode_id=20180149","ICTVonline=20180149")</f>
        <v>ICTVonline=20180149</v>
      </c>
    </row>
    <row r="485" spans="1:22">
      <c r="A485" s="3">
        <v>484</v>
      </c>
      <c r="F485" s="1" t="s">
        <v>6374</v>
      </c>
      <c r="G485" s="1" t="s">
        <v>6467</v>
      </c>
      <c r="H485" s="1" t="s">
        <v>6468</v>
      </c>
      <c r="J485" s="1" t="s">
        <v>4224</v>
      </c>
      <c r="L485" s="1" t="s">
        <v>4231</v>
      </c>
      <c r="N485" s="1" t="s">
        <v>4299</v>
      </c>
      <c r="P485" s="1" t="s">
        <v>4301</v>
      </c>
      <c r="Q485" s="3">
        <v>1</v>
      </c>
      <c r="R485" s="22" t="s">
        <v>2765</v>
      </c>
      <c r="S485" s="22" t="s">
        <v>5099</v>
      </c>
      <c r="T485" s="51">
        <v>33</v>
      </c>
      <c r="U485" s="3" t="s">
        <v>6381</v>
      </c>
      <c r="V485" s="41" t="str">
        <f>HYPERLINK("http://ictvonline.org/taxonomy/p/taxonomy-history?taxnode_id=20180150","ICTVonline=20180150")</f>
        <v>ICTVonline=20180150</v>
      </c>
    </row>
    <row r="486" spans="1:22">
      <c r="A486" s="3">
        <v>485</v>
      </c>
      <c r="F486" s="1" t="s">
        <v>6374</v>
      </c>
      <c r="G486" s="1" t="s">
        <v>6467</v>
      </c>
      <c r="H486" s="1" t="s">
        <v>6468</v>
      </c>
      <c r="J486" s="1" t="s">
        <v>4224</v>
      </c>
      <c r="L486" s="1" t="s">
        <v>4231</v>
      </c>
      <c r="N486" s="1" t="s">
        <v>4299</v>
      </c>
      <c r="P486" s="1" t="s">
        <v>4302</v>
      </c>
      <c r="Q486" s="3">
        <v>0</v>
      </c>
      <c r="R486" s="22" t="s">
        <v>2765</v>
      </c>
      <c r="S486" s="22" t="s">
        <v>5099</v>
      </c>
      <c r="T486" s="51">
        <v>33</v>
      </c>
      <c r="U486" s="3" t="s">
        <v>6381</v>
      </c>
      <c r="V486" s="41" t="str">
        <f>HYPERLINK("http://ictvonline.org/taxonomy/p/taxonomy-history?taxnode_id=20180151","ICTVonline=20180151")</f>
        <v>ICTVonline=20180151</v>
      </c>
    </row>
    <row r="487" spans="1:22">
      <c r="A487" s="3">
        <v>486</v>
      </c>
      <c r="F487" s="1" t="s">
        <v>6374</v>
      </c>
      <c r="G487" s="1" t="s">
        <v>6467</v>
      </c>
      <c r="H487" s="1" t="s">
        <v>6468</v>
      </c>
      <c r="J487" s="1" t="s">
        <v>4224</v>
      </c>
      <c r="L487" s="1" t="s">
        <v>4231</v>
      </c>
      <c r="N487" s="1" t="s">
        <v>6515</v>
      </c>
      <c r="P487" s="1" t="s">
        <v>6516</v>
      </c>
      <c r="Q487" s="3">
        <v>1</v>
      </c>
      <c r="R487" s="22" t="s">
        <v>2765</v>
      </c>
      <c r="S487" s="22" t="s">
        <v>5097</v>
      </c>
      <c r="T487" s="51">
        <v>33</v>
      </c>
      <c r="U487" s="3" t="s">
        <v>6472</v>
      </c>
      <c r="V487" s="41" t="str">
        <f>HYPERLINK("http://ictvonline.org/taxonomy/p/taxonomy-history?taxnode_id=20186228","ICTVonline=20186228")</f>
        <v>ICTVonline=20186228</v>
      </c>
    </row>
    <row r="488" spans="1:22">
      <c r="A488" s="3">
        <v>487</v>
      </c>
      <c r="F488" s="1" t="s">
        <v>6374</v>
      </c>
      <c r="G488" s="1" t="s">
        <v>6467</v>
      </c>
      <c r="H488" s="1" t="s">
        <v>6468</v>
      </c>
      <c r="J488" s="1" t="s">
        <v>4224</v>
      </c>
      <c r="L488" s="1" t="s">
        <v>4231</v>
      </c>
      <c r="N488" s="1" t="s">
        <v>6517</v>
      </c>
      <c r="P488" s="1" t="s">
        <v>6518</v>
      </c>
      <c r="Q488" s="3">
        <v>1</v>
      </c>
      <c r="R488" s="22" t="s">
        <v>2765</v>
      </c>
      <c r="S488" s="22" t="s">
        <v>5097</v>
      </c>
      <c r="T488" s="51">
        <v>33</v>
      </c>
      <c r="U488" s="3" t="s">
        <v>6472</v>
      </c>
      <c r="V488" s="41" t="str">
        <f>HYPERLINK("http://ictvonline.org/taxonomy/p/taxonomy-history?taxnode_id=20186230","ICTVonline=20186230")</f>
        <v>ICTVonline=20186230</v>
      </c>
    </row>
    <row r="489" spans="1:22">
      <c r="A489" s="3">
        <v>488</v>
      </c>
      <c r="F489" s="1" t="s">
        <v>6374</v>
      </c>
      <c r="G489" s="1" t="s">
        <v>6467</v>
      </c>
      <c r="H489" s="1" t="s">
        <v>6468</v>
      </c>
      <c r="J489" s="1" t="s">
        <v>4224</v>
      </c>
      <c r="L489" s="1" t="s">
        <v>4231</v>
      </c>
      <c r="N489" s="1" t="s">
        <v>6519</v>
      </c>
      <c r="P489" s="1" t="s">
        <v>6520</v>
      </c>
      <c r="Q489" s="3">
        <v>1</v>
      </c>
      <c r="R489" s="22" t="s">
        <v>2765</v>
      </c>
      <c r="S489" s="22" t="s">
        <v>5097</v>
      </c>
      <c r="T489" s="51">
        <v>33</v>
      </c>
      <c r="U489" s="3" t="s">
        <v>6472</v>
      </c>
      <c r="V489" s="41" t="str">
        <f>HYPERLINK("http://ictvonline.org/taxonomy/p/taxonomy-history?taxnode_id=20186232","ICTVonline=20186232")</f>
        <v>ICTVonline=20186232</v>
      </c>
    </row>
    <row r="490" spans="1:22">
      <c r="A490" s="3">
        <v>489</v>
      </c>
      <c r="F490" s="1" t="s">
        <v>6374</v>
      </c>
      <c r="G490" s="1" t="s">
        <v>6467</v>
      </c>
      <c r="H490" s="1" t="s">
        <v>6468</v>
      </c>
      <c r="J490" s="1" t="s">
        <v>4224</v>
      </c>
      <c r="L490" s="1" t="s">
        <v>4231</v>
      </c>
      <c r="N490" s="1" t="s">
        <v>6521</v>
      </c>
      <c r="P490" s="1" t="s">
        <v>6522</v>
      </c>
      <c r="Q490" s="3">
        <v>1</v>
      </c>
      <c r="R490" s="22" t="s">
        <v>2765</v>
      </c>
      <c r="S490" s="22" t="s">
        <v>5097</v>
      </c>
      <c r="T490" s="51">
        <v>33</v>
      </c>
      <c r="U490" s="3" t="s">
        <v>6472</v>
      </c>
      <c r="V490" s="41" t="str">
        <f>HYPERLINK("http://ictvonline.org/taxonomy/p/taxonomy-history?taxnode_id=20186234","ICTVonline=20186234")</f>
        <v>ICTVonline=20186234</v>
      </c>
    </row>
    <row r="491" spans="1:22">
      <c r="A491" s="3">
        <v>490</v>
      </c>
      <c r="F491" s="1" t="s">
        <v>6374</v>
      </c>
      <c r="G491" s="1" t="s">
        <v>6467</v>
      </c>
      <c r="H491" s="1" t="s">
        <v>6468</v>
      </c>
      <c r="J491" s="1" t="s">
        <v>4224</v>
      </c>
      <c r="L491" s="1" t="s">
        <v>4231</v>
      </c>
      <c r="N491" s="1" t="s">
        <v>4303</v>
      </c>
      <c r="P491" s="1" t="s">
        <v>4304</v>
      </c>
      <c r="Q491" s="3">
        <v>1</v>
      </c>
      <c r="R491" s="22" t="s">
        <v>2765</v>
      </c>
      <c r="S491" s="22" t="s">
        <v>5099</v>
      </c>
      <c r="T491" s="51">
        <v>33</v>
      </c>
      <c r="U491" s="3" t="s">
        <v>6381</v>
      </c>
      <c r="V491" s="41" t="str">
        <f>HYPERLINK("http://ictvonline.org/taxonomy/p/taxonomy-history?taxnode_id=20180153","ICTVonline=20180153")</f>
        <v>ICTVonline=20180153</v>
      </c>
    </row>
    <row r="492" spans="1:22">
      <c r="A492" s="3">
        <v>491</v>
      </c>
      <c r="F492" s="1" t="s">
        <v>6374</v>
      </c>
      <c r="G492" s="1" t="s">
        <v>6467</v>
      </c>
      <c r="H492" s="1" t="s">
        <v>6468</v>
      </c>
      <c r="J492" s="1" t="s">
        <v>4224</v>
      </c>
      <c r="L492" s="1" t="s">
        <v>4231</v>
      </c>
      <c r="N492" s="1" t="s">
        <v>4303</v>
      </c>
      <c r="P492" s="1" t="s">
        <v>4305</v>
      </c>
      <c r="Q492" s="3">
        <v>0</v>
      </c>
      <c r="R492" s="22" t="s">
        <v>2765</v>
      </c>
      <c r="S492" s="22" t="s">
        <v>5099</v>
      </c>
      <c r="T492" s="51">
        <v>33</v>
      </c>
      <c r="U492" s="3" t="s">
        <v>6381</v>
      </c>
      <c r="V492" s="41" t="str">
        <f>HYPERLINK("http://ictvonline.org/taxonomy/p/taxonomy-history?taxnode_id=20180154","ICTVonline=20180154")</f>
        <v>ICTVonline=20180154</v>
      </c>
    </row>
    <row r="493" spans="1:22">
      <c r="A493" s="3">
        <v>492</v>
      </c>
      <c r="F493" s="1" t="s">
        <v>6374</v>
      </c>
      <c r="G493" s="1" t="s">
        <v>6467</v>
      </c>
      <c r="H493" s="1" t="s">
        <v>6468</v>
      </c>
      <c r="J493" s="1" t="s">
        <v>4224</v>
      </c>
      <c r="L493" s="1" t="s">
        <v>4231</v>
      </c>
      <c r="N493" s="1" t="s">
        <v>4303</v>
      </c>
      <c r="P493" s="1" t="s">
        <v>4306</v>
      </c>
      <c r="Q493" s="3">
        <v>0</v>
      </c>
      <c r="R493" s="22" t="s">
        <v>2765</v>
      </c>
      <c r="S493" s="22" t="s">
        <v>5099</v>
      </c>
      <c r="T493" s="51">
        <v>33</v>
      </c>
      <c r="U493" s="3" t="s">
        <v>6381</v>
      </c>
      <c r="V493" s="41" t="str">
        <f>HYPERLINK("http://ictvonline.org/taxonomy/p/taxonomy-history?taxnode_id=20180155","ICTVonline=20180155")</f>
        <v>ICTVonline=20180155</v>
      </c>
    </row>
    <row r="494" spans="1:22">
      <c r="A494" s="3">
        <v>493</v>
      </c>
      <c r="F494" s="1" t="s">
        <v>6374</v>
      </c>
      <c r="G494" s="1" t="s">
        <v>6467</v>
      </c>
      <c r="H494" s="1" t="s">
        <v>6468</v>
      </c>
      <c r="J494" s="1" t="s">
        <v>4224</v>
      </c>
      <c r="L494" s="1" t="s">
        <v>4231</v>
      </c>
      <c r="N494" s="1" t="s">
        <v>4303</v>
      </c>
      <c r="P494" s="1" t="s">
        <v>4307</v>
      </c>
      <c r="Q494" s="3">
        <v>0</v>
      </c>
      <c r="R494" s="22" t="s">
        <v>2765</v>
      </c>
      <c r="S494" s="22" t="s">
        <v>5099</v>
      </c>
      <c r="T494" s="51">
        <v>33</v>
      </c>
      <c r="U494" s="3" t="s">
        <v>6381</v>
      </c>
      <c r="V494" s="41" t="str">
        <f>HYPERLINK("http://ictvonline.org/taxonomy/p/taxonomy-history?taxnode_id=20180156","ICTVonline=20180156")</f>
        <v>ICTVonline=20180156</v>
      </c>
    </row>
    <row r="495" spans="1:22">
      <c r="A495" s="3">
        <v>494</v>
      </c>
      <c r="F495" s="1" t="s">
        <v>6374</v>
      </c>
      <c r="G495" s="1" t="s">
        <v>6467</v>
      </c>
      <c r="H495" s="1" t="s">
        <v>6468</v>
      </c>
      <c r="J495" s="1" t="s">
        <v>4224</v>
      </c>
      <c r="L495" s="1" t="s">
        <v>4231</v>
      </c>
      <c r="N495" s="1" t="s">
        <v>702</v>
      </c>
      <c r="P495" s="1" t="s">
        <v>3855</v>
      </c>
      <c r="Q495" s="3">
        <v>0</v>
      </c>
      <c r="R495" s="22" t="s">
        <v>3794</v>
      </c>
      <c r="S495" s="22" t="s">
        <v>5099</v>
      </c>
      <c r="T495" s="51">
        <v>33</v>
      </c>
      <c r="U495" s="3" t="s">
        <v>6381</v>
      </c>
      <c r="V495" s="41" t="str">
        <f>HYPERLINK("http://ictvonline.org/taxonomy/p/taxonomy-history?taxnode_id=20180158","ICTVonline=20180158")</f>
        <v>ICTVonline=20180158</v>
      </c>
    </row>
    <row r="496" spans="1:22">
      <c r="A496" s="3">
        <v>495</v>
      </c>
      <c r="F496" s="1" t="s">
        <v>6374</v>
      </c>
      <c r="G496" s="1" t="s">
        <v>6467</v>
      </c>
      <c r="H496" s="1" t="s">
        <v>6468</v>
      </c>
      <c r="J496" s="1" t="s">
        <v>4224</v>
      </c>
      <c r="L496" s="1" t="s">
        <v>4231</v>
      </c>
      <c r="N496" s="1" t="s">
        <v>702</v>
      </c>
      <c r="P496" s="1" t="s">
        <v>3856</v>
      </c>
      <c r="Q496" s="3">
        <v>0</v>
      </c>
      <c r="R496" s="22" t="s">
        <v>3794</v>
      </c>
      <c r="S496" s="22" t="s">
        <v>5099</v>
      </c>
      <c r="T496" s="51">
        <v>33</v>
      </c>
      <c r="U496" s="3" t="s">
        <v>6381</v>
      </c>
      <c r="V496" s="41" t="str">
        <f>HYPERLINK("http://ictvonline.org/taxonomy/p/taxonomy-history?taxnode_id=20180159","ICTVonline=20180159")</f>
        <v>ICTVonline=20180159</v>
      </c>
    </row>
    <row r="497" spans="1:22">
      <c r="A497" s="3">
        <v>496</v>
      </c>
      <c r="F497" s="1" t="s">
        <v>6374</v>
      </c>
      <c r="G497" s="1" t="s">
        <v>6467</v>
      </c>
      <c r="H497" s="1" t="s">
        <v>6468</v>
      </c>
      <c r="J497" s="1" t="s">
        <v>4224</v>
      </c>
      <c r="L497" s="1" t="s">
        <v>4231</v>
      </c>
      <c r="N497" s="1" t="s">
        <v>702</v>
      </c>
      <c r="P497" s="1" t="s">
        <v>3857</v>
      </c>
      <c r="Q497" s="3">
        <v>0</v>
      </c>
      <c r="R497" s="22" t="s">
        <v>3794</v>
      </c>
      <c r="S497" s="22" t="s">
        <v>5099</v>
      </c>
      <c r="T497" s="51">
        <v>33</v>
      </c>
      <c r="U497" s="3" t="s">
        <v>6381</v>
      </c>
      <c r="V497" s="41" t="str">
        <f>HYPERLINK("http://ictvonline.org/taxonomy/p/taxonomy-history?taxnode_id=20180160","ICTVonline=20180160")</f>
        <v>ICTVonline=20180160</v>
      </c>
    </row>
    <row r="498" spans="1:22">
      <c r="A498" s="3">
        <v>497</v>
      </c>
      <c r="F498" s="1" t="s">
        <v>6374</v>
      </c>
      <c r="G498" s="1" t="s">
        <v>6467</v>
      </c>
      <c r="H498" s="1" t="s">
        <v>6468</v>
      </c>
      <c r="J498" s="1" t="s">
        <v>4224</v>
      </c>
      <c r="L498" s="1" t="s">
        <v>4231</v>
      </c>
      <c r="N498" s="1" t="s">
        <v>702</v>
      </c>
      <c r="P498" s="1" t="s">
        <v>3858</v>
      </c>
      <c r="Q498" s="3">
        <v>0</v>
      </c>
      <c r="R498" s="22" t="s">
        <v>3794</v>
      </c>
      <c r="S498" s="22" t="s">
        <v>5099</v>
      </c>
      <c r="T498" s="51">
        <v>33</v>
      </c>
      <c r="U498" s="3" t="s">
        <v>6381</v>
      </c>
      <c r="V498" s="41" t="str">
        <f>HYPERLINK("http://ictvonline.org/taxonomy/p/taxonomy-history?taxnode_id=20180161","ICTVonline=20180161")</f>
        <v>ICTVonline=20180161</v>
      </c>
    </row>
    <row r="499" spans="1:22">
      <c r="A499" s="3">
        <v>498</v>
      </c>
      <c r="F499" s="1" t="s">
        <v>6374</v>
      </c>
      <c r="G499" s="1" t="s">
        <v>6467</v>
      </c>
      <c r="H499" s="1" t="s">
        <v>6468</v>
      </c>
      <c r="J499" s="1" t="s">
        <v>4224</v>
      </c>
      <c r="L499" s="1" t="s">
        <v>4231</v>
      </c>
      <c r="N499" s="1" t="s">
        <v>702</v>
      </c>
      <c r="P499" s="1" t="s">
        <v>3859</v>
      </c>
      <c r="Q499" s="3">
        <v>0</v>
      </c>
      <c r="R499" s="22" t="s">
        <v>3794</v>
      </c>
      <c r="S499" s="22" t="s">
        <v>5099</v>
      </c>
      <c r="T499" s="51">
        <v>33</v>
      </c>
      <c r="U499" s="3" t="s">
        <v>6381</v>
      </c>
      <c r="V499" s="41" t="str">
        <f>HYPERLINK("http://ictvonline.org/taxonomy/p/taxonomy-history?taxnode_id=20180162","ICTVonline=20180162")</f>
        <v>ICTVonline=20180162</v>
      </c>
    </row>
    <row r="500" spans="1:22">
      <c r="A500" s="3">
        <v>499</v>
      </c>
      <c r="F500" s="1" t="s">
        <v>6374</v>
      </c>
      <c r="G500" s="1" t="s">
        <v>6467</v>
      </c>
      <c r="H500" s="1" t="s">
        <v>6468</v>
      </c>
      <c r="J500" s="1" t="s">
        <v>4224</v>
      </c>
      <c r="L500" s="1" t="s">
        <v>4231</v>
      </c>
      <c r="N500" s="1" t="s">
        <v>702</v>
      </c>
      <c r="P500" s="1" t="s">
        <v>3860</v>
      </c>
      <c r="Q500" s="3">
        <v>1</v>
      </c>
      <c r="R500" s="22" t="s">
        <v>3794</v>
      </c>
      <c r="S500" s="22" t="s">
        <v>5099</v>
      </c>
      <c r="T500" s="51">
        <v>33</v>
      </c>
      <c r="U500" s="3" t="s">
        <v>6381</v>
      </c>
      <c r="V500" s="41" t="str">
        <f>HYPERLINK("http://ictvonline.org/taxonomy/p/taxonomy-history?taxnode_id=20180163","ICTVonline=20180163")</f>
        <v>ICTVonline=20180163</v>
      </c>
    </row>
    <row r="501" spans="1:22">
      <c r="A501" s="3">
        <v>500</v>
      </c>
      <c r="F501" s="1" t="s">
        <v>6374</v>
      </c>
      <c r="G501" s="1" t="s">
        <v>6467</v>
      </c>
      <c r="H501" s="1" t="s">
        <v>6468</v>
      </c>
      <c r="J501" s="1" t="s">
        <v>4224</v>
      </c>
      <c r="L501" s="1" t="s">
        <v>4231</v>
      </c>
      <c r="N501" s="1" t="s">
        <v>702</v>
      </c>
      <c r="P501" s="1" t="s">
        <v>3861</v>
      </c>
      <c r="Q501" s="3">
        <v>0</v>
      </c>
      <c r="R501" s="22" t="s">
        <v>3794</v>
      </c>
      <c r="S501" s="22" t="s">
        <v>5099</v>
      </c>
      <c r="T501" s="51">
        <v>33</v>
      </c>
      <c r="U501" s="3" t="s">
        <v>6381</v>
      </c>
      <c r="V501" s="41" t="str">
        <f>HYPERLINK("http://ictvonline.org/taxonomy/p/taxonomy-history?taxnode_id=20180164","ICTVonline=20180164")</f>
        <v>ICTVonline=20180164</v>
      </c>
    </row>
    <row r="502" spans="1:22">
      <c r="A502" s="3">
        <v>501</v>
      </c>
      <c r="F502" s="1" t="s">
        <v>6374</v>
      </c>
      <c r="G502" s="1" t="s">
        <v>6467</v>
      </c>
      <c r="H502" s="1" t="s">
        <v>6468</v>
      </c>
      <c r="J502" s="1" t="s">
        <v>4224</v>
      </c>
      <c r="L502" s="1" t="s">
        <v>4231</v>
      </c>
      <c r="N502" s="1" t="s">
        <v>702</v>
      </c>
      <c r="P502" s="1" t="s">
        <v>3862</v>
      </c>
      <c r="Q502" s="3">
        <v>0</v>
      </c>
      <c r="R502" s="22" t="s">
        <v>3794</v>
      </c>
      <c r="S502" s="22" t="s">
        <v>5099</v>
      </c>
      <c r="T502" s="51">
        <v>33</v>
      </c>
      <c r="U502" s="3" t="s">
        <v>6381</v>
      </c>
      <c r="V502" s="41" t="str">
        <f>HYPERLINK("http://ictvonline.org/taxonomy/p/taxonomy-history?taxnode_id=20180165","ICTVonline=20180165")</f>
        <v>ICTVonline=20180165</v>
      </c>
    </row>
    <row r="503" spans="1:22">
      <c r="A503" s="3">
        <v>502</v>
      </c>
      <c r="F503" s="1" t="s">
        <v>6374</v>
      </c>
      <c r="G503" s="1" t="s">
        <v>6467</v>
      </c>
      <c r="H503" s="1" t="s">
        <v>6468</v>
      </c>
      <c r="J503" s="1" t="s">
        <v>4224</v>
      </c>
      <c r="L503" s="1" t="s">
        <v>4231</v>
      </c>
      <c r="N503" s="1" t="s">
        <v>702</v>
      </c>
      <c r="P503" s="1" t="s">
        <v>3863</v>
      </c>
      <c r="Q503" s="3">
        <v>0</v>
      </c>
      <c r="R503" s="22" t="s">
        <v>3794</v>
      </c>
      <c r="S503" s="22" t="s">
        <v>5099</v>
      </c>
      <c r="T503" s="51">
        <v>33</v>
      </c>
      <c r="U503" s="3" t="s">
        <v>6381</v>
      </c>
      <c r="V503" s="41" t="str">
        <f>HYPERLINK("http://ictvonline.org/taxonomy/p/taxonomy-history?taxnode_id=20180167","ICTVonline=20180167")</f>
        <v>ICTVonline=20180167</v>
      </c>
    </row>
    <row r="504" spans="1:22">
      <c r="A504" s="3">
        <v>503</v>
      </c>
      <c r="F504" s="1" t="s">
        <v>6374</v>
      </c>
      <c r="G504" s="1" t="s">
        <v>6467</v>
      </c>
      <c r="H504" s="1" t="s">
        <v>6468</v>
      </c>
      <c r="J504" s="1" t="s">
        <v>4224</v>
      </c>
      <c r="L504" s="1" t="s">
        <v>4231</v>
      </c>
      <c r="N504" s="1" t="s">
        <v>6523</v>
      </c>
      <c r="P504" s="1" t="s">
        <v>6524</v>
      </c>
      <c r="Q504" s="3">
        <v>1</v>
      </c>
      <c r="R504" s="22" t="s">
        <v>2765</v>
      </c>
      <c r="S504" s="22" t="s">
        <v>5097</v>
      </c>
      <c r="T504" s="51">
        <v>33</v>
      </c>
      <c r="U504" s="3" t="s">
        <v>6472</v>
      </c>
      <c r="V504" s="41" t="str">
        <f>HYPERLINK("http://ictvonline.org/taxonomy/p/taxonomy-history?taxnode_id=20186236","ICTVonline=20186236")</f>
        <v>ICTVonline=20186236</v>
      </c>
    </row>
    <row r="505" spans="1:22">
      <c r="A505" s="3">
        <v>504</v>
      </c>
      <c r="F505" s="1" t="s">
        <v>6374</v>
      </c>
      <c r="G505" s="1" t="s">
        <v>6467</v>
      </c>
      <c r="H505" s="1" t="s">
        <v>6468</v>
      </c>
      <c r="J505" s="1" t="s">
        <v>4224</v>
      </c>
      <c r="L505" s="1" t="s">
        <v>4231</v>
      </c>
      <c r="N505" s="1" t="s">
        <v>1090</v>
      </c>
      <c r="P505" s="1" t="s">
        <v>4204</v>
      </c>
      <c r="Q505" s="3">
        <v>0</v>
      </c>
      <c r="R505" s="22" t="s">
        <v>2765</v>
      </c>
      <c r="S505" s="22" t="s">
        <v>5099</v>
      </c>
      <c r="T505" s="51">
        <v>33</v>
      </c>
      <c r="U505" s="3" t="s">
        <v>6381</v>
      </c>
      <c r="V505" s="41" t="str">
        <f>HYPERLINK("http://ictvonline.org/taxonomy/p/taxonomy-history?taxnode_id=20180169","ICTVonline=20180169")</f>
        <v>ICTVonline=20180169</v>
      </c>
    </row>
    <row r="506" spans="1:22">
      <c r="A506" s="3">
        <v>505</v>
      </c>
      <c r="F506" s="1" t="s">
        <v>6374</v>
      </c>
      <c r="G506" s="1" t="s">
        <v>6467</v>
      </c>
      <c r="H506" s="1" t="s">
        <v>6468</v>
      </c>
      <c r="J506" s="1" t="s">
        <v>4224</v>
      </c>
      <c r="L506" s="1" t="s">
        <v>4231</v>
      </c>
      <c r="N506" s="1" t="s">
        <v>1090</v>
      </c>
      <c r="P506" s="1" t="s">
        <v>4205</v>
      </c>
      <c r="Q506" s="3">
        <v>0</v>
      </c>
      <c r="R506" s="22" t="s">
        <v>2765</v>
      </c>
      <c r="S506" s="22" t="s">
        <v>5099</v>
      </c>
      <c r="T506" s="51">
        <v>33</v>
      </c>
      <c r="U506" s="3" t="s">
        <v>6381</v>
      </c>
      <c r="V506" s="41" t="str">
        <f>HYPERLINK("http://ictvonline.org/taxonomy/p/taxonomy-history?taxnode_id=20180170","ICTVonline=20180170")</f>
        <v>ICTVonline=20180170</v>
      </c>
    </row>
    <row r="507" spans="1:22">
      <c r="A507" s="3">
        <v>506</v>
      </c>
      <c r="F507" s="1" t="s">
        <v>6374</v>
      </c>
      <c r="G507" s="1" t="s">
        <v>6467</v>
      </c>
      <c r="H507" s="1" t="s">
        <v>6468</v>
      </c>
      <c r="J507" s="1" t="s">
        <v>4224</v>
      </c>
      <c r="L507" s="1" t="s">
        <v>4231</v>
      </c>
      <c r="N507" s="1" t="s">
        <v>1090</v>
      </c>
      <c r="P507" s="1" t="s">
        <v>4206</v>
      </c>
      <c r="Q507" s="3">
        <v>0</v>
      </c>
      <c r="R507" s="22" t="s">
        <v>2765</v>
      </c>
      <c r="S507" s="22" t="s">
        <v>5099</v>
      </c>
      <c r="T507" s="51">
        <v>33</v>
      </c>
      <c r="U507" s="3" t="s">
        <v>6381</v>
      </c>
      <c r="V507" s="41" t="str">
        <f>HYPERLINK("http://ictvonline.org/taxonomy/p/taxonomy-history?taxnode_id=20180171","ICTVonline=20180171")</f>
        <v>ICTVonline=20180171</v>
      </c>
    </row>
    <row r="508" spans="1:22">
      <c r="A508" s="3">
        <v>507</v>
      </c>
      <c r="F508" s="1" t="s">
        <v>6374</v>
      </c>
      <c r="G508" s="1" t="s">
        <v>6467</v>
      </c>
      <c r="H508" s="1" t="s">
        <v>6468</v>
      </c>
      <c r="J508" s="1" t="s">
        <v>4224</v>
      </c>
      <c r="L508" s="1" t="s">
        <v>4231</v>
      </c>
      <c r="N508" s="1" t="s">
        <v>1090</v>
      </c>
      <c r="P508" s="1" t="s">
        <v>4207</v>
      </c>
      <c r="Q508" s="3">
        <v>0</v>
      </c>
      <c r="R508" s="22" t="s">
        <v>2765</v>
      </c>
      <c r="S508" s="22" t="s">
        <v>5099</v>
      </c>
      <c r="T508" s="51">
        <v>33</v>
      </c>
      <c r="U508" s="3" t="s">
        <v>6381</v>
      </c>
      <c r="V508" s="41" t="str">
        <f>HYPERLINK("http://ictvonline.org/taxonomy/p/taxonomy-history?taxnode_id=20180172","ICTVonline=20180172")</f>
        <v>ICTVonline=20180172</v>
      </c>
    </row>
    <row r="509" spans="1:22">
      <c r="A509" s="3">
        <v>508</v>
      </c>
      <c r="F509" s="1" t="s">
        <v>6374</v>
      </c>
      <c r="G509" s="1" t="s">
        <v>6467</v>
      </c>
      <c r="H509" s="1" t="s">
        <v>6468</v>
      </c>
      <c r="J509" s="1" t="s">
        <v>4224</v>
      </c>
      <c r="L509" s="1" t="s">
        <v>4231</v>
      </c>
      <c r="N509" s="1" t="s">
        <v>1090</v>
      </c>
      <c r="P509" s="1" t="s">
        <v>4208</v>
      </c>
      <c r="Q509" s="3">
        <v>0</v>
      </c>
      <c r="R509" s="22" t="s">
        <v>2765</v>
      </c>
      <c r="S509" s="22" t="s">
        <v>5099</v>
      </c>
      <c r="T509" s="51">
        <v>33</v>
      </c>
      <c r="U509" s="3" t="s">
        <v>6381</v>
      </c>
      <c r="V509" s="41" t="str">
        <f>HYPERLINK("http://ictvonline.org/taxonomy/p/taxonomy-history?taxnode_id=20180173","ICTVonline=20180173")</f>
        <v>ICTVonline=20180173</v>
      </c>
    </row>
    <row r="510" spans="1:22">
      <c r="A510" s="3">
        <v>509</v>
      </c>
      <c r="F510" s="1" t="s">
        <v>6374</v>
      </c>
      <c r="G510" s="1" t="s">
        <v>6467</v>
      </c>
      <c r="H510" s="1" t="s">
        <v>6468</v>
      </c>
      <c r="J510" s="1" t="s">
        <v>4224</v>
      </c>
      <c r="L510" s="1" t="s">
        <v>4231</v>
      </c>
      <c r="N510" s="1" t="s">
        <v>1090</v>
      </c>
      <c r="P510" s="1" t="s">
        <v>4209</v>
      </c>
      <c r="Q510" s="3">
        <v>1</v>
      </c>
      <c r="R510" s="22" t="s">
        <v>2765</v>
      </c>
      <c r="S510" s="22" t="s">
        <v>5099</v>
      </c>
      <c r="T510" s="51">
        <v>33</v>
      </c>
      <c r="U510" s="3" t="s">
        <v>6381</v>
      </c>
      <c r="V510" s="41" t="str">
        <f>HYPERLINK("http://ictvonline.org/taxonomy/p/taxonomy-history?taxnode_id=20180174","ICTVonline=20180174")</f>
        <v>ICTVonline=20180174</v>
      </c>
    </row>
    <row r="511" spans="1:22">
      <c r="A511" s="3">
        <v>510</v>
      </c>
      <c r="F511" s="1" t="s">
        <v>6374</v>
      </c>
      <c r="G511" s="1" t="s">
        <v>6467</v>
      </c>
      <c r="H511" s="1" t="s">
        <v>6468</v>
      </c>
      <c r="J511" s="1" t="s">
        <v>4224</v>
      </c>
      <c r="L511" s="1" t="s">
        <v>4231</v>
      </c>
      <c r="N511" s="1" t="s">
        <v>1090</v>
      </c>
      <c r="P511" s="1" t="s">
        <v>4210</v>
      </c>
      <c r="Q511" s="3">
        <v>0</v>
      </c>
      <c r="R511" s="22" t="s">
        <v>2765</v>
      </c>
      <c r="S511" s="22" t="s">
        <v>5099</v>
      </c>
      <c r="T511" s="51">
        <v>33</v>
      </c>
      <c r="U511" s="3" t="s">
        <v>6381</v>
      </c>
      <c r="V511" s="41" t="str">
        <f>HYPERLINK("http://ictvonline.org/taxonomy/p/taxonomy-history?taxnode_id=20180175","ICTVonline=20180175")</f>
        <v>ICTVonline=20180175</v>
      </c>
    </row>
    <row r="512" spans="1:22">
      <c r="A512" s="3">
        <v>511</v>
      </c>
      <c r="F512" s="1" t="s">
        <v>6374</v>
      </c>
      <c r="G512" s="1" t="s">
        <v>6467</v>
      </c>
      <c r="H512" s="1" t="s">
        <v>6468</v>
      </c>
      <c r="J512" s="1" t="s">
        <v>4224</v>
      </c>
      <c r="L512" s="1" t="s">
        <v>4231</v>
      </c>
      <c r="N512" s="1" t="s">
        <v>6525</v>
      </c>
      <c r="P512" s="1" t="s">
        <v>6526</v>
      </c>
      <c r="Q512" s="3">
        <v>1</v>
      </c>
      <c r="R512" s="22" t="s">
        <v>2765</v>
      </c>
      <c r="S512" s="22" t="s">
        <v>5097</v>
      </c>
      <c r="T512" s="51">
        <v>33</v>
      </c>
      <c r="U512" s="3" t="s">
        <v>6472</v>
      </c>
      <c r="V512" s="41" t="str">
        <f>HYPERLINK("http://ictvonline.org/taxonomy/p/taxonomy-history?taxnode_id=20186238","ICTVonline=20186238")</f>
        <v>ICTVonline=20186238</v>
      </c>
    </row>
    <row r="513" spans="1:22">
      <c r="A513" s="3">
        <v>512</v>
      </c>
      <c r="F513" s="1" t="s">
        <v>6374</v>
      </c>
      <c r="G513" s="1" t="s">
        <v>6467</v>
      </c>
      <c r="H513" s="1" t="s">
        <v>6468</v>
      </c>
      <c r="J513" s="1" t="s">
        <v>4224</v>
      </c>
      <c r="L513" s="1" t="s">
        <v>4231</v>
      </c>
      <c r="N513" s="1" t="s">
        <v>6525</v>
      </c>
      <c r="P513" s="1" t="s">
        <v>6527</v>
      </c>
      <c r="Q513" s="3">
        <v>0</v>
      </c>
      <c r="R513" s="22" t="s">
        <v>2765</v>
      </c>
      <c r="S513" s="22" t="s">
        <v>5097</v>
      </c>
      <c r="T513" s="51">
        <v>33</v>
      </c>
      <c r="U513" s="3" t="s">
        <v>6472</v>
      </c>
      <c r="V513" s="41" t="str">
        <f>HYPERLINK("http://ictvonline.org/taxonomy/p/taxonomy-history?taxnode_id=20186239","ICTVonline=20186239")</f>
        <v>ICTVonline=20186239</v>
      </c>
    </row>
    <row r="514" spans="1:22">
      <c r="A514" s="3">
        <v>513</v>
      </c>
      <c r="F514" s="1" t="s">
        <v>6374</v>
      </c>
      <c r="G514" s="1" t="s">
        <v>6467</v>
      </c>
      <c r="H514" s="1" t="s">
        <v>6468</v>
      </c>
      <c r="J514" s="1" t="s">
        <v>4224</v>
      </c>
      <c r="L514" s="1" t="s">
        <v>6528</v>
      </c>
      <c r="N514" s="1" t="s">
        <v>6529</v>
      </c>
      <c r="P514" s="1" t="s">
        <v>6530</v>
      </c>
      <c r="Q514" s="3">
        <v>1</v>
      </c>
      <c r="R514" s="22" t="s">
        <v>2765</v>
      </c>
      <c r="S514" s="22" t="s">
        <v>5097</v>
      </c>
      <c r="T514" s="51">
        <v>33</v>
      </c>
      <c r="U514" s="3" t="s">
        <v>6472</v>
      </c>
      <c r="V514" s="41" t="str">
        <f>HYPERLINK("http://ictvonline.org/taxonomy/p/taxonomy-history?taxnode_id=20186242","ICTVonline=20186242")</f>
        <v>ICTVonline=20186242</v>
      </c>
    </row>
    <row r="515" spans="1:22">
      <c r="A515" s="3">
        <v>514</v>
      </c>
      <c r="F515" s="1" t="s">
        <v>6374</v>
      </c>
      <c r="G515" s="1" t="s">
        <v>6467</v>
      </c>
      <c r="H515" s="1" t="s">
        <v>6531</v>
      </c>
      <c r="J515" s="1" t="s">
        <v>6532</v>
      </c>
      <c r="L515" s="1" t="s">
        <v>6533</v>
      </c>
      <c r="N515" s="1" t="s">
        <v>5091</v>
      </c>
      <c r="P515" s="1" t="s">
        <v>5092</v>
      </c>
      <c r="Q515" s="3">
        <v>1</v>
      </c>
      <c r="R515" s="22" t="s">
        <v>2765</v>
      </c>
      <c r="S515" s="22" t="s">
        <v>5099</v>
      </c>
      <c r="T515" s="51">
        <v>33</v>
      </c>
      <c r="U515" s="3" t="s">
        <v>6381</v>
      </c>
      <c r="V515" s="41" t="str">
        <f>HYPERLINK("http://ictvonline.org/taxonomy/p/taxonomy-history?taxnode_id=20185391","ICTVonline=20185391")</f>
        <v>ICTVonline=20185391</v>
      </c>
    </row>
    <row r="516" spans="1:22">
      <c r="A516" s="3">
        <v>515</v>
      </c>
      <c r="F516" s="1" t="s">
        <v>6374</v>
      </c>
      <c r="G516" s="1" t="s">
        <v>6467</v>
      </c>
      <c r="H516" s="1" t="s">
        <v>6531</v>
      </c>
      <c r="J516" s="1" t="s">
        <v>6532</v>
      </c>
      <c r="L516" s="1" t="s">
        <v>1633</v>
      </c>
      <c r="N516" s="1" t="s">
        <v>6101</v>
      </c>
      <c r="P516" s="1" t="s">
        <v>911</v>
      </c>
      <c r="Q516" s="3">
        <v>1</v>
      </c>
      <c r="R516" s="22" t="s">
        <v>2765</v>
      </c>
      <c r="S516" s="22" t="s">
        <v>5099</v>
      </c>
      <c r="T516" s="51">
        <v>33</v>
      </c>
      <c r="U516" s="3" t="s">
        <v>6381</v>
      </c>
      <c r="V516" s="41" t="str">
        <f>HYPERLINK("http://ictvonline.org/taxonomy/p/taxonomy-history?taxnode_id=20183956","ICTVonline=20183956")</f>
        <v>ICTVonline=20183956</v>
      </c>
    </row>
    <row r="517" spans="1:22">
      <c r="A517" s="3">
        <v>516</v>
      </c>
      <c r="F517" s="1" t="s">
        <v>6374</v>
      </c>
      <c r="G517" s="1" t="s">
        <v>6467</v>
      </c>
      <c r="H517" s="1" t="s">
        <v>6531</v>
      </c>
      <c r="J517" s="1" t="s">
        <v>6532</v>
      </c>
      <c r="L517" s="1" t="s">
        <v>1633</v>
      </c>
      <c r="N517" s="1" t="s">
        <v>6102</v>
      </c>
      <c r="P517" s="1" t="s">
        <v>828</v>
      </c>
      <c r="Q517" s="3">
        <v>1</v>
      </c>
      <c r="R517" s="22" t="s">
        <v>2765</v>
      </c>
      <c r="S517" s="22" t="s">
        <v>5099</v>
      </c>
      <c r="T517" s="51">
        <v>33</v>
      </c>
      <c r="U517" s="3" t="s">
        <v>6381</v>
      </c>
      <c r="V517" s="41" t="str">
        <f>HYPERLINK("http://ictvonline.org/taxonomy/p/taxonomy-history?taxnode_id=20183958","ICTVonline=20183958")</f>
        <v>ICTVonline=20183958</v>
      </c>
    </row>
    <row r="518" spans="1:22">
      <c r="A518" s="3">
        <v>517</v>
      </c>
      <c r="F518" s="1" t="s">
        <v>6374</v>
      </c>
      <c r="G518" s="1" t="s">
        <v>6467</v>
      </c>
      <c r="H518" s="1" t="s">
        <v>6531</v>
      </c>
      <c r="J518" s="1" t="s">
        <v>6532</v>
      </c>
      <c r="L518" s="1" t="s">
        <v>1633</v>
      </c>
      <c r="N518" s="1" t="s">
        <v>6103</v>
      </c>
      <c r="P518" s="1" t="s">
        <v>4983</v>
      </c>
      <c r="Q518" s="3">
        <v>1</v>
      </c>
      <c r="R518" s="22" t="s">
        <v>2765</v>
      </c>
      <c r="S518" s="22" t="s">
        <v>5099</v>
      </c>
      <c r="T518" s="51">
        <v>33</v>
      </c>
      <c r="U518" s="3" t="s">
        <v>6381</v>
      </c>
      <c r="V518" s="41" t="str">
        <f>HYPERLINK("http://ictvonline.org/taxonomy/p/taxonomy-history?taxnode_id=20183962","ICTVonline=20183962")</f>
        <v>ICTVonline=20183962</v>
      </c>
    </row>
    <row r="519" spans="1:22">
      <c r="A519" s="3">
        <v>518</v>
      </c>
      <c r="F519" s="1" t="s">
        <v>6374</v>
      </c>
      <c r="G519" s="1" t="s">
        <v>6467</v>
      </c>
      <c r="H519" s="1" t="s">
        <v>6531</v>
      </c>
      <c r="J519" s="1" t="s">
        <v>6532</v>
      </c>
      <c r="L519" s="1" t="s">
        <v>1633</v>
      </c>
      <c r="N519" s="1" t="s">
        <v>6104</v>
      </c>
      <c r="P519" s="1" t="s">
        <v>829</v>
      </c>
      <c r="Q519" s="3">
        <v>1</v>
      </c>
      <c r="R519" s="22" t="s">
        <v>2765</v>
      </c>
      <c r="S519" s="22" t="s">
        <v>5099</v>
      </c>
      <c r="T519" s="51">
        <v>33</v>
      </c>
      <c r="U519" s="3" t="s">
        <v>6381</v>
      </c>
      <c r="V519" s="41" t="str">
        <f>HYPERLINK("http://ictvonline.org/taxonomy/p/taxonomy-history?taxnode_id=20183960","ICTVonline=20183960")</f>
        <v>ICTVonline=20183960</v>
      </c>
    </row>
    <row r="520" spans="1:22">
      <c r="A520" s="3">
        <v>519</v>
      </c>
      <c r="F520" s="1" t="s">
        <v>6374</v>
      </c>
      <c r="G520" s="1" t="s">
        <v>6467</v>
      </c>
      <c r="H520" s="1" t="s">
        <v>6531</v>
      </c>
      <c r="J520" s="1" t="s">
        <v>6532</v>
      </c>
      <c r="L520" s="1" t="s">
        <v>1633</v>
      </c>
      <c r="N520" s="1" t="s">
        <v>830</v>
      </c>
      <c r="P520" s="1" t="s">
        <v>6105</v>
      </c>
      <c r="Q520" s="3">
        <v>1</v>
      </c>
      <c r="R520" s="22" t="s">
        <v>2765</v>
      </c>
      <c r="S520" s="22" t="s">
        <v>5099</v>
      </c>
      <c r="T520" s="51">
        <v>33</v>
      </c>
      <c r="U520" s="3" t="s">
        <v>6381</v>
      </c>
      <c r="V520" s="41" t="str">
        <f>HYPERLINK("http://ictvonline.org/taxonomy/p/taxonomy-history?taxnode_id=20183964","ICTVonline=20183964")</f>
        <v>ICTVonline=20183964</v>
      </c>
    </row>
    <row r="521" spans="1:22">
      <c r="A521" s="3">
        <v>520</v>
      </c>
      <c r="F521" s="1" t="s">
        <v>6374</v>
      </c>
      <c r="G521" s="1" t="s">
        <v>6467</v>
      </c>
      <c r="H521" s="1" t="s">
        <v>6531</v>
      </c>
      <c r="J521" s="1" t="s">
        <v>6532</v>
      </c>
      <c r="L521" s="1" t="s">
        <v>1633</v>
      </c>
      <c r="N521" s="1" t="s">
        <v>2283</v>
      </c>
      <c r="P521" s="1" t="s">
        <v>6106</v>
      </c>
      <c r="Q521" s="3">
        <v>0</v>
      </c>
      <c r="R521" s="22" t="s">
        <v>2765</v>
      </c>
      <c r="S521" s="22" t="s">
        <v>5099</v>
      </c>
      <c r="T521" s="51">
        <v>33</v>
      </c>
      <c r="U521" s="3" t="s">
        <v>6381</v>
      </c>
      <c r="V521" s="41" t="str">
        <f>HYPERLINK("http://ictvonline.org/taxonomy/p/taxonomy-history?taxnode_id=20183966","ICTVonline=20183966")</f>
        <v>ICTVonline=20183966</v>
      </c>
    </row>
    <row r="522" spans="1:22">
      <c r="A522" s="3">
        <v>521</v>
      </c>
      <c r="F522" s="1" t="s">
        <v>6374</v>
      </c>
      <c r="G522" s="1" t="s">
        <v>6467</v>
      </c>
      <c r="H522" s="1" t="s">
        <v>6531</v>
      </c>
      <c r="J522" s="1" t="s">
        <v>6532</v>
      </c>
      <c r="L522" s="1" t="s">
        <v>1633</v>
      </c>
      <c r="N522" s="1" t="s">
        <v>2283</v>
      </c>
      <c r="P522" s="1" t="s">
        <v>6107</v>
      </c>
      <c r="Q522" s="3">
        <v>1</v>
      </c>
      <c r="R522" s="22" t="s">
        <v>2765</v>
      </c>
      <c r="S522" s="22" t="s">
        <v>5099</v>
      </c>
      <c r="T522" s="51">
        <v>33</v>
      </c>
      <c r="U522" s="3" t="s">
        <v>6381</v>
      </c>
      <c r="V522" s="41" t="str">
        <f>HYPERLINK("http://ictvonline.org/taxonomy/p/taxonomy-history?taxnode_id=20183967","ICTVonline=20183967")</f>
        <v>ICTVonline=20183967</v>
      </c>
    </row>
    <row r="523" spans="1:22">
      <c r="A523" s="3">
        <v>522</v>
      </c>
      <c r="F523" s="1" t="s">
        <v>6374</v>
      </c>
      <c r="G523" s="1" t="s">
        <v>6467</v>
      </c>
      <c r="H523" s="1" t="s">
        <v>6531</v>
      </c>
      <c r="J523" s="1" t="s">
        <v>6532</v>
      </c>
      <c r="L523" s="1" t="s">
        <v>1633</v>
      </c>
      <c r="N523" s="1" t="s">
        <v>831</v>
      </c>
      <c r="P523" s="1" t="s">
        <v>6108</v>
      </c>
      <c r="Q523" s="3">
        <v>0</v>
      </c>
      <c r="R523" s="22" t="s">
        <v>2765</v>
      </c>
      <c r="S523" s="22" t="s">
        <v>5099</v>
      </c>
      <c r="T523" s="51">
        <v>33</v>
      </c>
      <c r="U523" s="3" t="s">
        <v>6381</v>
      </c>
      <c r="V523" s="41" t="str">
        <f>HYPERLINK("http://ictvonline.org/taxonomy/p/taxonomy-history?taxnode_id=20183969","ICTVonline=20183969")</f>
        <v>ICTVonline=20183969</v>
      </c>
    </row>
    <row r="524" spans="1:22">
      <c r="A524" s="3">
        <v>523</v>
      </c>
      <c r="F524" s="1" t="s">
        <v>6374</v>
      </c>
      <c r="G524" s="1" t="s">
        <v>6467</v>
      </c>
      <c r="H524" s="1" t="s">
        <v>6531</v>
      </c>
      <c r="J524" s="1" t="s">
        <v>6532</v>
      </c>
      <c r="L524" s="1" t="s">
        <v>1633</v>
      </c>
      <c r="N524" s="1" t="s">
        <v>831</v>
      </c>
      <c r="P524" s="1" t="s">
        <v>6109</v>
      </c>
      <c r="Q524" s="3">
        <v>1</v>
      </c>
      <c r="R524" s="22" t="s">
        <v>2765</v>
      </c>
      <c r="S524" s="22" t="s">
        <v>5099</v>
      </c>
      <c r="T524" s="51">
        <v>33</v>
      </c>
      <c r="U524" s="3" t="s">
        <v>6381</v>
      </c>
      <c r="V524" s="41" t="str">
        <f>HYPERLINK("http://ictvonline.org/taxonomy/p/taxonomy-history?taxnode_id=20183970","ICTVonline=20183970")</f>
        <v>ICTVonline=20183970</v>
      </c>
    </row>
    <row r="525" spans="1:22">
      <c r="A525" s="3">
        <v>524</v>
      </c>
      <c r="J525" s="1" t="s">
        <v>1338</v>
      </c>
      <c r="L525" s="1" t="s">
        <v>5200</v>
      </c>
      <c r="M525" s="1" t="s">
        <v>5201</v>
      </c>
      <c r="N525" s="1" t="s">
        <v>5202</v>
      </c>
      <c r="P525" s="1" t="s">
        <v>5203</v>
      </c>
      <c r="Q525" s="3">
        <v>0</v>
      </c>
      <c r="R525" s="22" t="s">
        <v>2764</v>
      </c>
      <c r="S525" s="22" t="s">
        <v>5097</v>
      </c>
      <c r="T525" s="51">
        <v>32</v>
      </c>
      <c r="U525" s="3" t="s">
        <v>5204</v>
      </c>
      <c r="V525" s="41" t="str">
        <f>HYPERLINK("http://ictvonline.org/taxonomy/p/taxonomy-history?taxnode_id=20185465","ICTVonline=20185465")</f>
        <v>ICTVonline=20185465</v>
      </c>
    </row>
    <row r="526" spans="1:22">
      <c r="A526" s="3">
        <v>525</v>
      </c>
      <c r="J526" s="1" t="s">
        <v>1338</v>
      </c>
      <c r="L526" s="1" t="s">
        <v>5200</v>
      </c>
      <c r="M526" s="1" t="s">
        <v>5201</v>
      </c>
      <c r="N526" s="1" t="s">
        <v>5202</v>
      </c>
      <c r="P526" s="1" t="s">
        <v>3022</v>
      </c>
      <c r="Q526" s="3">
        <v>1</v>
      </c>
      <c r="R526" s="22" t="s">
        <v>2764</v>
      </c>
      <c r="S526" s="22" t="s">
        <v>5099</v>
      </c>
      <c r="T526" s="51">
        <v>32</v>
      </c>
      <c r="U526" s="3" t="s">
        <v>5204</v>
      </c>
      <c r="V526" s="41" t="str">
        <f>HYPERLINK("http://ictvonline.org/taxonomy/p/taxonomy-history?taxnode_id=20180534","ICTVonline=20180534")</f>
        <v>ICTVonline=20180534</v>
      </c>
    </row>
    <row r="527" spans="1:22">
      <c r="A527" s="3">
        <v>526</v>
      </c>
      <c r="J527" s="1" t="s">
        <v>1338</v>
      </c>
      <c r="L527" s="1" t="s">
        <v>5200</v>
      </c>
      <c r="M527" s="1" t="s">
        <v>5201</v>
      </c>
      <c r="N527" s="1" t="s">
        <v>5205</v>
      </c>
      <c r="P527" s="1" t="s">
        <v>3009</v>
      </c>
      <c r="Q527" s="3">
        <v>1</v>
      </c>
      <c r="R527" s="22" t="s">
        <v>2764</v>
      </c>
      <c r="S527" s="22" t="s">
        <v>5099</v>
      </c>
      <c r="T527" s="51">
        <v>32</v>
      </c>
      <c r="U527" s="3" t="s">
        <v>5204</v>
      </c>
      <c r="V527" s="41" t="str">
        <f>HYPERLINK("http://ictvonline.org/taxonomy/p/taxonomy-history?taxnode_id=20180521","ICTVonline=20180521")</f>
        <v>ICTVonline=20180521</v>
      </c>
    </row>
    <row r="528" spans="1:22">
      <c r="A528" s="3">
        <v>527</v>
      </c>
      <c r="J528" s="1" t="s">
        <v>1338</v>
      </c>
      <c r="L528" s="1" t="s">
        <v>5200</v>
      </c>
      <c r="M528" s="1" t="s">
        <v>5201</v>
      </c>
      <c r="N528" s="1" t="s">
        <v>5205</v>
      </c>
      <c r="P528" s="1" t="s">
        <v>5206</v>
      </c>
      <c r="Q528" s="3">
        <v>0</v>
      </c>
      <c r="R528" s="22" t="s">
        <v>2764</v>
      </c>
      <c r="S528" s="22" t="s">
        <v>5097</v>
      </c>
      <c r="T528" s="51">
        <v>32</v>
      </c>
      <c r="U528" s="3" t="s">
        <v>5204</v>
      </c>
      <c r="V528" s="41" t="str">
        <f>HYPERLINK("http://ictvonline.org/taxonomy/p/taxonomy-history?taxnode_id=20185467","ICTVonline=20185467")</f>
        <v>ICTVonline=20185467</v>
      </c>
    </row>
    <row r="529" spans="1:22">
      <c r="A529" s="3">
        <v>528</v>
      </c>
      <c r="J529" s="1" t="s">
        <v>1338</v>
      </c>
      <c r="L529" s="1" t="s">
        <v>5200</v>
      </c>
      <c r="M529" s="1" t="s">
        <v>5207</v>
      </c>
      <c r="N529" s="1" t="s">
        <v>5208</v>
      </c>
      <c r="P529" s="1" t="s">
        <v>3010</v>
      </c>
      <c r="Q529" s="3">
        <v>1</v>
      </c>
      <c r="R529" s="22" t="s">
        <v>2764</v>
      </c>
      <c r="S529" s="22" t="s">
        <v>5099</v>
      </c>
      <c r="T529" s="51">
        <v>32</v>
      </c>
      <c r="U529" s="3" t="s">
        <v>5204</v>
      </c>
      <c r="V529" s="41" t="str">
        <f>HYPERLINK("http://ictvonline.org/taxonomy/p/taxonomy-history?taxnode_id=20180522","ICTVonline=20180522")</f>
        <v>ICTVonline=20180522</v>
      </c>
    </row>
    <row r="530" spans="1:22">
      <c r="A530" s="3">
        <v>529</v>
      </c>
      <c r="J530" s="1" t="s">
        <v>1338</v>
      </c>
      <c r="L530" s="1" t="s">
        <v>5200</v>
      </c>
      <c r="M530" s="1" t="s">
        <v>5207</v>
      </c>
      <c r="N530" s="1" t="s">
        <v>5208</v>
      </c>
      <c r="P530" s="1" t="s">
        <v>3012</v>
      </c>
      <c r="Q530" s="3">
        <v>0</v>
      </c>
      <c r="R530" s="22" t="s">
        <v>2764</v>
      </c>
      <c r="S530" s="22" t="s">
        <v>5099</v>
      </c>
      <c r="T530" s="51">
        <v>32</v>
      </c>
      <c r="U530" s="3" t="s">
        <v>5204</v>
      </c>
      <c r="V530" s="41" t="str">
        <f>HYPERLINK("http://ictvonline.org/taxonomy/p/taxonomy-history?taxnode_id=20180524","ICTVonline=20180524")</f>
        <v>ICTVonline=20180524</v>
      </c>
    </row>
    <row r="531" spans="1:22">
      <c r="A531" s="3">
        <v>530</v>
      </c>
      <c r="J531" s="1" t="s">
        <v>1338</v>
      </c>
      <c r="L531" s="1" t="s">
        <v>5200</v>
      </c>
      <c r="M531" s="1" t="s">
        <v>5207</v>
      </c>
      <c r="N531" s="1" t="s">
        <v>5208</v>
      </c>
      <c r="P531" s="1" t="s">
        <v>5209</v>
      </c>
      <c r="Q531" s="3">
        <v>0</v>
      </c>
      <c r="R531" s="22" t="s">
        <v>2764</v>
      </c>
      <c r="S531" s="22" t="s">
        <v>5097</v>
      </c>
      <c r="T531" s="51">
        <v>32</v>
      </c>
      <c r="U531" s="3" t="s">
        <v>5204</v>
      </c>
      <c r="V531" s="41" t="str">
        <f>HYPERLINK("http://ictvonline.org/taxonomy/p/taxonomy-history?taxnode_id=20185470","ICTVonline=20185470")</f>
        <v>ICTVonline=20185470</v>
      </c>
    </row>
    <row r="532" spans="1:22">
      <c r="A532" s="3">
        <v>531</v>
      </c>
      <c r="J532" s="1" t="s">
        <v>1338</v>
      </c>
      <c r="L532" s="1" t="s">
        <v>5200</v>
      </c>
      <c r="M532" s="1" t="s">
        <v>5207</v>
      </c>
      <c r="N532" s="1" t="s">
        <v>5208</v>
      </c>
      <c r="P532" s="1" t="s">
        <v>3013</v>
      </c>
      <c r="Q532" s="3">
        <v>0</v>
      </c>
      <c r="R532" s="22" t="s">
        <v>2764</v>
      </c>
      <c r="S532" s="22" t="s">
        <v>5099</v>
      </c>
      <c r="T532" s="51">
        <v>32</v>
      </c>
      <c r="U532" s="3" t="s">
        <v>5204</v>
      </c>
      <c r="V532" s="41" t="str">
        <f>HYPERLINK("http://ictvonline.org/taxonomy/p/taxonomy-history?taxnode_id=20180525","ICTVonline=20180525")</f>
        <v>ICTVonline=20180525</v>
      </c>
    </row>
    <row r="533" spans="1:22">
      <c r="A533" s="3">
        <v>532</v>
      </c>
      <c r="J533" s="1" t="s">
        <v>1338</v>
      </c>
      <c r="L533" s="1" t="s">
        <v>5200</v>
      </c>
      <c r="M533" s="1" t="s">
        <v>5207</v>
      </c>
      <c r="N533" s="1" t="s">
        <v>5208</v>
      </c>
      <c r="P533" s="1" t="s">
        <v>5210</v>
      </c>
      <c r="Q533" s="3">
        <v>0</v>
      </c>
      <c r="R533" s="22" t="s">
        <v>2764</v>
      </c>
      <c r="S533" s="22" t="s">
        <v>5097</v>
      </c>
      <c r="T533" s="51">
        <v>32</v>
      </c>
      <c r="U533" s="3" t="s">
        <v>5204</v>
      </c>
      <c r="V533" s="41" t="str">
        <f>HYPERLINK("http://ictvonline.org/taxonomy/p/taxonomy-history?taxnode_id=20185471","ICTVonline=20185471")</f>
        <v>ICTVonline=20185471</v>
      </c>
    </row>
    <row r="534" spans="1:22">
      <c r="A534" s="3">
        <v>533</v>
      </c>
      <c r="J534" s="1" t="s">
        <v>1338</v>
      </c>
      <c r="L534" s="1" t="s">
        <v>5200</v>
      </c>
      <c r="M534" s="1" t="s">
        <v>5207</v>
      </c>
      <c r="N534" s="1" t="s">
        <v>5208</v>
      </c>
      <c r="P534" s="1" t="s">
        <v>5211</v>
      </c>
      <c r="Q534" s="3">
        <v>0</v>
      </c>
      <c r="R534" s="22" t="s">
        <v>2764</v>
      </c>
      <c r="S534" s="22" t="s">
        <v>5097</v>
      </c>
      <c r="T534" s="51">
        <v>32</v>
      </c>
      <c r="U534" s="3" t="s">
        <v>5204</v>
      </c>
      <c r="V534" s="41" t="str">
        <f>HYPERLINK("http://ictvonline.org/taxonomy/p/taxonomy-history?taxnode_id=20185472","ICTVonline=20185472")</f>
        <v>ICTVonline=20185472</v>
      </c>
    </row>
    <row r="535" spans="1:22">
      <c r="A535" s="3">
        <v>534</v>
      </c>
      <c r="J535" s="1" t="s">
        <v>1338</v>
      </c>
      <c r="L535" s="1" t="s">
        <v>5200</v>
      </c>
      <c r="M535" s="1" t="s">
        <v>5207</v>
      </c>
      <c r="N535" s="1" t="s">
        <v>5208</v>
      </c>
      <c r="P535" s="1" t="s">
        <v>3016</v>
      </c>
      <c r="Q535" s="3">
        <v>0</v>
      </c>
      <c r="R535" s="22" t="s">
        <v>2764</v>
      </c>
      <c r="S535" s="22" t="s">
        <v>5099</v>
      </c>
      <c r="T535" s="51">
        <v>32</v>
      </c>
      <c r="U535" s="3" t="s">
        <v>5204</v>
      </c>
      <c r="V535" s="41" t="str">
        <f>HYPERLINK("http://ictvonline.org/taxonomy/p/taxonomy-history?taxnode_id=20180528","ICTVonline=20180528")</f>
        <v>ICTVonline=20180528</v>
      </c>
    </row>
    <row r="536" spans="1:22">
      <c r="A536" s="3">
        <v>535</v>
      </c>
      <c r="J536" s="1" t="s">
        <v>1338</v>
      </c>
      <c r="L536" s="1" t="s">
        <v>5200</v>
      </c>
      <c r="M536" s="1" t="s">
        <v>5207</v>
      </c>
      <c r="N536" s="1" t="s">
        <v>5208</v>
      </c>
      <c r="P536" s="1" t="s">
        <v>3017</v>
      </c>
      <c r="Q536" s="3">
        <v>0</v>
      </c>
      <c r="R536" s="22" t="s">
        <v>2764</v>
      </c>
      <c r="S536" s="22" t="s">
        <v>5099</v>
      </c>
      <c r="T536" s="51">
        <v>32</v>
      </c>
      <c r="U536" s="3" t="s">
        <v>5204</v>
      </c>
      <c r="V536" s="41" t="str">
        <f>HYPERLINK("http://ictvonline.org/taxonomy/p/taxonomy-history?taxnode_id=20180529","ICTVonline=20180529")</f>
        <v>ICTVonline=20180529</v>
      </c>
    </row>
    <row r="537" spans="1:22">
      <c r="A537" s="3">
        <v>536</v>
      </c>
      <c r="J537" s="1" t="s">
        <v>1338</v>
      </c>
      <c r="L537" s="1" t="s">
        <v>5200</v>
      </c>
      <c r="M537" s="1" t="s">
        <v>5207</v>
      </c>
      <c r="N537" s="1" t="s">
        <v>5208</v>
      </c>
      <c r="P537" s="1" t="s">
        <v>3019</v>
      </c>
      <c r="Q537" s="3">
        <v>0</v>
      </c>
      <c r="R537" s="22" t="s">
        <v>2764</v>
      </c>
      <c r="S537" s="22" t="s">
        <v>5099</v>
      </c>
      <c r="T537" s="51">
        <v>32</v>
      </c>
      <c r="U537" s="3" t="s">
        <v>5204</v>
      </c>
      <c r="V537" s="41" t="str">
        <f>HYPERLINK("http://ictvonline.org/taxonomy/p/taxonomy-history?taxnode_id=20180531","ICTVonline=20180531")</f>
        <v>ICTVonline=20180531</v>
      </c>
    </row>
    <row r="538" spans="1:22">
      <c r="A538" s="3">
        <v>537</v>
      </c>
      <c r="J538" s="1" t="s">
        <v>1338</v>
      </c>
      <c r="L538" s="1" t="s">
        <v>5200</v>
      </c>
      <c r="M538" s="1" t="s">
        <v>5207</v>
      </c>
      <c r="N538" s="1" t="s">
        <v>3008</v>
      </c>
      <c r="P538" s="1" t="s">
        <v>3011</v>
      </c>
      <c r="Q538" s="3">
        <v>0</v>
      </c>
      <c r="R538" s="22" t="s">
        <v>2764</v>
      </c>
      <c r="S538" s="22" t="s">
        <v>5099</v>
      </c>
      <c r="T538" s="51">
        <v>32</v>
      </c>
      <c r="U538" s="3" t="s">
        <v>5204</v>
      </c>
      <c r="V538" s="41" t="str">
        <f>HYPERLINK("http://ictvonline.org/taxonomy/p/taxonomy-history?taxnode_id=20180523","ICTVonline=20180523")</f>
        <v>ICTVonline=20180523</v>
      </c>
    </row>
    <row r="539" spans="1:22">
      <c r="A539" s="3">
        <v>538</v>
      </c>
      <c r="J539" s="1" t="s">
        <v>1338</v>
      </c>
      <c r="L539" s="1" t="s">
        <v>5200</v>
      </c>
      <c r="M539" s="1" t="s">
        <v>5207</v>
      </c>
      <c r="N539" s="1" t="s">
        <v>3008</v>
      </c>
      <c r="P539" s="1" t="s">
        <v>3014</v>
      </c>
      <c r="Q539" s="3">
        <v>0</v>
      </c>
      <c r="R539" s="22" t="s">
        <v>2764</v>
      </c>
      <c r="S539" s="22" t="s">
        <v>5099</v>
      </c>
      <c r="T539" s="51">
        <v>32</v>
      </c>
      <c r="U539" s="3" t="s">
        <v>5204</v>
      </c>
      <c r="V539" s="41" t="str">
        <f>HYPERLINK("http://ictvonline.org/taxonomy/p/taxonomy-history?taxnode_id=20180526","ICTVonline=20180526")</f>
        <v>ICTVonline=20180526</v>
      </c>
    </row>
    <row r="540" spans="1:22">
      <c r="A540" s="3">
        <v>539</v>
      </c>
      <c r="J540" s="1" t="s">
        <v>1338</v>
      </c>
      <c r="L540" s="1" t="s">
        <v>5200</v>
      </c>
      <c r="M540" s="1" t="s">
        <v>5207</v>
      </c>
      <c r="N540" s="1" t="s">
        <v>3008</v>
      </c>
      <c r="P540" s="1" t="s">
        <v>3015</v>
      </c>
      <c r="Q540" s="3">
        <v>0</v>
      </c>
      <c r="R540" s="22" t="s">
        <v>2764</v>
      </c>
      <c r="S540" s="22" t="s">
        <v>5099</v>
      </c>
      <c r="T540" s="51">
        <v>32</v>
      </c>
      <c r="U540" s="3" t="s">
        <v>5204</v>
      </c>
      <c r="V540" s="41" t="str">
        <f>HYPERLINK("http://ictvonline.org/taxonomy/p/taxonomy-history?taxnode_id=20180527","ICTVonline=20180527")</f>
        <v>ICTVonline=20180527</v>
      </c>
    </row>
    <row r="541" spans="1:22">
      <c r="A541" s="3">
        <v>540</v>
      </c>
      <c r="J541" s="1" t="s">
        <v>1338</v>
      </c>
      <c r="L541" s="1" t="s">
        <v>5200</v>
      </c>
      <c r="M541" s="1" t="s">
        <v>5207</v>
      </c>
      <c r="N541" s="1" t="s">
        <v>3008</v>
      </c>
      <c r="P541" s="1" t="s">
        <v>3018</v>
      </c>
      <c r="Q541" s="3">
        <v>0</v>
      </c>
      <c r="R541" s="22" t="s">
        <v>2764</v>
      </c>
      <c r="S541" s="22" t="s">
        <v>5099</v>
      </c>
      <c r="T541" s="51">
        <v>32</v>
      </c>
      <c r="U541" s="3" t="s">
        <v>5204</v>
      </c>
      <c r="V541" s="41" t="str">
        <f>HYPERLINK("http://ictvonline.org/taxonomy/p/taxonomy-history?taxnode_id=20180530","ICTVonline=20180530")</f>
        <v>ICTVonline=20180530</v>
      </c>
    </row>
    <row r="542" spans="1:22">
      <c r="A542" s="3">
        <v>541</v>
      </c>
      <c r="J542" s="1" t="s">
        <v>1338</v>
      </c>
      <c r="L542" s="1" t="s">
        <v>5200</v>
      </c>
      <c r="M542" s="1" t="s">
        <v>5207</v>
      </c>
      <c r="N542" s="1" t="s">
        <v>3008</v>
      </c>
      <c r="P542" s="1" t="s">
        <v>3020</v>
      </c>
      <c r="Q542" s="3">
        <v>0</v>
      </c>
      <c r="R542" s="22" t="s">
        <v>2764</v>
      </c>
      <c r="S542" s="22" t="s">
        <v>5099</v>
      </c>
      <c r="T542" s="51">
        <v>32</v>
      </c>
      <c r="U542" s="3" t="s">
        <v>5204</v>
      </c>
      <c r="V542" s="41" t="str">
        <f>HYPERLINK("http://ictvonline.org/taxonomy/p/taxonomy-history?taxnode_id=20180532","ICTVonline=20180532")</f>
        <v>ICTVonline=20180532</v>
      </c>
    </row>
    <row r="543" spans="1:22">
      <c r="A543" s="3">
        <v>542</v>
      </c>
      <c r="J543" s="1" t="s">
        <v>1338</v>
      </c>
      <c r="L543" s="1" t="s">
        <v>5200</v>
      </c>
      <c r="M543" s="1" t="s">
        <v>5207</v>
      </c>
      <c r="N543" s="1" t="s">
        <v>3008</v>
      </c>
      <c r="P543" s="1" t="s">
        <v>3021</v>
      </c>
      <c r="Q543" s="3">
        <v>1</v>
      </c>
      <c r="R543" s="22" t="s">
        <v>2764</v>
      </c>
      <c r="S543" s="22" t="s">
        <v>5099</v>
      </c>
      <c r="T543" s="51">
        <v>32</v>
      </c>
      <c r="U543" s="3" t="s">
        <v>5204</v>
      </c>
      <c r="V543" s="41" t="str">
        <f>HYPERLINK("http://ictvonline.org/taxonomy/p/taxonomy-history?taxnode_id=20180533","ICTVonline=20180533")</f>
        <v>ICTVonline=20180533</v>
      </c>
    </row>
    <row r="544" spans="1:22">
      <c r="A544" s="3">
        <v>543</v>
      </c>
      <c r="J544" s="1" t="s">
        <v>1338</v>
      </c>
      <c r="L544" s="1" t="s">
        <v>5200</v>
      </c>
      <c r="P544" s="1" t="s">
        <v>5212</v>
      </c>
      <c r="Q544" s="3">
        <v>0</v>
      </c>
      <c r="R544" s="22" t="s">
        <v>2764</v>
      </c>
      <c r="S544" s="22" t="s">
        <v>5097</v>
      </c>
      <c r="T544" s="51">
        <v>32</v>
      </c>
      <c r="U544" s="3" t="s">
        <v>5204</v>
      </c>
      <c r="V544" s="41" t="str">
        <f>HYPERLINK("http://ictvonline.org/taxonomy/p/taxonomy-history?taxnode_id=20185475","ICTVonline=20185475")</f>
        <v>ICTVonline=20185475</v>
      </c>
    </row>
    <row r="545" spans="1:22">
      <c r="A545" s="3">
        <v>544</v>
      </c>
      <c r="J545" s="1" t="s">
        <v>1338</v>
      </c>
      <c r="L545" s="1" t="s">
        <v>5200</v>
      </c>
      <c r="P545" s="1" t="s">
        <v>5213</v>
      </c>
      <c r="Q545" s="3">
        <v>0</v>
      </c>
      <c r="R545" s="22" t="s">
        <v>2764</v>
      </c>
      <c r="S545" s="22" t="s">
        <v>5097</v>
      </c>
      <c r="T545" s="51">
        <v>32</v>
      </c>
      <c r="U545" s="3" t="s">
        <v>5204</v>
      </c>
      <c r="V545" s="41" t="str">
        <f>HYPERLINK("http://ictvonline.org/taxonomy/p/taxonomy-history?taxnode_id=20185476","ICTVonline=20185476")</f>
        <v>ICTVonline=20185476</v>
      </c>
    </row>
    <row r="546" spans="1:22">
      <c r="A546" s="3">
        <v>545</v>
      </c>
      <c r="J546" s="1" t="s">
        <v>1338</v>
      </c>
      <c r="L546" s="1" t="s">
        <v>5200</v>
      </c>
      <c r="P546" s="1" t="s">
        <v>5214</v>
      </c>
      <c r="Q546" s="3">
        <v>0</v>
      </c>
      <c r="R546" s="22" t="s">
        <v>2764</v>
      </c>
      <c r="S546" s="22" t="s">
        <v>5097</v>
      </c>
      <c r="T546" s="51">
        <v>32</v>
      </c>
      <c r="U546" s="3" t="s">
        <v>5204</v>
      </c>
      <c r="V546" s="41" t="str">
        <f>HYPERLINK("http://ictvonline.org/taxonomy/p/taxonomy-history?taxnode_id=20185477","ICTVonline=20185477")</f>
        <v>ICTVonline=20185477</v>
      </c>
    </row>
    <row r="547" spans="1:22">
      <c r="A547" s="3">
        <v>546</v>
      </c>
      <c r="J547" s="1" t="s">
        <v>1338</v>
      </c>
      <c r="L547" s="1" t="s">
        <v>5200</v>
      </c>
      <c r="P547" s="1" t="s">
        <v>5215</v>
      </c>
      <c r="Q547" s="3">
        <v>0</v>
      </c>
      <c r="R547" s="22" t="s">
        <v>2764</v>
      </c>
      <c r="S547" s="22" t="s">
        <v>5097</v>
      </c>
      <c r="T547" s="51">
        <v>32</v>
      </c>
      <c r="U547" s="3" t="s">
        <v>5204</v>
      </c>
      <c r="V547" s="41" t="str">
        <f>HYPERLINK("http://ictvonline.org/taxonomy/p/taxonomy-history?taxnode_id=20185478","ICTVonline=20185478")</f>
        <v>ICTVonline=20185478</v>
      </c>
    </row>
    <row r="548" spans="1:22">
      <c r="A548" s="3">
        <v>547</v>
      </c>
      <c r="J548" s="1" t="s">
        <v>1338</v>
      </c>
      <c r="L548" s="1" t="s">
        <v>1339</v>
      </c>
      <c r="M548" s="1" t="s">
        <v>2643</v>
      </c>
      <c r="N548" s="1" t="s">
        <v>2777</v>
      </c>
      <c r="P548" s="1" t="s">
        <v>5096</v>
      </c>
      <c r="Q548" s="3">
        <v>0</v>
      </c>
      <c r="R548" s="22" t="s">
        <v>2764</v>
      </c>
      <c r="S548" s="22" t="s">
        <v>5098</v>
      </c>
      <c r="T548" s="51">
        <v>30</v>
      </c>
      <c r="U548" s="3" t="s">
        <v>5216</v>
      </c>
      <c r="V548" s="41" t="str">
        <f>HYPERLINK("http://ictvonline.org/taxonomy/p/taxonomy-history?taxnode_id=20180194","ICTVonline=20180194")</f>
        <v>ICTVonline=20180194</v>
      </c>
    </row>
    <row r="549" spans="1:22">
      <c r="A549" s="3">
        <v>548</v>
      </c>
      <c r="J549" s="1" t="s">
        <v>1338</v>
      </c>
      <c r="L549" s="1" t="s">
        <v>1339</v>
      </c>
      <c r="M549" s="1" t="s">
        <v>2643</v>
      </c>
      <c r="N549" s="1" t="s">
        <v>2777</v>
      </c>
      <c r="P549" s="1" t="s">
        <v>2778</v>
      </c>
      <c r="Q549" s="3">
        <v>1</v>
      </c>
      <c r="R549" s="22" t="s">
        <v>2764</v>
      </c>
      <c r="S549" s="22" t="s">
        <v>5098</v>
      </c>
      <c r="T549" s="51">
        <v>30</v>
      </c>
      <c r="U549" s="3" t="s">
        <v>5216</v>
      </c>
      <c r="V549" s="41" t="str">
        <f>HYPERLINK("http://ictvonline.org/taxonomy/p/taxonomy-history?taxnode_id=20180195","ICTVonline=20180195")</f>
        <v>ICTVonline=20180195</v>
      </c>
    </row>
    <row r="550" spans="1:22">
      <c r="A550" s="3">
        <v>549</v>
      </c>
      <c r="J550" s="1" t="s">
        <v>1338</v>
      </c>
      <c r="L550" s="1" t="s">
        <v>1339</v>
      </c>
      <c r="M550" s="1" t="s">
        <v>2643</v>
      </c>
      <c r="N550" s="1" t="s">
        <v>2777</v>
      </c>
      <c r="P550" s="1" t="s">
        <v>2779</v>
      </c>
      <c r="Q550" s="3">
        <v>0</v>
      </c>
      <c r="R550" s="22" t="s">
        <v>2764</v>
      </c>
      <c r="S550" s="22" t="s">
        <v>5098</v>
      </c>
      <c r="T550" s="51">
        <v>30</v>
      </c>
      <c r="U550" s="3" t="s">
        <v>5216</v>
      </c>
      <c r="V550" s="41" t="str">
        <f>HYPERLINK("http://ictvonline.org/taxonomy/p/taxonomy-history?taxnode_id=20180196","ICTVonline=20180196")</f>
        <v>ICTVonline=20180196</v>
      </c>
    </row>
    <row r="551" spans="1:22">
      <c r="A551" s="3">
        <v>550</v>
      </c>
      <c r="J551" s="1" t="s">
        <v>1338</v>
      </c>
      <c r="L551" s="1" t="s">
        <v>1339</v>
      </c>
      <c r="M551" s="1" t="s">
        <v>2643</v>
      </c>
      <c r="N551" s="1" t="s">
        <v>2777</v>
      </c>
      <c r="P551" s="1" t="s">
        <v>2780</v>
      </c>
      <c r="Q551" s="3">
        <v>0</v>
      </c>
      <c r="R551" s="22" t="s">
        <v>2764</v>
      </c>
      <c r="S551" s="22" t="s">
        <v>5098</v>
      </c>
      <c r="T551" s="51">
        <v>30</v>
      </c>
      <c r="U551" s="3" t="s">
        <v>5216</v>
      </c>
      <c r="V551" s="41" t="str">
        <f>HYPERLINK("http://ictvonline.org/taxonomy/p/taxonomy-history?taxnode_id=20180197","ICTVonline=20180197")</f>
        <v>ICTVonline=20180197</v>
      </c>
    </row>
    <row r="552" spans="1:22">
      <c r="A552" s="3">
        <v>551</v>
      </c>
      <c r="J552" s="1" t="s">
        <v>1338</v>
      </c>
      <c r="L552" s="1" t="s">
        <v>1339</v>
      </c>
      <c r="M552" s="1" t="s">
        <v>2643</v>
      </c>
      <c r="N552" s="1" t="s">
        <v>2781</v>
      </c>
      <c r="P552" s="1" t="s">
        <v>2782</v>
      </c>
      <c r="Q552" s="3">
        <v>1</v>
      </c>
      <c r="R552" s="22" t="s">
        <v>2764</v>
      </c>
      <c r="S552" s="22" t="s">
        <v>5098</v>
      </c>
      <c r="T552" s="51">
        <v>30</v>
      </c>
      <c r="U552" s="3" t="s">
        <v>5216</v>
      </c>
      <c r="V552" s="41" t="str">
        <f>HYPERLINK("http://ictvonline.org/taxonomy/p/taxonomy-history?taxnode_id=20180199","ICTVonline=20180199")</f>
        <v>ICTVonline=20180199</v>
      </c>
    </row>
    <row r="553" spans="1:22">
      <c r="A553" s="3">
        <v>552</v>
      </c>
      <c r="J553" s="1" t="s">
        <v>1338</v>
      </c>
      <c r="L553" s="1" t="s">
        <v>1339</v>
      </c>
      <c r="M553" s="1" t="s">
        <v>2643</v>
      </c>
      <c r="N553" s="1" t="s">
        <v>2781</v>
      </c>
      <c r="P553" s="1" t="s">
        <v>4308</v>
      </c>
      <c r="Q553" s="3">
        <v>0</v>
      </c>
      <c r="R553" s="22" t="s">
        <v>2764</v>
      </c>
      <c r="S553" s="22" t="s">
        <v>5097</v>
      </c>
      <c r="T553" s="51">
        <v>31</v>
      </c>
      <c r="U553" s="3" t="s">
        <v>5217</v>
      </c>
      <c r="V553" s="41" t="str">
        <f>HYPERLINK("http://ictvonline.org/taxonomy/p/taxonomy-history?taxnode_id=20180200","ICTVonline=20180200")</f>
        <v>ICTVonline=20180200</v>
      </c>
    </row>
    <row r="554" spans="1:22">
      <c r="A554" s="3">
        <v>553</v>
      </c>
      <c r="J554" s="1" t="s">
        <v>1338</v>
      </c>
      <c r="L554" s="1" t="s">
        <v>1339</v>
      </c>
      <c r="M554" s="1" t="s">
        <v>2643</v>
      </c>
      <c r="N554" s="1" t="s">
        <v>2781</v>
      </c>
      <c r="P554" s="1" t="s">
        <v>2783</v>
      </c>
      <c r="Q554" s="3">
        <v>0</v>
      </c>
      <c r="R554" s="22" t="s">
        <v>2764</v>
      </c>
      <c r="S554" s="22" t="s">
        <v>5098</v>
      </c>
      <c r="T554" s="51">
        <v>30</v>
      </c>
      <c r="U554" s="3" t="s">
        <v>5216</v>
      </c>
      <c r="V554" s="41" t="str">
        <f>HYPERLINK("http://ictvonline.org/taxonomy/p/taxonomy-history?taxnode_id=20180201","ICTVonline=20180201")</f>
        <v>ICTVonline=20180201</v>
      </c>
    </row>
    <row r="555" spans="1:22">
      <c r="A555" s="3">
        <v>554</v>
      </c>
      <c r="J555" s="1" t="s">
        <v>1338</v>
      </c>
      <c r="L555" s="1" t="s">
        <v>1339</v>
      </c>
      <c r="M555" s="1" t="s">
        <v>2643</v>
      </c>
      <c r="N555" s="1" t="s">
        <v>2781</v>
      </c>
      <c r="P555" s="1" t="s">
        <v>2784</v>
      </c>
      <c r="Q555" s="3">
        <v>0</v>
      </c>
      <c r="R555" s="22" t="s">
        <v>2764</v>
      </c>
      <c r="S555" s="22" t="s">
        <v>5098</v>
      </c>
      <c r="T555" s="51">
        <v>30</v>
      </c>
      <c r="U555" s="3" t="s">
        <v>5216</v>
      </c>
      <c r="V555" s="41" t="str">
        <f>HYPERLINK("http://ictvonline.org/taxonomy/p/taxonomy-history?taxnode_id=20180202","ICTVonline=20180202")</f>
        <v>ICTVonline=20180202</v>
      </c>
    </row>
    <row r="556" spans="1:22">
      <c r="A556" s="3">
        <v>555</v>
      </c>
      <c r="J556" s="1" t="s">
        <v>1338</v>
      </c>
      <c r="L556" s="1" t="s">
        <v>1339</v>
      </c>
      <c r="M556" s="1" t="s">
        <v>4232</v>
      </c>
      <c r="N556" s="1" t="s">
        <v>4233</v>
      </c>
      <c r="P556" s="1" t="s">
        <v>2938</v>
      </c>
      <c r="Q556" s="3">
        <v>1</v>
      </c>
      <c r="R556" s="22" t="s">
        <v>2764</v>
      </c>
      <c r="S556" s="22" t="s">
        <v>5099</v>
      </c>
      <c r="T556" s="51">
        <v>31</v>
      </c>
      <c r="U556" s="3" t="s">
        <v>5218</v>
      </c>
      <c r="V556" s="41" t="str">
        <f>HYPERLINK("http://ictvonline.org/taxonomy/p/taxonomy-history?taxnode_id=20180205","ICTVonline=20180205")</f>
        <v>ICTVonline=20180205</v>
      </c>
    </row>
    <row r="557" spans="1:22">
      <c r="A557" s="3">
        <v>556</v>
      </c>
      <c r="J557" s="1" t="s">
        <v>1338</v>
      </c>
      <c r="L557" s="1" t="s">
        <v>1339</v>
      </c>
      <c r="M557" s="1" t="s">
        <v>4232</v>
      </c>
      <c r="N557" s="1" t="s">
        <v>4233</v>
      </c>
      <c r="P557" s="1" t="s">
        <v>4309</v>
      </c>
      <c r="Q557" s="3">
        <v>0</v>
      </c>
      <c r="R557" s="22" t="s">
        <v>2764</v>
      </c>
      <c r="S557" s="22" t="s">
        <v>5097</v>
      </c>
      <c r="T557" s="51">
        <v>31</v>
      </c>
      <c r="U557" s="3" t="s">
        <v>5218</v>
      </c>
      <c r="V557" s="41" t="str">
        <f>HYPERLINK("http://ictvonline.org/taxonomy/p/taxonomy-history?taxnode_id=20180206","ICTVonline=20180206")</f>
        <v>ICTVonline=20180206</v>
      </c>
    </row>
    <row r="558" spans="1:22">
      <c r="A558" s="3">
        <v>557</v>
      </c>
      <c r="J558" s="1" t="s">
        <v>1338</v>
      </c>
      <c r="L558" s="1" t="s">
        <v>1339</v>
      </c>
      <c r="M558" s="1" t="s">
        <v>4232</v>
      </c>
      <c r="N558" s="1" t="s">
        <v>2937</v>
      </c>
      <c r="P558" s="1" t="s">
        <v>2939</v>
      </c>
      <c r="Q558" s="3">
        <v>0</v>
      </c>
      <c r="R558" s="22" t="s">
        <v>2764</v>
      </c>
      <c r="S558" s="22" t="s">
        <v>5099</v>
      </c>
      <c r="T558" s="51">
        <v>31</v>
      </c>
      <c r="U558" s="3" t="s">
        <v>5218</v>
      </c>
      <c r="V558" s="41" t="str">
        <f>HYPERLINK("http://ictvonline.org/taxonomy/p/taxonomy-history?taxnode_id=20180208","ICTVonline=20180208")</f>
        <v>ICTVonline=20180208</v>
      </c>
    </row>
    <row r="559" spans="1:22">
      <c r="A559" s="3">
        <v>558</v>
      </c>
      <c r="J559" s="1" t="s">
        <v>1338</v>
      </c>
      <c r="L559" s="1" t="s">
        <v>1339</v>
      </c>
      <c r="M559" s="1" t="s">
        <v>4232</v>
      </c>
      <c r="N559" s="1" t="s">
        <v>2937</v>
      </c>
      <c r="P559" s="1" t="s">
        <v>2940</v>
      </c>
      <c r="Q559" s="3">
        <v>0</v>
      </c>
      <c r="R559" s="22" t="s">
        <v>2764</v>
      </c>
      <c r="S559" s="22" t="s">
        <v>5099</v>
      </c>
      <c r="T559" s="51">
        <v>31</v>
      </c>
      <c r="U559" s="3" t="s">
        <v>5218</v>
      </c>
      <c r="V559" s="41" t="str">
        <f>HYPERLINK("http://ictvonline.org/taxonomy/p/taxonomy-history?taxnode_id=20180209","ICTVonline=20180209")</f>
        <v>ICTVonline=20180209</v>
      </c>
    </row>
    <row r="560" spans="1:22">
      <c r="A560" s="3">
        <v>559</v>
      </c>
      <c r="J560" s="1" t="s">
        <v>1338</v>
      </c>
      <c r="L560" s="1" t="s">
        <v>1339</v>
      </c>
      <c r="M560" s="1" t="s">
        <v>4232</v>
      </c>
      <c r="N560" s="1" t="s">
        <v>2937</v>
      </c>
      <c r="P560" s="1" t="s">
        <v>4310</v>
      </c>
      <c r="Q560" s="3">
        <v>0</v>
      </c>
      <c r="R560" s="22" t="s">
        <v>2764</v>
      </c>
      <c r="S560" s="22" t="s">
        <v>5097</v>
      </c>
      <c r="T560" s="51">
        <v>31</v>
      </c>
      <c r="U560" s="3" t="s">
        <v>5218</v>
      </c>
      <c r="V560" s="41" t="str">
        <f>HYPERLINK("http://ictvonline.org/taxonomy/p/taxonomy-history?taxnode_id=20180210","ICTVonline=20180210")</f>
        <v>ICTVonline=20180210</v>
      </c>
    </row>
    <row r="561" spans="1:22">
      <c r="A561" s="3">
        <v>560</v>
      </c>
      <c r="J561" s="1" t="s">
        <v>1338</v>
      </c>
      <c r="L561" s="1" t="s">
        <v>1339</v>
      </c>
      <c r="M561" s="1" t="s">
        <v>4232</v>
      </c>
      <c r="N561" s="1" t="s">
        <v>2937</v>
      </c>
      <c r="P561" s="1" t="s">
        <v>2941</v>
      </c>
      <c r="Q561" s="3">
        <v>0</v>
      </c>
      <c r="R561" s="22" t="s">
        <v>2764</v>
      </c>
      <c r="S561" s="22" t="s">
        <v>5099</v>
      </c>
      <c r="T561" s="51">
        <v>31</v>
      </c>
      <c r="U561" s="3" t="s">
        <v>5218</v>
      </c>
      <c r="V561" s="41" t="str">
        <f>HYPERLINK("http://ictvonline.org/taxonomy/p/taxonomy-history?taxnode_id=20180211","ICTVonline=20180211")</f>
        <v>ICTVonline=20180211</v>
      </c>
    </row>
    <row r="562" spans="1:22">
      <c r="A562" s="3">
        <v>561</v>
      </c>
      <c r="J562" s="1" t="s">
        <v>1338</v>
      </c>
      <c r="L562" s="1" t="s">
        <v>1339</v>
      </c>
      <c r="M562" s="1" t="s">
        <v>4232</v>
      </c>
      <c r="N562" s="1" t="s">
        <v>2937</v>
      </c>
      <c r="P562" s="1" t="s">
        <v>4311</v>
      </c>
      <c r="Q562" s="3">
        <v>0</v>
      </c>
      <c r="R562" s="22" t="s">
        <v>2764</v>
      </c>
      <c r="S562" s="22" t="s">
        <v>5097</v>
      </c>
      <c r="T562" s="51">
        <v>31</v>
      </c>
      <c r="U562" s="3" t="s">
        <v>5218</v>
      </c>
      <c r="V562" s="41" t="str">
        <f>HYPERLINK("http://ictvonline.org/taxonomy/p/taxonomy-history?taxnode_id=20180212","ICTVonline=20180212")</f>
        <v>ICTVonline=20180212</v>
      </c>
    </row>
    <row r="563" spans="1:22">
      <c r="A563" s="3">
        <v>562</v>
      </c>
      <c r="J563" s="1" t="s">
        <v>1338</v>
      </c>
      <c r="L563" s="1" t="s">
        <v>1339</v>
      </c>
      <c r="M563" s="1" t="s">
        <v>4232</v>
      </c>
      <c r="N563" s="1" t="s">
        <v>2937</v>
      </c>
      <c r="P563" s="1" t="s">
        <v>2942</v>
      </c>
      <c r="Q563" s="3">
        <v>0</v>
      </c>
      <c r="R563" s="22" t="s">
        <v>2764</v>
      </c>
      <c r="S563" s="22" t="s">
        <v>5099</v>
      </c>
      <c r="T563" s="51">
        <v>31</v>
      </c>
      <c r="U563" s="3" t="s">
        <v>5218</v>
      </c>
      <c r="V563" s="41" t="str">
        <f>HYPERLINK("http://ictvonline.org/taxonomy/p/taxonomy-history?taxnode_id=20180213","ICTVonline=20180213")</f>
        <v>ICTVonline=20180213</v>
      </c>
    </row>
    <row r="564" spans="1:22">
      <c r="A564" s="3">
        <v>563</v>
      </c>
      <c r="J564" s="1" t="s">
        <v>1338</v>
      </c>
      <c r="L564" s="1" t="s">
        <v>1339</v>
      </c>
      <c r="M564" s="1" t="s">
        <v>4232</v>
      </c>
      <c r="N564" s="1" t="s">
        <v>2937</v>
      </c>
      <c r="P564" s="1" t="s">
        <v>2943</v>
      </c>
      <c r="Q564" s="3">
        <v>0</v>
      </c>
      <c r="R564" s="22" t="s">
        <v>2764</v>
      </c>
      <c r="S564" s="22" t="s">
        <v>5099</v>
      </c>
      <c r="T564" s="51">
        <v>31</v>
      </c>
      <c r="U564" s="3" t="s">
        <v>5218</v>
      </c>
      <c r="V564" s="41" t="str">
        <f>HYPERLINK("http://ictvonline.org/taxonomy/p/taxonomy-history?taxnode_id=20180214","ICTVonline=20180214")</f>
        <v>ICTVonline=20180214</v>
      </c>
    </row>
    <row r="565" spans="1:22">
      <c r="A565" s="3">
        <v>564</v>
      </c>
      <c r="J565" s="1" t="s">
        <v>1338</v>
      </c>
      <c r="L565" s="1" t="s">
        <v>1339</v>
      </c>
      <c r="M565" s="1" t="s">
        <v>4232</v>
      </c>
      <c r="N565" s="1" t="s">
        <v>2937</v>
      </c>
      <c r="P565" s="1" t="s">
        <v>2944</v>
      </c>
      <c r="Q565" s="3">
        <v>1</v>
      </c>
      <c r="R565" s="22" t="s">
        <v>2764</v>
      </c>
      <c r="S565" s="22" t="s">
        <v>5099</v>
      </c>
      <c r="T565" s="51">
        <v>31</v>
      </c>
      <c r="U565" s="3" t="s">
        <v>5218</v>
      </c>
      <c r="V565" s="41" t="str">
        <f>HYPERLINK("http://ictvonline.org/taxonomy/p/taxonomy-history?taxnode_id=20180215","ICTVonline=20180215")</f>
        <v>ICTVonline=20180215</v>
      </c>
    </row>
    <row r="566" spans="1:22">
      <c r="A566" s="3">
        <v>565</v>
      </c>
      <c r="J566" s="1" t="s">
        <v>1338</v>
      </c>
      <c r="L566" s="1" t="s">
        <v>1339</v>
      </c>
      <c r="M566" s="1" t="s">
        <v>4232</v>
      </c>
      <c r="N566" s="1" t="s">
        <v>2937</v>
      </c>
      <c r="P566" s="1" t="s">
        <v>2945</v>
      </c>
      <c r="Q566" s="3">
        <v>0</v>
      </c>
      <c r="R566" s="22" t="s">
        <v>2764</v>
      </c>
      <c r="S566" s="22" t="s">
        <v>5099</v>
      </c>
      <c r="T566" s="51">
        <v>31</v>
      </c>
      <c r="U566" s="3" t="s">
        <v>5218</v>
      </c>
      <c r="V566" s="41" t="str">
        <f>HYPERLINK("http://ictvonline.org/taxonomy/p/taxonomy-history?taxnode_id=20180216","ICTVonline=20180216")</f>
        <v>ICTVonline=20180216</v>
      </c>
    </row>
    <row r="567" spans="1:22">
      <c r="A567" s="3">
        <v>566</v>
      </c>
      <c r="J567" s="1" t="s">
        <v>1338</v>
      </c>
      <c r="L567" s="1" t="s">
        <v>1339</v>
      </c>
      <c r="M567" s="1" t="s">
        <v>4232</v>
      </c>
      <c r="N567" s="1" t="s">
        <v>2937</v>
      </c>
      <c r="P567" s="1" t="s">
        <v>2946</v>
      </c>
      <c r="Q567" s="3">
        <v>0</v>
      </c>
      <c r="R567" s="22" t="s">
        <v>2764</v>
      </c>
      <c r="S567" s="22" t="s">
        <v>5099</v>
      </c>
      <c r="T567" s="51">
        <v>31</v>
      </c>
      <c r="U567" s="3" t="s">
        <v>5218</v>
      </c>
      <c r="V567" s="41" t="str">
        <f>HYPERLINK("http://ictvonline.org/taxonomy/p/taxonomy-history?taxnode_id=20180217","ICTVonline=20180217")</f>
        <v>ICTVonline=20180217</v>
      </c>
    </row>
    <row r="568" spans="1:22">
      <c r="A568" s="3">
        <v>567</v>
      </c>
      <c r="J568" s="1" t="s">
        <v>1338</v>
      </c>
      <c r="L568" s="1" t="s">
        <v>1339</v>
      </c>
      <c r="M568" s="1" t="s">
        <v>4232</v>
      </c>
      <c r="N568" s="1" t="s">
        <v>2937</v>
      </c>
      <c r="P568" s="1" t="s">
        <v>2947</v>
      </c>
      <c r="Q568" s="3">
        <v>0</v>
      </c>
      <c r="R568" s="22" t="s">
        <v>2764</v>
      </c>
      <c r="S568" s="22" t="s">
        <v>5099</v>
      </c>
      <c r="T568" s="51">
        <v>31</v>
      </c>
      <c r="U568" s="3" t="s">
        <v>5218</v>
      </c>
      <c r="V568" s="41" t="str">
        <f>HYPERLINK("http://ictvonline.org/taxonomy/p/taxonomy-history?taxnode_id=20180218","ICTVonline=20180218")</f>
        <v>ICTVonline=20180218</v>
      </c>
    </row>
    <row r="569" spans="1:22">
      <c r="A569" s="3">
        <v>568</v>
      </c>
      <c r="J569" s="1" t="s">
        <v>1338</v>
      </c>
      <c r="L569" s="1" t="s">
        <v>1339</v>
      </c>
      <c r="M569" s="1" t="s">
        <v>4232</v>
      </c>
      <c r="N569" s="1" t="s">
        <v>4312</v>
      </c>
      <c r="P569" s="1" t="s">
        <v>4313</v>
      </c>
      <c r="Q569" s="3">
        <v>1</v>
      </c>
      <c r="R569" s="22" t="s">
        <v>2764</v>
      </c>
      <c r="S569" s="22" t="s">
        <v>5097</v>
      </c>
      <c r="T569" s="51">
        <v>31</v>
      </c>
      <c r="U569" s="3" t="s">
        <v>5218</v>
      </c>
      <c r="V569" s="41" t="str">
        <f>HYPERLINK("http://ictvonline.org/taxonomy/p/taxonomy-history?taxnode_id=20180220","ICTVonline=20180220")</f>
        <v>ICTVonline=20180220</v>
      </c>
    </row>
    <row r="570" spans="1:22">
      <c r="A570" s="3">
        <v>569</v>
      </c>
      <c r="J570" s="1" t="s">
        <v>1338</v>
      </c>
      <c r="L570" s="1" t="s">
        <v>1339</v>
      </c>
      <c r="M570" s="1" t="s">
        <v>4232</v>
      </c>
      <c r="N570" s="1" t="s">
        <v>4312</v>
      </c>
      <c r="P570" s="1" t="s">
        <v>4314</v>
      </c>
      <c r="Q570" s="3">
        <v>0</v>
      </c>
      <c r="R570" s="22" t="s">
        <v>2764</v>
      </c>
      <c r="S570" s="22" t="s">
        <v>5097</v>
      </c>
      <c r="T570" s="51">
        <v>31</v>
      </c>
      <c r="U570" s="3" t="s">
        <v>5218</v>
      </c>
      <c r="V570" s="41" t="str">
        <f>HYPERLINK("http://ictvonline.org/taxonomy/p/taxonomy-history?taxnode_id=20180221","ICTVonline=20180221")</f>
        <v>ICTVonline=20180221</v>
      </c>
    </row>
    <row r="571" spans="1:22">
      <c r="A571" s="3">
        <v>570</v>
      </c>
      <c r="J571" s="1" t="s">
        <v>1338</v>
      </c>
      <c r="L571" s="1" t="s">
        <v>1339</v>
      </c>
      <c r="M571" s="1" t="s">
        <v>4232</v>
      </c>
      <c r="N571" s="1" t="s">
        <v>4315</v>
      </c>
      <c r="P571" s="1" t="s">
        <v>4316</v>
      </c>
      <c r="Q571" s="3">
        <v>1</v>
      </c>
      <c r="R571" s="22" t="s">
        <v>2764</v>
      </c>
      <c r="S571" s="22" t="s">
        <v>5097</v>
      </c>
      <c r="T571" s="51">
        <v>31</v>
      </c>
      <c r="U571" s="3" t="s">
        <v>5218</v>
      </c>
      <c r="V571" s="41" t="str">
        <f>HYPERLINK("http://ictvonline.org/taxonomy/p/taxonomy-history?taxnode_id=20180223","ICTVonline=20180223")</f>
        <v>ICTVonline=20180223</v>
      </c>
    </row>
    <row r="572" spans="1:22">
      <c r="A572" s="3">
        <v>571</v>
      </c>
      <c r="J572" s="1" t="s">
        <v>1338</v>
      </c>
      <c r="L572" s="1" t="s">
        <v>1339</v>
      </c>
      <c r="M572" s="1" t="s">
        <v>4232</v>
      </c>
      <c r="N572" s="1" t="s">
        <v>4315</v>
      </c>
      <c r="P572" s="1" t="s">
        <v>4317</v>
      </c>
      <c r="Q572" s="3">
        <v>0</v>
      </c>
      <c r="R572" s="22" t="s">
        <v>2764</v>
      </c>
      <c r="S572" s="22" t="s">
        <v>5097</v>
      </c>
      <c r="T572" s="51">
        <v>31</v>
      </c>
      <c r="U572" s="3" t="s">
        <v>5218</v>
      </c>
      <c r="V572" s="41" t="str">
        <f>HYPERLINK("http://ictvonline.org/taxonomy/p/taxonomy-history?taxnode_id=20180224","ICTVonline=20180224")</f>
        <v>ICTVonline=20180224</v>
      </c>
    </row>
    <row r="573" spans="1:22">
      <c r="A573" s="3">
        <v>572</v>
      </c>
      <c r="J573" s="1" t="s">
        <v>1338</v>
      </c>
      <c r="L573" s="1" t="s">
        <v>1339</v>
      </c>
      <c r="M573" s="1" t="s">
        <v>1347</v>
      </c>
      <c r="N573" s="1" t="s">
        <v>2785</v>
      </c>
      <c r="P573" s="1" t="s">
        <v>2786</v>
      </c>
      <c r="Q573" s="3">
        <v>0</v>
      </c>
      <c r="R573" s="22" t="s">
        <v>2764</v>
      </c>
      <c r="S573" s="22" t="s">
        <v>5098</v>
      </c>
      <c r="T573" s="51">
        <v>30</v>
      </c>
      <c r="U573" s="3" t="s">
        <v>5216</v>
      </c>
      <c r="V573" s="41" t="str">
        <f>HYPERLINK("http://ictvonline.org/taxonomy/p/taxonomy-history?taxnode_id=20180227","ICTVonline=20180227")</f>
        <v>ICTVonline=20180227</v>
      </c>
    </row>
    <row r="574" spans="1:22">
      <c r="A574" s="3">
        <v>573</v>
      </c>
      <c r="J574" s="1" t="s">
        <v>1338</v>
      </c>
      <c r="L574" s="1" t="s">
        <v>1339</v>
      </c>
      <c r="M574" s="1" t="s">
        <v>1347</v>
      </c>
      <c r="N574" s="1" t="s">
        <v>2785</v>
      </c>
      <c r="P574" s="1" t="s">
        <v>2787</v>
      </c>
      <c r="Q574" s="3">
        <v>1</v>
      </c>
      <c r="R574" s="22" t="s">
        <v>2764</v>
      </c>
      <c r="S574" s="22" t="s">
        <v>5098</v>
      </c>
      <c r="T574" s="51">
        <v>30</v>
      </c>
      <c r="U574" s="3" t="s">
        <v>5216</v>
      </c>
      <c r="V574" s="41" t="str">
        <f>HYPERLINK("http://ictvonline.org/taxonomy/p/taxonomy-history?taxnode_id=20180228","ICTVonline=20180228")</f>
        <v>ICTVonline=20180228</v>
      </c>
    </row>
    <row r="575" spans="1:22">
      <c r="A575" s="3">
        <v>574</v>
      </c>
      <c r="J575" s="1" t="s">
        <v>1338</v>
      </c>
      <c r="L575" s="1" t="s">
        <v>1339</v>
      </c>
      <c r="M575" s="1" t="s">
        <v>1347</v>
      </c>
      <c r="N575" s="1" t="s">
        <v>2785</v>
      </c>
      <c r="P575" s="1" t="s">
        <v>2788</v>
      </c>
      <c r="Q575" s="3">
        <v>0</v>
      </c>
      <c r="R575" s="22" t="s">
        <v>2764</v>
      </c>
      <c r="S575" s="22" t="s">
        <v>5098</v>
      </c>
      <c r="T575" s="51">
        <v>30</v>
      </c>
      <c r="U575" s="3" t="s">
        <v>5216</v>
      </c>
      <c r="V575" s="41" t="str">
        <f>HYPERLINK("http://ictvonline.org/taxonomy/p/taxonomy-history?taxnode_id=20180229","ICTVonline=20180229")</f>
        <v>ICTVonline=20180229</v>
      </c>
    </row>
    <row r="576" spans="1:22">
      <c r="A576" s="3">
        <v>575</v>
      </c>
      <c r="J576" s="1" t="s">
        <v>1338</v>
      </c>
      <c r="L576" s="1" t="s">
        <v>1339</v>
      </c>
      <c r="M576" s="1" t="s">
        <v>1347</v>
      </c>
      <c r="N576" s="1" t="s">
        <v>2785</v>
      </c>
      <c r="P576" s="1" t="s">
        <v>2789</v>
      </c>
      <c r="Q576" s="3">
        <v>0</v>
      </c>
      <c r="R576" s="22" t="s">
        <v>2764</v>
      </c>
      <c r="S576" s="22" t="s">
        <v>5098</v>
      </c>
      <c r="T576" s="51">
        <v>30</v>
      </c>
      <c r="U576" s="3" t="s">
        <v>5216</v>
      </c>
      <c r="V576" s="41" t="str">
        <f>HYPERLINK("http://ictvonline.org/taxonomy/p/taxonomy-history?taxnode_id=20180230","ICTVonline=20180230")</f>
        <v>ICTVonline=20180230</v>
      </c>
    </row>
    <row r="577" spans="1:22">
      <c r="A577" s="3">
        <v>576</v>
      </c>
      <c r="J577" s="1" t="s">
        <v>1338</v>
      </c>
      <c r="L577" s="1" t="s">
        <v>1339</v>
      </c>
      <c r="M577" s="1" t="s">
        <v>1347</v>
      </c>
      <c r="N577" s="1" t="s">
        <v>2785</v>
      </c>
      <c r="P577" s="1" t="s">
        <v>2790</v>
      </c>
      <c r="Q577" s="3">
        <v>0</v>
      </c>
      <c r="R577" s="22" t="s">
        <v>2764</v>
      </c>
      <c r="S577" s="22" t="s">
        <v>5098</v>
      </c>
      <c r="T577" s="51">
        <v>30</v>
      </c>
      <c r="U577" s="3" t="s">
        <v>5216</v>
      </c>
      <c r="V577" s="41" t="str">
        <f>HYPERLINK("http://ictvonline.org/taxonomy/p/taxonomy-history?taxnode_id=20180231","ICTVonline=20180231")</f>
        <v>ICTVonline=20180231</v>
      </c>
    </row>
    <row r="578" spans="1:22">
      <c r="A578" s="3">
        <v>577</v>
      </c>
      <c r="J578" s="1" t="s">
        <v>1338</v>
      </c>
      <c r="L578" s="1" t="s">
        <v>1339</v>
      </c>
      <c r="M578" s="1" t="s">
        <v>1347</v>
      </c>
      <c r="N578" s="1" t="s">
        <v>2785</v>
      </c>
      <c r="P578" s="1" t="s">
        <v>2791</v>
      </c>
      <c r="Q578" s="3">
        <v>0</v>
      </c>
      <c r="R578" s="22" t="s">
        <v>2764</v>
      </c>
      <c r="S578" s="22" t="s">
        <v>5098</v>
      </c>
      <c r="T578" s="51">
        <v>30</v>
      </c>
      <c r="U578" s="3" t="s">
        <v>5216</v>
      </c>
      <c r="V578" s="41" t="str">
        <f>HYPERLINK("http://ictvonline.org/taxonomy/p/taxonomy-history?taxnode_id=20180232","ICTVonline=20180232")</f>
        <v>ICTVonline=20180232</v>
      </c>
    </row>
    <row r="579" spans="1:22">
      <c r="A579" s="3">
        <v>578</v>
      </c>
      <c r="J579" s="1" t="s">
        <v>1338</v>
      </c>
      <c r="L579" s="1" t="s">
        <v>1339</v>
      </c>
      <c r="M579" s="1" t="s">
        <v>1347</v>
      </c>
      <c r="N579" s="1" t="s">
        <v>2792</v>
      </c>
      <c r="P579" s="1" t="s">
        <v>2793</v>
      </c>
      <c r="Q579" s="3">
        <v>0</v>
      </c>
      <c r="R579" s="22" t="s">
        <v>2764</v>
      </c>
      <c r="S579" s="22" t="s">
        <v>5098</v>
      </c>
      <c r="T579" s="51">
        <v>30</v>
      </c>
      <c r="U579" s="3" t="s">
        <v>5216</v>
      </c>
      <c r="V579" s="41" t="str">
        <f>HYPERLINK("http://ictvonline.org/taxonomy/p/taxonomy-history?taxnode_id=20180234","ICTVonline=20180234")</f>
        <v>ICTVonline=20180234</v>
      </c>
    </row>
    <row r="580" spans="1:22">
      <c r="A580" s="3">
        <v>579</v>
      </c>
      <c r="J580" s="1" t="s">
        <v>1338</v>
      </c>
      <c r="L580" s="1" t="s">
        <v>1339</v>
      </c>
      <c r="M580" s="1" t="s">
        <v>1347</v>
      </c>
      <c r="N580" s="1" t="s">
        <v>2792</v>
      </c>
      <c r="P580" s="1" t="s">
        <v>2794</v>
      </c>
      <c r="Q580" s="3">
        <v>0</v>
      </c>
      <c r="R580" s="22" t="s">
        <v>2764</v>
      </c>
      <c r="S580" s="22" t="s">
        <v>5098</v>
      </c>
      <c r="T580" s="51">
        <v>30</v>
      </c>
      <c r="U580" s="3" t="s">
        <v>5216</v>
      </c>
      <c r="V580" s="41" t="str">
        <f>HYPERLINK("http://ictvonline.org/taxonomy/p/taxonomy-history?taxnode_id=20180235","ICTVonline=20180235")</f>
        <v>ICTVonline=20180235</v>
      </c>
    </row>
    <row r="581" spans="1:22">
      <c r="A581" s="3">
        <v>580</v>
      </c>
      <c r="J581" s="1" t="s">
        <v>1338</v>
      </c>
      <c r="L581" s="1" t="s">
        <v>1339</v>
      </c>
      <c r="M581" s="1" t="s">
        <v>1347</v>
      </c>
      <c r="N581" s="1" t="s">
        <v>2792</v>
      </c>
      <c r="P581" s="1" t="s">
        <v>2795</v>
      </c>
      <c r="Q581" s="3">
        <v>0</v>
      </c>
      <c r="R581" s="22" t="s">
        <v>2764</v>
      </c>
      <c r="S581" s="22" t="s">
        <v>5098</v>
      </c>
      <c r="T581" s="51">
        <v>30</v>
      </c>
      <c r="U581" s="3" t="s">
        <v>5216</v>
      </c>
      <c r="V581" s="41" t="str">
        <f>HYPERLINK("http://ictvonline.org/taxonomy/p/taxonomy-history?taxnode_id=20180236","ICTVonline=20180236")</f>
        <v>ICTVonline=20180236</v>
      </c>
    </row>
    <row r="582" spans="1:22">
      <c r="A582" s="3">
        <v>581</v>
      </c>
      <c r="J582" s="1" t="s">
        <v>1338</v>
      </c>
      <c r="L582" s="1" t="s">
        <v>1339</v>
      </c>
      <c r="M582" s="1" t="s">
        <v>1347</v>
      </c>
      <c r="N582" s="1" t="s">
        <v>2792</v>
      </c>
      <c r="P582" s="1" t="s">
        <v>2796</v>
      </c>
      <c r="Q582" s="3">
        <v>0</v>
      </c>
      <c r="R582" s="22" t="s">
        <v>2764</v>
      </c>
      <c r="S582" s="22" t="s">
        <v>5098</v>
      </c>
      <c r="T582" s="51">
        <v>30</v>
      </c>
      <c r="U582" s="3" t="s">
        <v>5216</v>
      </c>
      <c r="V582" s="41" t="str">
        <f>HYPERLINK("http://ictvonline.org/taxonomy/p/taxonomy-history?taxnode_id=20180237","ICTVonline=20180237")</f>
        <v>ICTVonline=20180237</v>
      </c>
    </row>
    <row r="583" spans="1:22">
      <c r="A583" s="3">
        <v>582</v>
      </c>
      <c r="J583" s="1" t="s">
        <v>1338</v>
      </c>
      <c r="L583" s="1" t="s">
        <v>1339</v>
      </c>
      <c r="M583" s="1" t="s">
        <v>1347</v>
      </c>
      <c r="N583" s="1" t="s">
        <v>2792</v>
      </c>
      <c r="P583" s="1" t="s">
        <v>2797</v>
      </c>
      <c r="Q583" s="3">
        <v>1</v>
      </c>
      <c r="R583" s="22" t="s">
        <v>2764</v>
      </c>
      <c r="S583" s="22" t="s">
        <v>5098</v>
      </c>
      <c r="T583" s="51">
        <v>30</v>
      </c>
      <c r="U583" s="3" t="s">
        <v>5216</v>
      </c>
      <c r="V583" s="41" t="str">
        <f>HYPERLINK("http://ictvonline.org/taxonomy/p/taxonomy-history?taxnode_id=20180238","ICTVonline=20180238")</f>
        <v>ICTVonline=20180238</v>
      </c>
    </row>
    <row r="584" spans="1:22">
      <c r="A584" s="3">
        <v>583</v>
      </c>
      <c r="J584" s="1" t="s">
        <v>1338</v>
      </c>
      <c r="L584" s="1" t="s">
        <v>1339</v>
      </c>
      <c r="M584" s="1" t="s">
        <v>1347</v>
      </c>
      <c r="N584" s="1" t="s">
        <v>2792</v>
      </c>
      <c r="P584" s="1" t="s">
        <v>2798</v>
      </c>
      <c r="Q584" s="3">
        <v>0</v>
      </c>
      <c r="R584" s="22" t="s">
        <v>2764</v>
      </c>
      <c r="S584" s="22" t="s">
        <v>5098</v>
      </c>
      <c r="T584" s="51">
        <v>30</v>
      </c>
      <c r="U584" s="3" t="s">
        <v>5216</v>
      </c>
      <c r="V584" s="41" t="str">
        <f>HYPERLINK("http://ictvonline.org/taxonomy/p/taxonomy-history?taxnode_id=20180239","ICTVonline=20180239")</f>
        <v>ICTVonline=20180239</v>
      </c>
    </row>
    <row r="585" spans="1:22">
      <c r="A585" s="3">
        <v>584</v>
      </c>
      <c r="J585" s="1" t="s">
        <v>1338</v>
      </c>
      <c r="L585" s="1" t="s">
        <v>1339</v>
      </c>
      <c r="M585" s="1" t="s">
        <v>1347</v>
      </c>
      <c r="N585" s="1" t="s">
        <v>2792</v>
      </c>
      <c r="P585" s="1" t="s">
        <v>5110</v>
      </c>
      <c r="Q585" s="3">
        <v>0</v>
      </c>
      <c r="R585" s="22" t="s">
        <v>2764</v>
      </c>
      <c r="S585" s="22" t="s">
        <v>5100</v>
      </c>
      <c r="T585" s="51">
        <v>31</v>
      </c>
      <c r="U585" s="3" t="s">
        <v>5219</v>
      </c>
      <c r="V585" s="41" t="str">
        <f>HYPERLINK("http://ictvonline.org/taxonomy/p/taxonomy-history?taxnode_id=20180240","ICTVonline=20180240")</f>
        <v>ICTVonline=20180240</v>
      </c>
    </row>
    <row r="586" spans="1:22">
      <c r="A586" s="3">
        <v>585</v>
      </c>
      <c r="J586" s="1" t="s">
        <v>1338</v>
      </c>
      <c r="L586" s="1" t="s">
        <v>1339</v>
      </c>
      <c r="M586" s="1" t="s">
        <v>1347</v>
      </c>
      <c r="N586" s="1" t="s">
        <v>2792</v>
      </c>
      <c r="P586" s="1" t="s">
        <v>2799</v>
      </c>
      <c r="Q586" s="3">
        <v>0</v>
      </c>
      <c r="R586" s="22" t="s">
        <v>2764</v>
      </c>
      <c r="S586" s="22" t="s">
        <v>5098</v>
      </c>
      <c r="T586" s="51">
        <v>30</v>
      </c>
      <c r="U586" s="3" t="s">
        <v>5216</v>
      </c>
      <c r="V586" s="41" t="str">
        <f>HYPERLINK("http://ictvonline.org/taxonomy/p/taxonomy-history?taxnode_id=20180241","ICTVonline=20180241")</f>
        <v>ICTVonline=20180241</v>
      </c>
    </row>
    <row r="587" spans="1:22">
      <c r="A587" s="3">
        <v>586</v>
      </c>
      <c r="J587" s="1" t="s">
        <v>1338</v>
      </c>
      <c r="L587" s="1" t="s">
        <v>1339</v>
      </c>
      <c r="M587" s="1" t="s">
        <v>1347</v>
      </c>
      <c r="N587" s="1" t="s">
        <v>2792</v>
      </c>
      <c r="P587" s="1" t="s">
        <v>2800</v>
      </c>
      <c r="Q587" s="3">
        <v>0</v>
      </c>
      <c r="R587" s="22" t="s">
        <v>2764</v>
      </c>
      <c r="S587" s="22" t="s">
        <v>5098</v>
      </c>
      <c r="T587" s="51">
        <v>30</v>
      </c>
      <c r="U587" s="3" t="s">
        <v>5216</v>
      </c>
      <c r="V587" s="41" t="str">
        <f>HYPERLINK("http://ictvonline.org/taxonomy/p/taxonomy-history?taxnode_id=20180242","ICTVonline=20180242")</f>
        <v>ICTVonline=20180242</v>
      </c>
    </row>
    <row r="588" spans="1:22">
      <c r="A588" s="3">
        <v>587</v>
      </c>
      <c r="J588" s="1" t="s">
        <v>1338</v>
      </c>
      <c r="L588" s="1" t="s">
        <v>1339</v>
      </c>
      <c r="M588" s="1" t="s">
        <v>1347</v>
      </c>
      <c r="N588" s="1" t="s">
        <v>2792</v>
      </c>
      <c r="P588" s="1" t="s">
        <v>2801</v>
      </c>
      <c r="Q588" s="3">
        <v>0</v>
      </c>
      <c r="R588" s="22" t="s">
        <v>2764</v>
      </c>
      <c r="S588" s="22" t="s">
        <v>5098</v>
      </c>
      <c r="T588" s="51">
        <v>30</v>
      </c>
      <c r="U588" s="3" t="s">
        <v>5216</v>
      </c>
      <c r="V588" s="41" t="str">
        <f>HYPERLINK("http://ictvonline.org/taxonomy/p/taxonomy-history?taxnode_id=20180243","ICTVonline=20180243")</f>
        <v>ICTVonline=20180243</v>
      </c>
    </row>
    <row r="589" spans="1:22">
      <c r="A589" s="3">
        <v>588</v>
      </c>
      <c r="J589" s="1" t="s">
        <v>1338</v>
      </c>
      <c r="L589" s="1" t="s">
        <v>1339</v>
      </c>
      <c r="M589" s="1" t="s">
        <v>1347</v>
      </c>
      <c r="N589" s="1" t="s">
        <v>2792</v>
      </c>
      <c r="P589" s="1" t="s">
        <v>2802</v>
      </c>
      <c r="Q589" s="3">
        <v>0</v>
      </c>
      <c r="R589" s="22" t="s">
        <v>2764</v>
      </c>
      <c r="S589" s="22" t="s">
        <v>5098</v>
      </c>
      <c r="T589" s="51">
        <v>30</v>
      </c>
      <c r="U589" s="3" t="s">
        <v>5216</v>
      </c>
      <c r="V589" s="41" t="str">
        <f>HYPERLINK("http://ictvonline.org/taxonomy/p/taxonomy-history?taxnode_id=20180244","ICTVonline=20180244")</f>
        <v>ICTVonline=20180244</v>
      </c>
    </row>
    <row r="590" spans="1:22">
      <c r="A590" s="3">
        <v>589</v>
      </c>
      <c r="J590" s="1" t="s">
        <v>1338</v>
      </c>
      <c r="L590" s="1" t="s">
        <v>1339</v>
      </c>
      <c r="M590" s="1" t="s">
        <v>1347</v>
      </c>
      <c r="N590" s="1" t="s">
        <v>2792</v>
      </c>
      <c r="P590" s="1" t="s">
        <v>2803</v>
      </c>
      <c r="Q590" s="3">
        <v>0</v>
      </c>
      <c r="R590" s="22" t="s">
        <v>2764</v>
      </c>
      <c r="S590" s="22" t="s">
        <v>5098</v>
      </c>
      <c r="T590" s="51">
        <v>30</v>
      </c>
      <c r="U590" s="3" t="s">
        <v>5216</v>
      </c>
      <c r="V590" s="41" t="str">
        <f>HYPERLINK("http://ictvonline.org/taxonomy/p/taxonomy-history?taxnode_id=20180245","ICTVonline=20180245")</f>
        <v>ICTVonline=20180245</v>
      </c>
    </row>
    <row r="591" spans="1:22">
      <c r="A591" s="3">
        <v>590</v>
      </c>
      <c r="J591" s="1" t="s">
        <v>1338</v>
      </c>
      <c r="L591" s="1" t="s">
        <v>1339</v>
      </c>
      <c r="M591" s="1" t="s">
        <v>1347</v>
      </c>
      <c r="N591" s="1" t="s">
        <v>2792</v>
      </c>
      <c r="P591" s="1" t="s">
        <v>2804</v>
      </c>
      <c r="Q591" s="3">
        <v>0</v>
      </c>
      <c r="R591" s="22" t="s">
        <v>2764</v>
      </c>
      <c r="S591" s="22" t="s">
        <v>5098</v>
      </c>
      <c r="T591" s="51">
        <v>30</v>
      </c>
      <c r="U591" s="3" t="s">
        <v>5216</v>
      </c>
      <c r="V591" s="41" t="str">
        <f>HYPERLINK("http://ictvonline.org/taxonomy/p/taxonomy-history?taxnode_id=20180246","ICTVonline=20180246")</f>
        <v>ICTVonline=20180246</v>
      </c>
    </row>
    <row r="592" spans="1:22">
      <c r="A592" s="3">
        <v>591</v>
      </c>
      <c r="J592" s="1" t="s">
        <v>1338</v>
      </c>
      <c r="L592" s="1" t="s">
        <v>1339</v>
      </c>
      <c r="M592" s="1" t="s">
        <v>1348</v>
      </c>
      <c r="N592" s="1" t="s">
        <v>2805</v>
      </c>
      <c r="P592" s="1" t="s">
        <v>2806</v>
      </c>
      <c r="Q592" s="3">
        <v>0</v>
      </c>
      <c r="R592" s="22" t="s">
        <v>2764</v>
      </c>
      <c r="S592" s="22" t="s">
        <v>5098</v>
      </c>
      <c r="T592" s="51">
        <v>30</v>
      </c>
      <c r="U592" s="3" t="s">
        <v>5220</v>
      </c>
      <c r="V592" s="41" t="str">
        <f>HYPERLINK("http://ictvonline.org/taxonomy/p/taxonomy-history?taxnode_id=20180249","ICTVonline=20180249")</f>
        <v>ICTVonline=20180249</v>
      </c>
    </row>
    <row r="593" spans="1:22">
      <c r="A593" s="3">
        <v>592</v>
      </c>
      <c r="J593" s="1" t="s">
        <v>1338</v>
      </c>
      <c r="L593" s="1" t="s">
        <v>1339</v>
      </c>
      <c r="M593" s="1" t="s">
        <v>1348</v>
      </c>
      <c r="N593" s="1" t="s">
        <v>2805</v>
      </c>
      <c r="P593" s="1" t="s">
        <v>2807</v>
      </c>
      <c r="Q593" s="3">
        <v>0</v>
      </c>
      <c r="R593" s="22" t="s">
        <v>2764</v>
      </c>
      <c r="S593" s="22" t="s">
        <v>5097</v>
      </c>
      <c r="T593" s="51">
        <v>30</v>
      </c>
      <c r="U593" s="3" t="s">
        <v>5220</v>
      </c>
      <c r="V593" s="41" t="str">
        <f>HYPERLINK("http://ictvonline.org/taxonomy/p/taxonomy-history?taxnode_id=20180250","ICTVonline=20180250")</f>
        <v>ICTVonline=20180250</v>
      </c>
    </row>
    <row r="594" spans="1:22">
      <c r="A594" s="3">
        <v>593</v>
      </c>
      <c r="J594" s="1" t="s">
        <v>1338</v>
      </c>
      <c r="L594" s="1" t="s">
        <v>1339</v>
      </c>
      <c r="M594" s="1" t="s">
        <v>1348</v>
      </c>
      <c r="N594" s="1" t="s">
        <v>2805</v>
      </c>
      <c r="P594" s="1" t="s">
        <v>2808</v>
      </c>
      <c r="Q594" s="3">
        <v>0</v>
      </c>
      <c r="R594" s="22" t="s">
        <v>2764</v>
      </c>
      <c r="S594" s="22" t="s">
        <v>5097</v>
      </c>
      <c r="T594" s="51">
        <v>30</v>
      </c>
      <c r="U594" s="3" t="s">
        <v>5220</v>
      </c>
      <c r="V594" s="41" t="str">
        <f>HYPERLINK("http://ictvonline.org/taxonomy/p/taxonomy-history?taxnode_id=20180251","ICTVonline=20180251")</f>
        <v>ICTVonline=20180251</v>
      </c>
    </row>
    <row r="595" spans="1:22">
      <c r="A595" s="3">
        <v>594</v>
      </c>
      <c r="J595" s="1" t="s">
        <v>1338</v>
      </c>
      <c r="L595" s="1" t="s">
        <v>1339</v>
      </c>
      <c r="M595" s="1" t="s">
        <v>1348</v>
      </c>
      <c r="N595" s="1" t="s">
        <v>2805</v>
      </c>
      <c r="P595" s="1" t="s">
        <v>2809</v>
      </c>
      <c r="Q595" s="3">
        <v>1</v>
      </c>
      <c r="R595" s="22" t="s">
        <v>2764</v>
      </c>
      <c r="S595" s="22" t="s">
        <v>5098</v>
      </c>
      <c r="T595" s="51">
        <v>30</v>
      </c>
      <c r="U595" s="3" t="s">
        <v>5220</v>
      </c>
      <c r="V595" s="41" t="str">
        <f>HYPERLINK("http://ictvonline.org/taxonomy/p/taxonomy-history?taxnode_id=20180252","ICTVonline=20180252")</f>
        <v>ICTVonline=20180252</v>
      </c>
    </row>
    <row r="596" spans="1:22">
      <c r="A596" s="3">
        <v>595</v>
      </c>
      <c r="J596" s="1" t="s">
        <v>1338</v>
      </c>
      <c r="L596" s="1" t="s">
        <v>1339</v>
      </c>
      <c r="M596" s="1" t="s">
        <v>1348</v>
      </c>
      <c r="N596" s="1" t="s">
        <v>2805</v>
      </c>
      <c r="P596" s="1" t="s">
        <v>2810</v>
      </c>
      <c r="Q596" s="3">
        <v>0</v>
      </c>
      <c r="R596" s="22" t="s">
        <v>2764</v>
      </c>
      <c r="S596" s="22" t="s">
        <v>5097</v>
      </c>
      <c r="T596" s="51">
        <v>30</v>
      </c>
      <c r="U596" s="3" t="s">
        <v>5220</v>
      </c>
      <c r="V596" s="41" t="str">
        <f>HYPERLINK("http://ictvonline.org/taxonomy/p/taxonomy-history?taxnode_id=20180253","ICTVonline=20180253")</f>
        <v>ICTVonline=20180253</v>
      </c>
    </row>
    <row r="597" spans="1:22">
      <c r="A597" s="3">
        <v>596</v>
      </c>
      <c r="J597" s="1" t="s">
        <v>1338</v>
      </c>
      <c r="L597" s="1" t="s">
        <v>1339</v>
      </c>
      <c r="M597" s="1" t="s">
        <v>1348</v>
      </c>
      <c r="N597" s="1" t="s">
        <v>2805</v>
      </c>
      <c r="P597" s="1" t="s">
        <v>2811</v>
      </c>
      <c r="Q597" s="3">
        <v>0</v>
      </c>
      <c r="R597" s="22" t="s">
        <v>2764</v>
      </c>
      <c r="S597" s="22" t="s">
        <v>5097</v>
      </c>
      <c r="T597" s="51">
        <v>30</v>
      </c>
      <c r="U597" s="3" t="s">
        <v>5220</v>
      </c>
      <c r="V597" s="41" t="str">
        <f>HYPERLINK("http://ictvonline.org/taxonomy/p/taxonomy-history?taxnode_id=20180254","ICTVonline=20180254")</f>
        <v>ICTVonline=20180254</v>
      </c>
    </row>
    <row r="598" spans="1:22">
      <c r="A598" s="3">
        <v>597</v>
      </c>
      <c r="J598" s="1" t="s">
        <v>1338</v>
      </c>
      <c r="L598" s="1" t="s">
        <v>1339</v>
      </c>
      <c r="M598" s="1" t="s">
        <v>1348</v>
      </c>
      <c r="N598" s="1" t="s">
        <v>2805</v>
      </c>
      <c r="P598" s="1" t="s">
        <v>4318</v>
      </c>
      <c r="Q598" s="3">
        <v>0</v>
      </c>
      <c r="R598" s="22" t="s">
        <v>2764</v>
      </c>
      <c r="S598" s="22" t="s">
        <v>5097</v>
      </c>
      <c r="T598" s="51">
        <v>31</v>
      </c>
      <c r="U598" s="3" t="s">
        <v>5217</v>
      </c>
      <c r="V598" s="41" t="str">
        <f>HYPERLINK("http://ictvonline.org/taxonomy/p/taxonomy-history?taxnode_id=20180255","ICTVonline=20180255")</f>
        <v>ICTVonline=20180255</v>
      </c>
    </row>
    <row r="599" spans="1:22">
      <c r="A599" s="3">
        <v>598</v>
      </c>
      <c r="J599" s="1" t="s">
        <v>1338</v>
      </c>
      <c r="L599" s="1" t="s">
        <v>1339</v>
      </c>
      <c r="M599" s="1" t="s">
        <v>1348</v>
      </c>
      <c r="N599" s="1" t="s">
        <v>2805</v>
      </c>
      <c r="P599" s="1" t="s">
        <v>2812</v>
      </c>
      <c r="Q599" s="3">
        <v>0</v>
      </c>
      <c r="R599" s="22" t="s">
        <v>2764</v>
      </c>
      <c r="S599" s="22" t="s">
        <v>5097</v>
      </c>
      <c r="T599" s="51">
        <v>30</v>
      </c>
      <c r="U599" s="3" t="s">
        <v>5220</v>
      </c>
      <c r="V599" s="41" t="str">
        <f>HYPERLINK("http://ictvonline.org/taxonomy/p/taxonomy-history?taxnode_id=20180256","ICTVonline=20180256")</f>
        <v>ICTVonline=20180256</v>
      </c>
    </row>
    <row r="600" spans="1:22">
      <c r="A600" s="3">
        <v>599</v>
      </c>
      <c r="J600" s="1" t="s">
        <v>1338</v>
      </c>
      <c r="L600" s="1" t="s">
        <v>1339</v>
      </c>
      <c r="M600" s="1" t="s">
        <v>1348</v>
      </c>
      <c r="N600" s="1" t="s">
        <v>2805</v>
      </c>
      <c r="P600" s="1" t="s">
        <v>4319</v>
      </c>
      <c r="Q600" s="3">
        <v>0</v>
      </c>
      <c r="R600" s="22" t="s">
        <v>2764</v>
      </c>
      <c r="S600" s="22" t="s">
        <v>5097</v>
      </c>
      <c r="T600" s="51">
        <v>31</v>
      </c>
      <c r="U600" s="3" t="s">
        <v>5217</v>
      </c>
      <c r="V600" s="41" t="str">
        <f>HYPERLINK("http://ictvonline.org/taxonomy/p/taxonomy-history?taxnode_id=20180257","ICTVonline=20180257")</f>
        <v>ICTVonline=20180257</v>
      </c>
    </row>
    <row r="601" spans="1:22">
      <c r="A601" s="3">
        <v>600</v>
      </c>
      <c r="J601" s="1" t="s">
        <v>1338</v>
      </c>
      <c r="L601" s="1" t="s">
        <v>1339</v>
      </c>
      <c r="M601" s="1" t="s">
        <v>1348</v>
      </c>
      <c r="N601" s="1" t="s">
        <v>2805</v>
      </c>
      <c r="P601" s="1" t="s">
        <v>2813</v>
      </c>
      <c r="Q601" s="3">
        <v>0</v>
      </c>
      <c r="R601" s="22" t="s">
        <v>2764</v>
      </c>
      <c r="S601" s="22" t="s">
        <v>5097</v>
      </c>
      <c r="T601" s="51">
        <v>30</v>
      </c>
      <c r="U601" s="3" t="s">
        <v>5220</v>
      </c>
      <c r="V601" s="41" t="str">
        <f>HYPERLINK("http://ictvonline.org/taxonomy/p/taxonomy-history?taxnode_id=20180258","ICTVonline=20180258")</f>
        <v>ICTVonline=20180258</v>
      </c>
    </row>
    <row r="602" spans="1:22">
      <c r="A602" s="3">
        <v>601</v>
      </c>
      <c r="J602" s="1" t="s">
        <v>1338</v>
      </c>
      <c r="L602" s="1" t="s">
        <v>1339</v>
      </c>
      <c r="M602" s="1" t="s">
        <v>1348</v>
      </c>
      <c r="N602" s="1" t="s">
        <v>2814</v>
      </c>
      <c r="P602" s="1" t="s">
        <v>2815</v>
      </c>
      <c r="Q602" s="3">
        <v>0</v>
      </c>
      <c r="R602" s="22" t="s">
        <v>2764</v>
      </c>
      <c r="S602" s="22" t="s">
        <v>5098</v>
      </c>
      <c r="T602" s="51">
        <v>30</v>
      </c>
      <c r="U602" s="3" t="s">
        <v>5221</v>
      </c>
      <c r="V602" s="41" t="str">
        <f>HYPERLINK("http://ictvonline.org/taxonomy/p/taxonomy-history?taxnode_id=20180260","ICTVonline=20180260")</f>
        <v>ICTVonline=20180260</v>
      </c>
    </row>
    <row r="603" spans="1:22">
      <c r="A603" s="3">
        <v>602</v>
      </c>
      <c r="J603" s="1" t="s">
        <v>1338</v>
      </c>
      <c r="L603" s="1" t="s">
        <v>1339</v>
      </c>
      <c r="M603" s="1" t="s">
        <v>1348</v>
      </c>
      <c r="N603" s="1" t="s">
        <v>2814</v>
      </c>
      <c r="P603" s="1" t="s">
        <v>2816</v>
      </c>
      <c r="Q603" s="3">
        <v>1</v>
      </c>
      <c r="R603" s="22" t="s">
        <v>2764</v>
      </c>
      <c r="S603" s="22" t="s">
        <v>5098</v>
      </c>
      <c r="T603" s="51">
        <v>30</v>
      </c>
      <c r="U603" s="3" t="s">
        <v>5221</v>
      </c>
      <c r="V603" s="41" t="str">
        <f>HYPERLINK("http://ictvonline.org/taxonomy/p/taxonomy-history?taxnode_id=20180261","ICTVonline=20180261")</f>
        <v>ICTVonline=20180261</v>
      </c>
    </row>
    <row r="604" spans="1:22">
      <c r="A604" s="3">
        <v>603</v>
      </c>
      <c r="J604" s="1" t="s">
        <v>1338</v>
      </c>
      <c r="L604" s="1" t="s">
        <v>1339</v>
      </c>
      <c r="M604" s="1" t="s">
        <v>1348</v>
      </c>
      <c r="N604" s="1" t="s">
        <v>2817</v>
      </c>
      <c r="P604" s="1" t="s">
        <v>2818</v>
      </c>
      <c r="Q604" s="3">
        <v>1</v>
      </c>
      <c r="R604" s="22" t="s">
        <v>2764</v>
      </c>
      <c r="S604" s="22" t="s">
        <v>5097</v>
      </c>
      <c r="T604" s="51">
        <v>30</v>
      </c>
      <c r="U604" s="3" t="s">
        <v>5222</v>
      </c>
      <c r="V604" s="41" t="str">
        <f>HYPERLINK("http://ictvonline.org/taxonomy/p/taxonomy-history?taxnode_id=20180263","ICTVonline=20180263")</f>
        <v>ICTVonline=20180263</v>
      </c>
    </row>
    <row r="605" spans="1:22">
      <c r="A605" s="3">
        <v>604</v>
      </c>
      <c r="J605" s="1" t="s">
        <v>1338</v>
      </c>
      <c r="L605" s="1" t="s">
        <v>1339</v>
      </c>
      <c r="M605" s="1" t="s">
        <v>1348</v>
      </c>
      <c r="N605" s="1" t="s">
        <v>2817</v>
      </c>
      <c r="P605" s="1" t="s">
        <v>2819</v>
      </c>
      <c r="Q605" s="3">
        <v>0</v>
      </c>
      <c r="R605" s="22" t="s">
        <v>2764</v>
      </c>
      <c r="S605" s="22" t="s">
        <v>5097</v>
      </c>
      <c r="T605" s="51">
        <v>30</v>
      </c>
      <c r="U605" s="3" t="s">
        <v>5222</v>
      </c>
      <c r="V605" s="41" t="str">
        <f>HYPERLINK("http://ictvonline.org/taxonomy/p/taxonomy-history?taxnode_id=20180264","ICTVonline=20180264")</f>
        <v>ICTVonline=20180264</v>
      </c>
    </row>
    <row r="606" spans="1:22">
      <c r="A606" s="3">
        <v>605</v>
      </c>
      <c r="J606" s="1" t="s">
        <v>1338</v>
      </c>
      <c r="L606" s="1" t="s">
        <v>1339</v>
      </c>
      <c r="M606" s="1" t="s">
        <v>1348</v>
      </c>
      <c r="N606" s="1" t="s">
        <v>2817</v>
      </c>
      <c r="P606" s="1" t="s">
        <v>4320</v>
      </c>
      <c r="Q606" s="3">
        <v>0</v>
      </c>
      <c r="R606" s="22" t="s">
        <v>2764</v>
      </c>
      <c r="S606" s="22" t="s">
        <v>5097</v>
      </c>
      <c r="T606" s="51">
        <v>31</v>
      </c>
      <c r="U606" s="3" t="s">
        <v>5217</v>
      </c>
      <c r="V606" s="41" t="str">
        <f>HYPERLINK("http://ictvonline.org/taxonomy/p/taxonomy-history?taxnode_id=20180265","ICTVonline=20180265")</f>
        <v>ICTVonline=20180265</v>
      </c>
    </row>
    <row r="607" spans="1:22">
      <c r="A607" s="3">
        <v>606</v>
      </c>
      <c r="J607" s="1" t="s">
        <v>1338</v>
      </c>
      <c r="L607" s="1" t="s">
        <v>1339</v>
      </c>
      <c r="M607" s="1" t="s">
        <v>1348</v>
      </c>
      <c r="N607" s="1" t="s">
        <v>2820</v>
      </c>
      <c r="P607" s="1" t="s">
        <v>4321</v>
      </c>
      <c r="Q607" s="3">
        <v>0</v>
      </c>
      <c r="R607" s="22" t="s">
        <v>2764</v>
      </c>
      <c r="S607" s="22" t="s">
        <v>5097</v>
      </c>
      <c r="T607" s="51">
        <v>31</v>
      </c>
      <c r="U607" s="3" t="s">
        <v>5217</v>
      </c>
      <c r="V607" s="41" t="str">
        <f>HYPERLINK("http://ictvonline.org/taxonomy/p/taxonomy-history?taxnode_id=20180267","ICTVonline=20180267")</f>
        <v>ICTVonline=20180267</v>
      </c>
    </row>
    <row r="608" spans="1:22">
      <c r="A608" s="3">
        <v>607</v>
      </c>
      <c r="J608" s="1" t="s">
        <v>1338</v>
      </c>
      <c r="L608" s="1" t="s">
        <v>1339</v>
      </c>
      <c r="M608" s="1" t="s">
        <v>1348</v>
      </c>
      <c r="N608" s="1" t="s">
        <v>2820</v>
      </c>
      <c r="P608" s="1" t="s">
        <v>2821</v>
      </c>
      <c r="Q608" s="3">
        <v>1</v>
      </c>
      <c r="R608" s="22" t="s">
        <v>2764</v>
      </c>
      <c r="S608" s="22" t="s">
        <v>5098</v>
      </c>
      <c r="T608" s="51">
        <v>30</v>
      </c>
      <c r="U608" s="3" t="s">
        <v>5216</v>
      </c>
      <c r="V608" s="41" t="str">
        <f>HYPERLINK("http://ictvonline.org/taxonomy/p/taxonomy-history?taxnode_id=20180268","ICTVonline=20180268")</f>
        <v>ICTVonline=20180268</v>
      </c>
    </row>
    <row r="609" spans="1:22">
      <c r="A609" s="3">
        <v>608</v>
      </c>
      <c r="J609" s="1" t="s">
        <v>1338</v>
      </c>
      <c r="L609" s="1" t="s">
        <v>1339</v>
      </c>
      <c r="M609" s="1" t="s">
        <v>1348</v>
      </c>
      <c r="N609" s="1" t="s">
        <v>4322</v>
      </c>
      <c r="P609" s="1" t="s">
        <v>4323</v>
      </c>
      <c r="Q609" s="3">
        <v>0</v>
      </c>
      <c r="R609" s="22" t="s">
        <v>2764</v>
      </c>
      <c r="S609" s="22" t="s">
        <v>5097</v>
      </c>
      <c r="T609" s="51">
        <v>31</v>
      </c>
      <c r="U609" s="3" t="s">
        <v>5223</v>
      </c>
      <c r="V609" s="41" t="str">
        <f>HYPERLINK("http://ictvonline.org/taxonomy/p/taxonomy-history?taxnode_id=20180270","ICTVonline=20180270")</f>
        <v>ICTVonline=20180270</v>
      </c>
    </row>
    <row r="610" spans="1:22">
      <c r="A610" s="3">
        <v>609</v>
      </c>
      <c r="J610" s="1" t="s">
        <v>1338</v>
      </c>
      <c r="L610" s="1" t="s">
        <v>1339</v>
      </c>
      <c r="M610" s="1" t="s">
        <v>1348</v>
      </c>
      <c r="N610" s="1" t="s">
        <v>4322</v>
      </c>
      <c r="P610" s="1" t="s">
        <v>4324</v>
      </c>
      <c r="Q610" s="3">
        <v>1</v>
      </c>
      <c r="R610" s="22" t="s">
        <v>2764</v>
      </c>
      <c r="S610" s="22" t="s">
        <v>5097</v>
      </c>
      <c r="T610" s="51">
        <v>31</v>
      </c>
      <c r="U610" s="3" t="s">
        <v>5223</v>
      </c>
      <c r="V610" s="41" t="str">
        <f>HYPERLINK("http://ictvonline.org/taxonomy/p/taxonomy-history?taxnode_id=20180271","ICTVonline=20180271")</f>
        <v>ICTVonline=20180271</v>
      </c>
    </row>
    <row r="611" spans="1:22">
      <c r="A611" s="3">
        <v>610</v>
      </c>
      <c r="J611" s="1" t="s">
        <v>1338</v>
      </c>
      <c r="L611" s="1" t="s">
        <v>1339</v>
      </c>
      <c r="M611" s="1" t="s">
        <v>1348</v>
      </c>
      <c r="N611" s="1" t="s">
        <v>2822</v>
      </c>
      <c r="P611" s="1" t="s">
        <v>2823</v>
      </c>
      <c r="Q611" s="3">
        <v>1</v>
      </c>
      <c r="R611" s="22" t="s">
        <v>2764</v>
      </c>
      <c r="S611" s="22" t="s">
        <v>5098</v>
      </c>
      <c r="T611" s="51">
        <v>30</v>
      </c>
      <c r="U611" s="3" t="s">
        <v>5216</v>
      </c>
      <c r="V611" s="41" t="str">
        <f>HYPERLINK("http://ictvonline.org/taxonomy/p/taxonomy-history?taxnode_id=20180273","ICTVonline=20180273")</f>
        <v>ICTVonline=20180273</v>
      </c>
    </row>
    <row r="612" spans="1:22">
      <c r="A612" s="3">
        <v>611</v>
      </c>
      <c r="J612" s="1" t="s">
        <v>1338</v>
      </c>
      <c r="L612" s="1" t="s">
        <v>1339</v>
      </c>
      <c r="M612" s="1" t="s">
        <v>1348</v>
      </c>
      <c r="P612" s="1" t="s">
        <v>2824</v>
      </c>
      <c r="Q612" s="3">
        <v>0</v>
      </c>
      <c r="R612" s="22" t="s">
        <v>2764</v>
      </c>
      <c r="S612" s="22" t="s">
        <v>5100</v>
      </c>
      <c r="T612" s="51">
        <v>30</v>
      </c>
      <c r="U612" s="3" t="s">
        <v>5216</v>
      </c>
      <c r="V612" s="41" t="str">
        <f>HYPERLINK("http://ictvonline.org/taxonomy/p/taxonomy-history?taxnode_id=20180275","ICTVonline=20180275")</f>
        <v>ICTVonline=20180275</v>
      </c>
    </row>
    <row r="613" spans="1:22">
      <c r="A613" s="3">
        <v>612</v>
      </c>
      <c r="J613" s="1" t="s">
        <v>1338</v>
      </c>
      <c r="L613" s="1" t="s">
        <v>1339</v>
      </c>
      <c r="M613" s="1" t="s">
        <v>1348</v>
      </c>
      <c r="P613" s="1" t="s">
        <v>5111</v>
      </c>
      <c r="Q613" s="3">
        <v>0</v>
      </c>
      <c r="R613" s="22" t="s">
        <v>2764</v>
      </c>
      <c r="S613" s="22" t="s">
        <v>5100</v>
      </c>
      <c r="T613" s="51">
        <v>31</v>
      </c>
      <c r="U613" s="3" t="s">
        <v>5219</v>
      </c>
      <c r="V613" s="41" t="str">
        <f>HYPERLINK("http://ictvonline.org/taxonomy/p/taxonomy-history?taxnode_id=20180276","ICTVonline=20180276")</f>
        <v>ICTVonline=20180276</v>
      </c>
    </row>
    <row r="614" spans="1:22">
      <c r="A614" s="3">
        <v>613</v>
      </c>
      <c r="J614" s="1" t="s">
        <v>1338</v>
      </c>
      <c r="L614" s="1" t="s">
        <v>1339</v>
      </c>
      <c r="M614" s="1" t="s">
        <v>1348</v>
      </c>
      <c r="P614" s="1" t="s">
        <v>2825</v>
      </c>
      <c r="Q614" s="3">
        <v>0</v>
      </c>
      <c r="R614" s="22" t="s">
        <v>2764</v>
      </c>
      <c r="S614" s="22" t="s">
        <v>5100</v>
      </c>
      <c r="T614" s="51">
        <v>30</v>
      </c>
      <c r="U614" s="3" t="s">
        <v>5216</v>
      </c>
      <c r="V614" s="41" t="str">
        <f>HYPERLINK("http://ictvonline.org/taxonomy/p/taxonomy-history?taxnode_id=20180277","ICTVonline=20180277")</f>
        <v>ICTVonline=20180277</v>
      </c>
    </row>
    <row r="615" spans="1:22">
      <c r="A615" s="3">
        <v>614</v>
      </c>
      <c r="J615" s="1" t="s">
        <v>1338</v>
      </c>
      <c r="L615" s="1" t="s">
        <v>1339</v>
      </c>
      <c r="M615" s="1" t="s">
        <v>1349</v>
      </c>
      <c r="N615" s="1" t="s">
        <v>2826</v>
      </c>
      <c r="P615" s="1" t="s">
        <v>2827</v>
      </c>
      <c r="Q615" s="3">
        <v>0</v>
      </c>
      <c r="R615" s="22" t="s">
        <v>2764</v>
      </c>
      <c r="S615" s="22" t="s">
        <v>5097</v>
      </c>
      <c r="T615" s="51">
        <v>30</v>
      </c>
      <c r="U615" s="3" t="s">
        <v>5224</v>
      </c>
      <c r="V615" s="41" t="str">
        <f>HYPERLINK("http://ictvonline.org/taxonomy/p/taxonomy-history?taxnode_id=20180280","ICTVonline=20180280")</f>
        <v>ICTVonline=20180280</v>
      </c>
    </row>
    <row r="616" spans="1:22">
      <c r="A616" s="3">
        <v>615</v>
      </c>
      <c r="J616" s="1" t="s">
        <v>1338</v>
      </c>
      <c r="L616" s="1" t="s">
        <v>1339</v>
      </c>
      <c r="M616" s="1" t="s">
        <v>1349</v>
      </c>
      <c r="N616" s="1" t="s">
        <v>2826</v>
      </c>
      <c r="P616" s="1" t="s">
        <v>5112</v>
      </c>
      <c r="Q616" s="3">
        <v>1</v>
      </c>
      <c r="R616" s="22" t="s">
        <v>2764</v>
      </c>
      <c r="S616" s="22" t="s">
        <v>5100</v>
      </c>
      <c r="T616" s="51">
        <v>31</v>
      </c>
      <c r="U616" s="3" t="s">
        <v>5219</v>
      </c>
      <c r="V616" s="41" t="str">
        <f>HYPERLINK("http://ictvonline.org/taxonomy/p/taxonomy-history?taxnode_id=20180281","ICTVonline=20180281")</f>
        <v>ICTVonline=20180281</v>
      </c>
    </row>
    <row r="617" spans="1:22">
      <c r="A617" s="3">
        <v>616</v>
      </c>
      <c r="J617" s="1" t="s">
        <v>1338</v>
      </c>
      <c r="L617" s="1" t="s">
        <v>1339</v>
      </c>
      <c r="M617" s="1" t="s">
        <v>1349</v>
      </c>
      <c r="N617" s="1" t="s">
        <v>4325</v>
      </c>
      <c r="P617" s="1" t="s">
        <v>4326</v>
      </c>
      <c r="Q617" s="3">
        <v>1</v>
      </c>
      <c r="R617" s="22" t="s">
        <v>2764</v>
      </c>
      <c r="S617" s="22" t="s">
        <v>5097</v>
      </c>
      <c r="T617" s="51">
        <v>31</v>
      </c>
      <c r="U617" s="3" t="s">
        <v>5225</v>
      </c>
      <c r="V617" s="41" t="str">
        <f>HYPERLINK("http://ictvonline.org/taxonomy/p/taxonomy-history?taxnode_id=20180283","ICTVonline=20180283")</f>
        <v>ICTVonline=20180283</v>
      </c>
    </row>
    <row r="618" spans="1:22">
      <c r="A618" s="3">
        <v>617</v>
      </c>
      <c r="J618" s="1" t="s">
        <v>1338</v>
      </c>
      <c r="L618" s="1" t="s">
        <v>1339</v>
      </c>
      <c r="M618" s="1" t="s">
        <v>1349</v>
      </c>
      <c r="N618" s="1" t="s">
        <v>4325</v>
      </c>
      <c r="P618" s="1" t="s">
        <v>4327</v>
      </c>
      <c r="Q618" s="3">
        <v>0</v>
      </c>
      <c r="R618" s="22" t="s">
        <v>2764</v>
      </c>
      <c r="S618" s="22" t="s">
        <v>5097</v>
      </c>
      <c r="T618" s="51">
        <v>31</v>
      </c>
      <c r="U618" s="3" t="s">
        <v>5225</v>
      </c>
      <c r="V618" s="41" t="str">
        <f>HYPERLINK("http://ictvonline.org/taxonomy/p/taxonomy-history?taxnode_id=20180284","ICTVonline=20180284")</f>
        <v>ICTVonline=20180284</v>
      </c>
    </row>
    <row r="619" spans="1:22">
      <c r="A619" s="3">
        <v>618</v>
      </c>
      <c r="B619" s="24"/>
      <c r="C619" s="24"/>
      <c r="D619" s="24"/>
      <c r="E619" s="24"/>
      <c r="F619" s="24"/>
      <c r="G619" s="24"/>
      <c r="H619" s="24"/>
      <c r="I619" s="24"/>
      <c r="J619" s="1" t="s">
        <v>1338</v>
      </c>
      <c r="L619" s="1" t="s">
        <v>1339</v>
      </c>
      <c r="M619" s="1" t="s">
        <v>1349</v>
      </c>
      <c r="N619" s="1" t="s">
        <v>2828</v>
      </c>
      <c r="P619" s="1" t="s">
        <v>2829</v>
      </c>
      <c r="Q619" s="3">
        <v>0</v>
      </c>
      <c r="R619" s="22" t="s">
        <v>2764</v>
      </c>
      <c r="S619" s="22" t="s">
        <v>5097</v>
      </c>
      <c r="T619" s="51">
        <v>30</v>
      </c>
      <c r="U619" s="3" t="s">
        <v>5224</v>
      </c>
      <c r="V619" s="41" t="str">
        <f>HYPERLINK("http://ictvonline.org/taxonomy/p/taxonomy-history?taxnode_id=20180286","ICTVonline=20180286")</f>
        <v>ICTVonline=20180286</v>
      </c>
    </row>
    <row r="620" spans="1:22" s="24" customFormat="1">
      <c r="A620" s="3">
        <v>619</v>
      </c>
      <c r="B620" s="1"/>
      <c r="C620" s="1"/>
      <c r="D620" s="1"/>
      <c r="E620" s="1"/>
      <c r="F620" s="1"/>
      <c r="G620" s="1"/>
      <c r="H620" s="1"/>
      <c r="I620" s="1"/>
      <c r="J620" s="1" t="s">
        <v>1338</v>
      </c>
      <c r="K620" s="1"/>
      <c r="L620" s="1" t="s">
        <v>1339</v>
      </c>
      <c r="M620" s="1" t="s">
        <v>1349</v>
      </c>
      <c r="N620" s="1" t="s">
        <v>2828</v>
      </c>
      <c r="O620" s="1"/>
      <c r="P620" s="1" t="s">
        <v>2830</v>
      </c>
      <c r="Q620" s="3">
        <v>0</v>
      </c>
      <c r="R620" s="22" t="s">
        <v>2764</v>
      </c>
      <c r="S620" s="22" t="s">
        <v>5097</v>
      </c>
      <c r="T620" s="51">
        <v>30</v>
      </c>
      <c r="U620" s="3" t="s">
        <v>5224</v>
      </c>
      <c r="V620" s="41" t="str">
        <f>HYPERLINK("http://ictvonline.org/taxonomy/p/taxonomy-history?taxnode_id=20180287","ICTVonline=20180287")</f>
        <v>ICTVonline=20180287</v>
      </c>
    </row>
    <row r="621" spans="1:22">
      <c r="A621" s="3">
        <v>620</v>
      </c>
      <c r="J621" s="1" t="s">
        <v>1338</v>
      </c>
      <c r="L621" s="1" t="s">
        <v>1339</v>
      </c>
      <c r="M621" s="1" t="s">
        <v>1349</v>
      </c>
      <c r="N621" s="1" t="s">
        <v>2828</v>
      </c>
      <c r="P621" s="1" t="s">
        <v>2831</v>
      </c>
      <c r="Q621" s="3">
        <v>0</v>
      </c>
      <c r="R621" s="22" t="s">
        <v>2764</v>
      </c>
      <c r="S621" s="22" t="s">
        <v>5097</v>
      </c>
      <c r="T621" s="51">
        <v>30</v>
      </c>
      <c r="U621" s="3" t="s">
        <v>5224</v>
      </c>
      <c r="V621" s="41" t="str">
        <f>HYPERLINK("http://ictvonline.org/taxonomy/p/taxonomy-history?taxnode_id=20180288","ICTVonline=20180288")</f>
        <v>ICTVonline=20180288</v>
      </c>
    </row>
    <row r="622" spans="1:22">
      <c r="A622" s="3">
        <v>621</v>
      </c>
      <c r="J622" s="1" t="s">
        <v>1338</v>
      </c>
      <c r="L622" s="1" t="s">
        <v>1339</v>
      </c>
      <c r="M622" s="1" t="s">
        <v>1349</v>
      </c>
      <c r="N622" s="1" t="s">
        <v>2828</v>
      </c>
      <c r="P622" s="1" t="s">
        <v>2832</v>
      </c>
      <c r="Q622" s="3">
        <v>1</v>
      </c>
      <c r="R622" s="22" t="s">
        <v>2764</v>
      </c>
      <c r="S622" s="22" t="s">
        <v>5098</v>
      </c>
      <c r="T622" s="51">
        <v>30</v>
      </c>
      <c r="U622" s="3" t="s">
        <v>5224</v>
      </c>
      <c r="V622" s="41" t="str">
        <f>HYPERLINK("http://ictvonline.org/taxonomy/p/taxonomy-history?taxnode_id=20180289","ICTVonline=20180289")</f>
        <v>ICTVonline=20180289</v>
      </c>
    </row>
    <row r="623" spans="1:22">
      <c r="A623" s="3">
        <v>622</v>
      </c>
      <c r="J623" s="1" t="s">
        <v>1338</v>
      </c>
      <c r="L623" s="1" t="s">
        <v>1339</v>
      </c>
      <c r="M623" s="1" t="s">
        <v>1349</v>
      </c>
      <c r="N623" s="1" t="s">
        <v>2828</v>
      </c>
      <c r="P623" s="1" t="s">
        <v>4328</v>
      </c>
      <c r="Q623" s="3">
        <v>0</v>
      </c>
      <c r="R623" s="22" t="s">
        <v>2764</v>
      </c>
      <c r="S623" s="22" t="s">
        <v>5097</v>
      </c>
      <c r="T623" s="51">
        <v>31</v>
      </c>
      <c r="U623" s="3" t="s">
        <v>5217</v>
      </c>
      <c r="V623" s="41" t="str">
        <f>HYPERLINK("http://ictvonline.org/taxonomy/p/taxonomy-history?taxnode_id=20180290","ICTVonline=20180290")</f>
        <v>ICTVonline=20180290</v>
      </c>
    </row>
    <row r="624" spans="1:22">
      <c r="A624" s="3">
        <v>623</v>
      </c>
      <c r="J624" s="1" t="s">
        <v>1338</v>
      </c>
      <c r="L624" s="1" t="s">
        <v>1339</v>
      </c>
      <c r="M624" s="1" t="s">
        <v>1349</v>
      </c>
      <c r="N624" s="1" t="s">
        <v>2828</v>
      </c>
      <c r="P624" s="1" t="s">
        <v>2833</v>
      </c>
      <c r="Q624" s="3">
        <v>0</v>
      </c>
      <c r="R624" s="22" t="s">
        <v>2764</v>
      </c>
      <c r="S624" s="22" t="s">
        <v>5097</v>
      </c>
      <c r="T624" s="51">
        <v>30</v>
      </c>
      <c r="U624" s="3" t="s">
        <v>5224</v>
      </c>
      <c r="V624" s="41" t="str">
        <f>HYPERLINK("http://ictvonline.org/taxonomy/p/taxonomy-history?taxnode_id=20180291","ICTVonline=20180291")</f>
        <v>ICTVonline=20180291</v>
      </c>
    </row>
    <row r="625" spans="1:22">
      <c r="A625" s="3">
        <v>624</v>
      </c>
      <c r="J625" s="1" t="s">
        <v>1338</v>
      </c>
      <c r="L625" s="1" t="s">
        <v>1339</v>
      </c>
      <c r="M625" s="1" t="s">
        <v>1349</v>
      </c>
      <c r="N625" s="1" t="s">
        <v>4329</v>
      </c>
      <c r="P625" s="1" t="s">
        <v>4330</v>
      </c>
      <c r="Q625" s="3">
        <v>0</v>
      </c>
      <c r="R625" s="22" t="s">
        <v>2764</v>
      </c>
      <c r="S625" s="22" t="s">
        <v>5097</v>
      </c>
      <c r="T625" s="51">
        <v>31</v>
      </c>
      <c r="U625" s="3" t="s">
        <v>5226</v>
      </c>
      <c r="V625" s="41" t="str">
        <f>HYPERLINK("http://ictvonline.org/taxonomy/p/taxonomy-history?taxnode_id=20180293","ICTVonline=20180293")</f>
        <v>ICTVonline=20180293</v>
      </c>
    </row>
    <row r="626" spans="1:22">
      <c r="A626" s="3">
        <v>625</v>
      </c>
      <c r="J626" s="1" t="s">
        <v>1338</v>
      </c>
      <c r="L626" s="1" t="s">
        <v>1339</v>
      </c>
      <c r="M626" s="1" t="s">
        <v>1349</v>
      </c>
      <c r="N626" s="1" t="s">
        <v>4329</v>
      </c>
      <c r="P626" s="1" t="s">
        <v>4331</v>
      </c>
      <c r="Q626" s="3">
        <v>1</v>
      </c>
      <c r="R626" s="22" t="s">
        <v>2764</v>
      </c>
      <c r="S626" s="22" t="s">
        <v>5097</v>
      </c>
      <c r="T626" s="51">
        <v>31</v>
      </c>
      <c r="U626" s="3" t="s">
        <v>5226</v>
      </c>
      <c r="V626" s="41" t="str">
        <f>HYPERLINK("http://ictvonline.org/taxonomy/p/taxonomy-history?taxnode_id=20180294","ICTVonline=20180294")</f>
        <v>ICTVonline=20180294</v>
      </c>
    </row>
    <row r="627" spans="1:22">
      <c r="A627" s="3">
        <v>626</v>
      </c>
      <c r="J627" s="1" t="s">
        <v>1338</v>
      </c>
      <c r="L627" s="1" t="s">
        <v>1339</v>
      </c>
      <c r="M627" s="1" t="s">
        <v>1349</v>
      </c>
      <c r="N627" s="1" t="s">
        <v>4329</v>
      </c>
      <c r="P627" s="1" t="s">
        <v>4332</v>
      </c>
      <c r="Q627" s="3">
        <v>0</v>
      </c>
      <c r="R627" s="22" t="s">
        <v>2764</v>
      </c>
      <c r="S627" s="22" t="s">
        <v>5097</v>
      </c>
      <c r="T627" s="51">
        <v>31</v>
      </c>
      <c r="U627" s="3" t="s">
        <v>5226</v>
      </c>
      <c r="V627" s="41" t="str">
        <f>HYPERLINK("http://ictvonline.org/taxonomy/p/taxonomy-history?taxnode_id=20180295","ICTVonline=20180295")</f>
        <v>ICTVonline=20180295</v>
      </c>
    </row>
    <row r="628" spans="1:22">
      <c r="A628" s="3">
        <v>627</v>
      </c>
      <c r="J628" s="1" t="s">
        <v>1338</v>
      </c>
      <c r="L628" s="1" t="s">
        <v>1339</v>
      </c>
      <c r="M628" s="1" t="s">
        <v>1349</v>
      </c>
      <c r="N628" s="1" t="s">
        <v>4329</v>
      </c>
      <c r="P628" s="1" t="s">
        <v>4333</v>
      </c>
      <c r="Q628" s="3">
        <v>0</v>
      </c>
      <c r="R628" s="22" t="s">
        <v>2764</v>
      </c>
      <c r="S628" s="22" t="s">
        <v>5097</v>
      </c>
      <c r="T628" s="51">
        <v>31</v>
      </c>
      <c r="U628" s="3" t="s">
        <v>5226</v>
      </c>
      <c r="V628" s="41" t="str">
        <f>HYPERLINK("http://ictvonline.org/taxonomy/p/taxonomy-history?taxnode_id=20180296","ICTVonline=20180296")</f>
        <v>ICTVonline=20180296</v>
      </c>
    </row>
    <row r="629" spans="1:22">
      <c r="A629" s="3">
        <v>628</v>
      </c>
      <c r="J629" s="1" t="s">
        <v>1338</v>
      </c>
      <c r="L629" s="1" t="s">
        <v>1339</v>
      </c>
      <c r="M629" s="1" t="s">
        <v>1349</v>
      </c>
      <c r="N629" s="1" t="s">
        <v>4329</v>
      </c>
      <c r="P629" s="1" t="s">
        <v>4334</v>
      </c>
      <c r="Q629" s="3">
        <v>0</v>
      </c>
      <c r="R629" s="22" t="s">
        <v>2764</v>
      </c>
      <c r="S629" s="22" t="s">
        <v>5097</v>
      </c>
      <c r="T629" s="51">
        <v>31</v>
      </c>
      <c r="U629" s="3" t="s">
        <v>5226</v>
      </c>
      <c r="V629" s="41" t="str">
        <f>HYPERLINK("http://ictvonline.org/taxonomy/p/taxonomy-history?taxnode_id=20180297","ICTVonline=20180297")</f>
        <v>ICTVonline=20180297</v>
      </c>
    </row>
    <row r="630" spans="1:22">
      <c r="A630" s="3">
        <v>629</v>
      </c>
      <c r="J630" s="1" t="s">
        <v>1338</v>
      </c>
      <c r="L630" s="1" t="s">
        <v>1339</v>
      </c>
      <c r="M630" s="1" t="s">
        <v>1349</v>
      </c>
      <c r="N630" s="1" t="s">
        <v>4335</v>
      </c>
      <c r="P630" s="1" t="s">
        <v>4336</v>
      </c>
      <c r="Q630" s="3">
        <v>0</v>
      </c>
      <c r="R630" s="22" t="s">
        <v>2764</v>
      </c>
      <c r="S630" s="22" t="s">
        <v>5097</v>
      </c>
      <c r="T630" s="51">
        <v>31</v>
      </c>
      <c r="U630" s="3" t="s">
        <v>5227</v>
      </c>
      <c r="V630" s="41" t="str">
        <f>HYPERLINK("http://ictvonline.org/taxonomy/p/taxonomy-history?taxnode_id=20180299","ICTVonline=20180299")</f>
        <v>ICTVonline=20180299</v>
      </c>
    </row>
    <row r="631" spans="1:22">
      <c r="A631" s="3">
        <v>630</v>
      </c>
      <c r="J631" s="1" t="s">
        <v>1338</v>
      </c>
      <c r="L631" s="1" t="s">
        <v>1339</v>
      </c>
      <c r="M631" s="1" t="s">
        <v>1349</v>
      </c>
      <c r="N631" s="1" t="s">
        <v>4335</v>
      </c>
      <c r="P631" s="1" t="s">
        <v>4337</v>
      </c>
      <c r="Q631" s="3">
        <v>1</v>
      </c>
      <c r="R631" s="22" t="s">
        <v>2764</v>
      </c>
      <c r="S631" s="22" t="s">
        <v>5097</v>
      </c>
      <c r="T631" s="51">
        <v>31</v>
      </c>
      <c r="U631" s="3" t="s">
        <v>5227</v>
      </c>
      <c r="V631" s="41" t="str">
        <f>HYPERLINK("http://ictvonline.org/taxonomy/p/taxonomy-history?taxnode_id=20180300","ICTVonline=20180300")</f>
        <v>ICTVonline=20180300</v>
      </c>
    </row>
    <row r="632" spans="1:22">
      <c r="A632" s="3">
        <v>631</v>
      </c>
      <c r="J632" s="1" t="s">
        <v>1338</v>
      </c>
      <c r="L632" s="1" t="s">
        <v>1339</v>
      </c>
      <c r="M632" s="1" t="s">
        <v>1349</v>
      </c>
      <c r="N632" s="1" t="s">
        <v>2834</v>
      </c>
      <c r="P632" s="1" t="s">
        <v>4338</v>
      </c>
      <c r="Q632" s="3">
        <v>0</v>
      </c>
      <c r="R632" s="22" t="s">
        <v>2764</v>
      </c>
      <c r="S632" s="22" t="s">
        <v>5097</v>
      </c>
      <c r="T632" s="51">
        <v>31</v>
      </c>
      <c r="U632" s="3" t="s">
        <v>5217</v>
      </c>
      <c r="V632" s="41" t="str">
        <f>HYPERLINK("http://ictvonline.org/taxonomy/p/taxonomy-history?taxnode_id=20180302","ICTVonline=20180302")</f>
        <v>ICTVonline=20180302</v>
      </c>
    </row>
    <row r="633" spans="1:22">
      <c r="A633" s="3">
        <v>632</v>
      </c>
      <c r="J633" s="1" t="s">
        <v>1338</v>
      </c>
      <c r="L633" s="1" t="s">
        <v>1339</v>
      </c>
      <c r="M633" s="1" t="s">
        <v>1349</v>
      </c>
      <c r="N633" s="1" t="s">
        <v>2834</v>
      </c>
      <c r="P633" s="1" t="s">
        <v>2835</v>
      </c>
      <c r="Q633" s="3">
        <v>0</v>
      </c>
      <c r="R633" s="22" t="s">
        <v>2764</v>
      </c>
      <c r="S633" s="22" t="s">
        <v>5098</v>
      </c>
      <c r="T633" s="51">
        <v>30</v>
      </c>
      <c r="U633" s="3" t="s">
        <v>5224</v>
      </c>
      <c r="V633" s="41" t="str">
        <f>HYPERLINK("http://ictvonline.org/taxonomy/p/taxonomy-history?taxnode_id=20180303","ICTVonline=20180303")</f>
        <v>ICTVonline=20180303</v>
      </c>
    </row>
    <row r="634" spans="1:22">
      <c r="A634" s="3">
        <v>633</v>
      </c>
      <c r="J634" s="1" t="s">
        <v>1338</v>
      </c>
      <c r="L634" s="1" t="s">
        <v>1339</v>
      </c>
      <c r="M634" s="1" t="s">
        <v>1349</v>
      </c>
      <c r="N634" s="1" t="s">
        <v>2834</v>
      </c>
      <c r="P634" s="1" t="s">
        <v>2836</v>
      </c>
      <c r="Q634" s="3">
        <v>1</v>
      </c>
      <c r="R634" s="22" t="s">
        <v>2764</v>
      </c>
      <c r="S634" s="22" t="s">
        <v>5098</v>
      </c>
      <c r="T634" s="51">
        <v>30</v>
      </c>
      <c r="U634" s="3" t="s">
        <v>5224</v>
      </c>
      <c r="V634" s="41" t="str">
        <f>HYPERLINK("http://ictvonline.org/taxonomy/p/taxonomy-history?taxnode_id=20180304","ICTVonline=20180304")</f>
        <v>ICTVonline=20180304</v>
      </c>
    </row>
    <row r="635" spans="1:22">
      <c r="A635" s="3">
        <v>634</v>
      </c>
      <c r="J635" s="1" t="s">
        <v>1338</v>
      </c>
      <c r="L635" s="1" t="s">
        <v>1339</v>
      </c>
      <c r="M635" s="1" t="s">
        <v>1349</v>
      </c>
      <c r="N635" s="1" t="s">
        <v>2837</v>
      </c>
      <c r="P635" s="1" t="s">
        <v>2838</v>
      </c>
      <c r="Q635" s="3">
        <v>0</v>
      </c>
      <c r="R635" s="22" t="s">
        <v>2764</v>
      </c>
      <c r="S635" s="22" t="s">
        <v>5097</v>
      </c>
      <c r="T635" s="51">
        <v>30</v>
      </c>
      <c r="U635" s="3" t="s">
        <v>5224</v>
      </c>
      <c r="V635" s="41" t="str">
        <f>HYPERLINK("http://ictvonline.org/taxonomy/p/taxonomy-history?taxnode_id=20180306","ICTVonline=20180306")</f>
        <v>ICTVonline=20180306</v>
      </c>
    </row>
    <row r="636" spans="1:22">
      <c r="A636" s="3">
        <v>635</v>
      </c>
      <c r="J636" s="1" t="s">
        <v>1338</v>
      </c>
      <c r="L636" s="1" t="s">
        <v>1339</v>
      </c>
      <c r="M636" s="1" t="s">
        <v>1349</v>
      </c>
      <c r="N636" s="1" t="s">
        <v>2837</v>
      </c>
      <c r="P636" s="1" t="s">
        <v>2839</v>
      </c>
      <c r="Q636" s="3">
        <v>0</v>
      </c>
      <c r="R636" s="22" t="s">
        <v>2764</v>
      </c>
      <c r="S636" s="22" t="s">
        <v>5097</v>
      </c>
      <c r="T636" s="51">
        <v>30</v>
      </c>
      <c r="U636" s="3" t="s">
        <v>5224</v>
      </c>
      <c r="V636" s="41" t="str">
        <f>HYPERLINK("http://ictvonline.org/taxonomy/p/taxonomy-history?taxnode_id=20180307","ICTVonline=20180307")</f>
        <v>ICTVonline=20180307</v>
      </c>
    </row>
    <row r="637" spans="1:22">
      <c r="A637" s="3">
        <v>636</v>
      </c>
      <c r="J637" s="1" t="s">
        <v>1338</v>
      </c>
      <c r="L637" s="1" t="s">
        <v>1339</v>
      </c>
      <c r="M637" s="1" t="s">
        <v>1349</v>
      </c>
      <c r="N637" s="1" t="s">
        <v>2837</v>
      </c>
      <c r="P637" s="1" t="s">
        <v>2840</v>
      </c>
      <c r="Q637" s="3">
        <v>1</v>
      </c>
      <c r="R637" s="22" t="s">
        <v>2764</v>
      </c>
      <c r="S637" s="22" t="s">
        <v>5098</v>
      </c>
      <c r="T637" s="51">
        <v>30</v>
      </c>
      <c r="U637" s="3" t="s">
        <v>5224</v>
      </c>
      <c r="V637" s="41" t="str">
        <f>HYPERLINK("http://ictvonline.org/taxonomy/p/taxonomy-history?taxnode_id=20180308","ICTVonline=20180308")</f>
        <v>ICTVonline=20180308</v>
      </c>
    </row>
    <row r="638" spans="1:22">
      <c r="A638" s="3">
        <v>637</v>
      </c>
      <c r="J638" s="1" t="s">
        <v>1338</v>
      </c>
      <c r="L638" s="1" t="s">
        <v>1339</v>
      </c>
      <c r="M638" s="1" t="s">
        <v>1349</v>
      </c>
      <c r="N638" s="1" t="s">
        <v>2837</v>
      </c>
      <c r="P638" s="1" t="s">
        <v>2841</v>
      </c>
      <c r="Q638" s="3">
        <v>0</v>
      </c>
      <c r="R638" s="22" t="s">
        <v>2764</v>
      </c>
      <c r="S638" s="22" t="s">
        <v>5097</v>
      </c>
      <c r="T638" s="51">
        <v>30</v>
      </c>
      <c r="U638" s="3" t="s">
        <v>5224</v>
      </c>
      <c r="V638" s="41" t="str">
        <f>HYPERLINK("http://ictvonline.org/taxonomy/p/taxonomy-history?taxnode_id=20180309","ICTVonline=20180309")</f>
        <v>ICTVonline=20180309</v>
      </c>
    </row>
    <row r="639" spans="1:22">
      <c r="A639" s="3">
        <v>638</v>
      </c>
      <c r="J639" s="1" t="s">
        <v>1338</v>
      </c>
      <c r="L639" s="1" t="s">
        <v>1339</v>
      </c>
      <c r="M639" s="1" t="s">
        <v>1349</v>
      </c>
      <c r="N639" s="1" t="s">
        <v>2842</v>
      </c>
      <c r="P639" s="1" t="s">
        <v>2843</v>
      </c>
      <c r="Q639" s="3">
        <v>1</v>
      </c>
      <c r="R639" s="22" t="s">
        <v>2764</v>
      </c>
      <c r="S639" s="22" t="s">
        <v>5097</v>
      </c>
      <c r="T639" s="51">
        <v>30</v>
      </c>
      <c r="U639" s="3" t="s">
        <v>5224</v>
      </c>
      <c r="V639" s="41" t="str">
        <f>HYPERLINK("http://ictvonline.org/taxonomy/p/taxonomy-history?taxnode_id=20180311","ICTVonline=20180311")</f>
        <v>ICTVonline=20180311</v>
      </c>
    </row>
    <row r="640" spans="1:22">
      <c r="A640" s="3">
        <v>639</v>
      </c>
      <c r="J640" s="1" t="s">
        <v>1338</v>
      </c>
      <c r="L640" s="1" t="s">
        <v>1339</v>
      </c>
      <c r="M640" s="1" t="s">
        <v>1349</v>
      </c>
      <c r="N640" s="1" t="s">
        <v>2842</v>
      </c>
      <c r="P640" s="1" t="s">
        <v>2844</v>
      </c>
      <c r="Q640" s="3">
        <v>0</v>
      </c>
      <c r="R640" s="22" t="s">
        <v>2764</v>
      </c>
      <c r="S640" s="22" t="s">
        <v>5097</v>
      </c>
      <c r="T640" s="51">
        <v>30</v>
      </c>
      <c r="U640" s="3" t="s">
        <v>5224</v>
      </c>
      <c r="V640" s="41" t="str">
        <f>HYPERLINK("http://ictvonline.org/taxonomy/p/taxonomy-history?taxnode_id=20180312","ICTVonline=20180312")</f>
        <v>ICTVonline=20180312</v>
      </c>
    </row>
    <row r="641" spans="1:22">
      <c r="A641" s="3">
        <v>640</v>
      </c>
      <c r="J641" s="1" t="s">
        <v>1338</v>
      </c>
      <c r="L641" s="1" t="s">
        <v>1339</v>
      </c>
      <c r="M641" s="1" t="s">
        <v>1349</v>
      </c>
      <c r="N641" s="1" t="s">
        <v>2845</v>
      </c>
      <c r="P641" s="1" t="s">
        <v>2846</v>
      </c>
      <c r="Q641" s="3">
        <v>1</v>
      </c>
      <c r="R641" s="22" t="s">
        <v>2764</v>
      </c>
      <c r="S641" s="22" t="s">
        <v>5098</v>
      </c>
      <c r="T641" s="51">
        <v>30</v>
      </c>
      <c r="U641" s="3" t="s">
        <v>5216</v>
      </c>
      <c r="V641" s="41" t="str">
        <f>HYPERLINK("http://ictvonline.org/taxonomy/p/taxonomy-history?taxnode_id=20180314","ICTVonline=20180314")</f>
        <v>ICTVonline=20180314</v>
      </c>
    </row>
    <row r="642" spans="1:22">
      <c r="A642" s="3">
        <v>641</v>
      </c>
      <c r="J642" s="1" t="s">
        <v>1338</v>
      </c>
      <c r="L642" s="1" t="s">
        <v>1339</v>
      </c>
      <c r="M642" s="1" t="s">
        <v>1349</v>
      </c>
      <c r="N642" s="1" t="s">
        <v>2845</v>
      </c>
      <c r="P642" s="1" t="s">
        <v>2847</v>
      </c>
      <c r="Q642" s="3">
        <v>0</v>
      </c>
      <c r="R642" s="22" t="s">
        <v>2764</v>
      </c>
      <c r="S642" s="22" t="s">
        <v>5098</v>
      </c>
      <c r="T642" s="51">
        <v>30</v>
      </c>
      <c r="U642" s="3" t="s">
        <v>5216</v>
      </c>
      <c r="V642" s="41" t="str">
        <f>HYPERLINK("http://ictvonline.org/taxonomy/p/taxonomy-history?taxnode_id=20180315","ICTVonline=20180315")</f>
        <v>ICTVonline=20180315</v>
      </c>
    </row>
    <row r="643" spans="1:22">
      <c r="A643" s="3">
        <v>642</v>
      </c>
      <c r="J643" s="1" t="s">
        <v>1338</v>
      </c>
      <c r="L643" s="1" t="s">
        <v>1339</v>
      </c>
      <c r="M643" s="1" t="s">
        <v>1349</v>
      </c>
      <c r="N643" s="1" t="s">
        <v>2845</v>
      </c>
      <c r="P643" s="1" t="s">
        <v>2848</v>
      </c>
      <c r="Q643" s="3">
        <v>0</v>
      </c>
      <c r="R643" s="22" t="s">
        <v>2764</v>
      </c>
      <c r="S643" s="22" t="s">
        <v>5097</v>
      </c>
      <c r="T643" s="51">
        <v>30</v>
      </c>
      <c r="U643" s="3" t="s">
        <v>5228</v>
      </c>
      <c r="V643" s="41" t="str">
        <f>HYPERLINK("http://ictvonline.org/taxonomy/p/taxonomy-history?taxnode_id=20180316","ICTVonline=20180316")</f>
        <v>ICTVonline=20180316</v>
      </c>
    </row>
    <row r="644" spans="1:22">
      <c r="A644" s="3">
        <v>643</v>
      </c>
      <c r="J644" s="1" t="s">
        <v>1338</v>
      </c>
      <c r="L644" s="1" t="s">
        <v>1339</v>
      </c>
      <c r="M644" s="1" t="s">
        <v>1349</v>
      </c>
      <c r="N644" s="1" t="s">
        <v>2849</v>
      </c>
      <c r="P644" s="1" t="s">
        <v>2850</v>
      </c>
      <c r="Q644" s="3">
        <v>0</v>
      </c>
      <c r="R644" s="22" t="s">
        <v>2764</v>
      </c>
      <c r="S644" s="22" t="s">
        <v>5097</v>
      </c>
      <c r="T644" s="51">
        <v>30</v>
      </c>
      <c r="U644" s="3" t="s">
        <v>5224</v>
      </c>
      <c r="V644" s="41" t="str">
        <f>HYPERLINK("http://ictvonline.org/taxonomy/p/taxonomy-history?taxnode_id=20180318","ICTVonline=20180318")</f>
        <v>ICTVonline=20180318</v>
      </c>
    </row>
    <row r="645" spans="1:22">
      <c r="A645" s="3">
        <v>644</v>
      </c>
      <c r="J645" s="1" t="s">
        <v>1338</v>
      </c>
      <c r="L645" s="1" t="s">
        <v>1339</v>
      </c>
      <c r="M645" s="1" t="s">
        <v>1349</v>
      </c>
      <c r="N645" s="1" t="s">
        <v>2849</v>
      </c>
      <c r="P645" s="1" t="s">
        <v>2851</v>
      </c>
      <c r="Q645" s="3">
        <v>0</v>
      </c>
      <c r="R645" s="22" t="s">
        <v>2764</v>
      </c>
      <c r="S645" s="22" t="s">
        <v>5097</v>
      </c>
      <c r="T645" s="51">
        <v>30</v>
      </c>
      <c r="U645" s="3" t="s">
        <v>5224</v>
      </c>
      <c r="V645" s="41" t="str">
        <f>HYPERLINK("http://ictvonline.org/taxonomy/p/taxonomy-history?taxnode_id=20180319","ICTVonline=20180319")</f>
        <v>ICTVonline=20180319</v>
      </c>
    </row>
    <row r="646" spans="1:22">
      <c r="A646" s="3">
        <v>645</v>
      </c>
      <c r="J646" s="1" t="s">
        <v>1338</v>
      </c>
      <c r="L646" s="1" t="s">
        <v>1339</v>
      </c>
      <c r="M646" s="1" t="s">
        <v>1349</v>
      </c>
      <c r="N646" s="1" t="s">
        <v>2849</v>
      </c>
      <c r="P646" s="1" t="s">
        <v>2852</v>
      </c>
      <c r="Q646" s="3">
        <v>0</v>
      </c>
      <c r="R646" s="22" t="s">
        <v>2764</v>
      </c>
      <c r="S646" s="22" t="s">
        <v>5097</v>
      </c>
      <c r="T646" s="51">
        <v>30</v>
      </c>
      <c r="U646" s="3" t="s">
        <v>5224</v>
      </c>
      <c r="V646" s="41" t="str">
        <f>HYPERLINK("http://ictvonline.org/taxonomy/p/taxonomy-history?taxnode_id=20180320","ICTVonline=20180320")</f>
        <v>ICTVonline=20180320</v>
      </c>
    </row>
    <row r="647" spans="1:22">
      <c r="A647" s="3">
        <v>646</v>
      </c>
      <c r="J647" s="1" t="s">
        <v>1338</v>
      </c>
      <c r="L647" s="1" t="s">
        <v>1339</v>
      </c>
      <c r="M647" s="1" t="s">
        <v>1349</v>
      </c>
      <c r="N647" s="1" t="s">
        <v>2849</v>
      </c>
      <c r="P647" s="1" t="s">
        <v>2853</v>
      </c>
      <c r="Q647" s="3">
        <v>0</v>
      </c>
      <c r="R647" s="22" t="s">
        <v>2764</v>
      </c>
      <c r="S647" s="22" t="s">
        <v>5097</v>
      </c>
      <c r="T647" s="51">
        <v>30</v>
      </c>
      <c r="U647" s="3" t="s">
        <v>5224</v>
      </c>
      <c r="V647" s="41" t="str">
        <f>HYPERLINK("http://ictvonline.org/taxonomy/p/taxonomy-history?taxnode_id=20180321","ICTVonline=20180321")</f>
        <v>ICTVonline=20180321</v>
      </c>
    </row>
    <row r="648" spans="1:22">
      <c r="A648" s="3">
        <v>647</v>
      </c>
      <c r="J648" s="1" t="s">
        <v>1338</v>
      </c>
      <c r="L648" s="1" t="s">
        <v>1339</v>
      </c>
      <c r="M648" s="1" t="s">
        <v>1349</v>
      </c>
      <c r="N648" s="1" t="s">
        <v>2849</v>
      </c>
      <c r="P648" s="1" t="s">
        <v>2854</v>
      </c>
      <c r="Q648" s="3">
        <v>1</v>
      </c>
      <c r="R648" s="22" t="s">
        <v>2764</v>
      </c>
      <c r="S648" s="22" t="s">
        <v>5097</v>
      </c>
      <c r="T648" s="51">
        <v>30</v>
      </c>
      <c r="U648" s="3" t="s">
        <v>5224</v>
      </c>
      <c r="V648" s="41" t="str">
        <f>HYPERLINK("http://ictvonline.org/taxonomy/p/taxonomy-history?taxnode_id=20180322","ICTVonline=20180322")</f>
        <v>ICTVonline=20180322</v>
      </c>
    </row>
    <row r="649" spans="1:22">
      <c r="A649" s="3">
        <v>648</v>
      </c>
      <c r="J649" s="1" t="s">
        <v>1338</v>
      </c>
      <c r="L649" s="1" t="s">
        <v>1339</v>
      </c>
      <c r="M649" s="1" t="s">
        <v>1349</v>
      </c>
      <c r="N649" s="1" t="s">
        <v>2855</v>
      </c>
      <c r="P649" s="1" t="s">
        <v>2856</v>
      </c>
      <c r="Q649" s="3">
        <v>0</v>
      </c>
      <c r="R649" s="22" t="s">
        <v>2764</v>
      </c>
      <c r="S649" s="22" t="s">
        <v>5097</v>
      </c>
      <c r="T649" s="51">
        <v>30</v>
      </c>
      <c r="U649" s="3" t="s">
        <v>5224</v>
      </c>
      <c r="V649" s="41" t="str">
        <f>HYPERLINK("http://ictvonline.org/taxonomy/p/taxonomy-history?taxnode_id=20180324","ICTVonline=20180324")</f>
        <v>ICTVonline=20180324</v>
      </c>
    </row>
    <row r="650" spans="1:22">
      <c r="A650" s="3">
        <v>649</v>
      </c>
      <c r="J650" s="1" t="s">
        <v>1338</v>
      </c>
      <c r="L650" s="1" t="s">
        <v>1339</v>
      </c>
      <c r="M650" s="1" t="s">
        <v>1349</v>
      </c>
      <c r="N650" s="1" t="s">
        <v>2855</v>
      </c>
      <c r="P650" s="1" t="s">
        <v>2857</v>
      </c>
      <c r="Q650" s="3">
        <v>0</v>
      </c>
      <c r="R650" s="22" t="s">
        <v>2764</v>
      </c>
      <c r="S650" s="22" t="s">
        <v>5097</v>
      </c>
      <c r="T650" s="51">
        <v>30</v>
      </c>
      <c r="U650" s="3" t="s">
        <v>5224</v>
      </c>
      <c r="V650" s="41" t="str">
        <f>HYPERLINK("http://ictvonline.org/taxonomy/p/taxonomy-history?taxnode_id=20180325","ICTVonline=20180325")</f>
        <v>ICTVonline=20180325</v>
      </c>
    </row>
    <row r="651" spans="1:22">
      <c r="A651" s="3">
        <v>650</v>
      </c>
      <c r="J651" s="1" t="s">
        <v>1338</v>
      </c>
      <c r="L651" s="1" t="s">
        <v>1339</v>
      </c>
      <c r="M651" s="1" t="s">
        <v>1349</v>
      </c>
      <c r="N651" s="1" t="s">
        <v>2855</v>
      </c>
      <c r="P651" s="1" t="s">
        <v>2858</v>
      </c>
      <c r="Q651" s="3">
        <v>0</v>
      </c>
      <c r="R651" s="22" t="s">
        <v>2764</v>
      </c>
      <c r="S651" s="22" t="s">
        <v>5097</v>
      </c>
      <c r="T651" s="51">
        <v>30</v>
      </c>
      <c r="U651" s="3" t="s">
        <v>5224</v>
      </c>
      <c r="V651" s="41" t="str">
        <f>HYPERLINK("http://ictvonline.org/taxonomy/p/taxonomy-history?taxnode_id=20180326","ICTVonline=20180326")</f>
        <v>ICTVonline=20180326</v>
      </c>
    </row>
    <row r="652" spans="1:22">
      <c r="A652" s="3">
        <v>651</v>
      </c>
      <c r="J652" s="1" t="s">
        <v>1338</v>
      </c>
      <c r="L652" s="1" t="s">
        <v>1339</v>
      </c>
      <c r="M652" s="1" t="s">
        <v>1349</v>
      </c>
      <c r="N652" s="1" t="s">
        <v>2855</v>
      </c>
      <c r="P652" s="1" t="s">
        <v>2859</v>
      </c>
      <c r="Q652" s="3">
        <v>0</v>
      </c>
      <c r="R652" s="22" t="s">
        <v>2764</v>
      </c>
      <c r="S652" s="22" t="s">
        <v>5097</v>
      </c>
      <c r="T652" s="51">
        <v>30</v>
      </c>
      <c r="U652" s="3" t="s">
        <v>5224</v>
      </c>
      <c r="V652" s="41" t="str">
        <f>HYPERLINK("http://ictvonline.org/taxonomy/p/taxonomy-history?taxnode_id=20180327","ICTVonline=20180327")</f>
        <v>ICTVonline=20180327</v>
      </c>
    </row>
    <row r="653" spans="1:22">
      <c r="A653" s="3">
        <v>652</v>
      </c>
      <c r="J653" s="1" t="s">
        <v>1338</v>
      </c>
      <c r="L653" s="1" t="s">
        <v>1339</v>
      </c>
      <c r="M653" s="1" t="s">
        <v>1349</v>
      </c>
      <c r="N653" s="1" t="s">
        <v>2855</v>
      </c>
      <c r="P653" s="1" t="s">
        <v>4339</v>
      </c>
      <c r="Q653" s="3">
        <v>0</v>
      </c>
      <c r="R653" s="22" t="s">
        <v>2764</v>
      </c>
      <c r="S653" s="22" t="s">
        <v>5097</v>
      </c>
      <c r="T653" s="51">
        <v>31</v>
      </c>
      <c r="U653" s="3" t="s">
        <v>5217</v>
      </c>
      <c r="V653" s="41" t="str">
        <f>HYPERLINK("http://ictvonline.org/taxonomy/p/taxonomy-history?taxnode_id=20180328","ICTVonline=20180328")</f>
        <v>ICTVonline=20180328</v>
      </c>
    </row>
    <row r="654" spans="1:22">
      <c r="A654" s="3">
        <v>653</v>
      </c>
      <c r="J654" s="1" t="s">
        <v>1338</v>
      </c>
      <c r="L654" s="1" t="s">
        <v>1339</v>
      </c>
      <c r="M654" s="1" t="s">
        <v>1349</v>
      </c>
      <c r="N654" s="1" t="s">
        <v>2855</v>
      </c>
      <c r="P654" s="1" t="s">
        <v>2860</v>
      </c>
      <c r="Q654" s="3">
        <v>0</v>
      </c>
      <c r="R654" s="22" t="s">
        <v>2764</v>
      </c>
      <c r="S654" s="22" t="s">
        <v>5097</v>
      </c>
      <c r="T654" s="51">
        <v>30</v>
      </c>
      <c r="U654" s="3" t="s">
        <v>5224</v>
      </c>
      <c r="V654" s="41" t="str">
        <f>HYPERLINK("http://ictvonline.org/taxonomy/p/taxonomy-history?taxnode_id=20180329","ICTVonline=20180329")</f>
        <v>ICTVonline=20180329</v>
      </c>
    </row>
    <row r="655" spans="1:22">
      <c r="A655" s="3">
        <v>654</v>
      </c>
      <c r="J655" s="1" t="s">
        <v>1338</v>
      </c>
      <c r="L655" s="1" t="s">
        <v>1339</v>
      </c>
      <c r="M655" s="1" t="s">
        <v>1349</v>
      </c>
      <c r="N655" s="1" t="s">
        <v>2855</v>
      </c>
      <c r="P655" s="1" t="s">
        <v>2861</v>
      </c>
      <c r="Q655" s="3">
        <v>0</v>
      </c>
      <c r="R655" s="22" t="s">
        <v>2764</v>
      </c>
      <c r="S655" s="22" t="s">
        <v>5097</v>
      </c>
      <c r="T655" s="51">
        <v>30</v>
      </c>
      <c r="U655" s="3" t="s">
        <v>5224</v>
      </c>
      <c r="V655" s="41" t="str">
        <f>HYPERLINK("http://ictvonline.org/taxonomy/p/taxonomy-history?taxnode_id=20180330","ICTVonline=20180330")</f>
        <v>ICTVonline=20180330</v>
      </c>
    </row>
    <row r="656" spans="1:22">
      <c r="A656" s="3">
        <v>655</v>
      </c>
      <c r="J656" s="1" t="s">
        <v>1338</v>
      </c>
      <c r="L656" s="1" t="s">
        <v>1339</v>
      </c>
      <c r="M656" s="1" t="s">
        <v>1349</v>
      </c>
      <c r="N656" s="1" t="s">
        <v>2855</v>
      </c>
      <c r="P656" s="1" t="s">
        <v>2862</v>
      </c>
      <c r="Q656" s="3">
        <v>0</v>
      </c>
      <c r="R656" s="22" t="s">
        <v>2764</v>
      </c>
      <c r="S656" s="22" t="s">
        <v>5098</v>
      </c>
      <c r="T656" s="51">
        <v>30</v>
      </c>
      <c r="U656" s="3" t="s">
        <v>5216</v>
      </c>
      <c r="V656" s="41" t="str">
        <f>HYPERLINK("http://ictvonline.org/taxonomy/p/taxonomy-history?taxnode_id=20180331","ICTVonline=20180331")</f>
        <v>ICTVonline=20180331</v>
      </c>
    </row>
    <row r="657" spans="1:22">
      <c r="A657" s="3">
        <v>656</v>
      </c>
      <c r="J657" s="1" t="s">
        <v>1338</v>
      </c>
      <c r="L657" s="1" t="s">
        <v>1339</v>
      </c>
      <c r="M657" s="1" t="s">
        <v>1349</v>
      </c>
      <c r="N657" s="1" t="s">
        <v>2855</v>
      </c>
      <c r="P657" s="1" t="s">
        <v>2863</v>
      </c>
      <c r="Q657" s="3">
        <v>1</v>
      </c>
      <c r="R657" s="22" t="s">
        <v>2764</v>
      </c>
      <c r="S657" s="22" t="s">
        <v>5098</v>
      </c>
      <c r="T657" s="51">
        <v>30</v>
      </c>
      <c r="U657" s="3" t="s">
        <v>5216</v>
      </c>
      <c r="V657" s="41" t="str">
        <f>HYPERLINK("http://ictvonline.org/taxonomy/p/taxonomy-history?taxnode_id=20180332","ICTVonline=20180332")</f>
        <v>ICTVonline=20180332</v>
      </c>
    </row>
    <row r="658" spans="1:22">
      <c r="A658" s="3">
        <v>657</v>
      </c>
      <c r="J658" s="1" t="s">
        <v>1338</v>
      </c>
      <c r="L658" s="1" t="s">
        <v>1339</v>
      </c>
      <c r="M658" s="1" t="s">
        <v>1349</v>
      </c>
      <c r="N658" s="1" t="s">
        <v>2855</v>
      </c>
      <c r="P658" s="1" t="s">
        <v>2864</v>
      </c>
      <c r="Q658" s="3">
        <v>0</v>
      </c>
      <c r="R658" s="22" t="s">
        <v>2764</v>
      </c>
      <c r="S658" s="22" t="s">
        <v>5097</v>
      </c>
      <c r="T658" s="51">
        <v>30</v>
      </c>
      <c r="U658" s="3" t="s">
        <v>5224</v>
      </c>
      <c r="V658" s="41" t="str">
        <f>HYPERLINK("http://ictvonline.org/taxonomy/p/taxonomy-history?taxnode_id=20180333","ICTVonline=20180333")</f>
        <v>ICTVonline=20180333</v>
      </c>
    </row>
    <row r="659" spans="1:22">
      <c r="A659" s="3">
        <v>658</v>
      </c>
      <c r="J659" s="1" t="s">
        <v>1338</v>
      </c>
      <c r="L659" s="1" t="s">
        <v>1339</v>
      </c>
      <c r="M659" s="1" t="s">
        <v>1349</v>
      </c>
      <c r="N659" s="1" t="s">
        <v>2855</v>
      </c>
      <c r="P659" s="1" t="s">
        <v>2865</v>
      </c>
      <c r="Q659" s="3">
        <v>0</v>
      </c>
      <c r="R659" s="22" t="s">
        <v>2764</v>
      </c>
      <c r="S659" s="22" t="s">
        <v>5097</v>
      </c>
      <c r="T659" s="51">
        <v>30</v>
      </c>
      <c r="U659" s="3" t="s">
        <v>5224</v>
      </c>
      <c r="V659" s="41" t="str">
        <f>HYPERLINK("http://ictvonline.org/taxonomy/p/taxonomy-history?taxnode_id=20180334","ICTVonline=20180334")</f>
        <v>ICTVonline=20180334</v>
      </c>
    </row>
    <row r="660" spans="1:22">
      <c r="A660" s="3">
        <v>659</v>
      </c>
      <c r="J660" s="1" t="s">
        <v>1338</v>
      </c>
      <c r="L660" s="1" t="s">
        <v>1339</v>
      </c>
      <c r="M660" s="1" t="s">
        <v>1349</v>
      </c>
      <c r="N660" s="1" t="s">
        <v>2855</v>
      </c>
      <c r="P660" s="1" t="s">
        <v>2866</v>
      </c>
      <c r="Q660" s="3">
        <v>0</v>
      </c>
      <c r="R660" s="22" t="s">
        <v>2764</v>
      </c>
      <c r="S660" s="22" t="s">
        <v>5097</v>
      </c>
      <c r="T660" s="51">
        <v>30</v>
      </c>
      <c r="U660" s="3" t="s">
        <v>5224</v>
      </c>
      <c r="V660" s="41" t="str">
        <f>HYPERLINK("http://ictvonline.org/taxonomy/p/taxonomy-history?taxnode_id=20180335","ICTVonline=20180335")</f>
        <v>ICTVonline=20180335</v>
      </c>
    </row>
    <row r="661" spans="1:22">
      <c r="A661" s="3">
        <v>660</v>
      </c>
      <c r="J661" s="1" t="s">
        <v>1338</v>
      </c>
      <c r="L661" s="1" t="s">
        <v>1339</v>
      </c>
      <c r="M661" s="1" t="s">
        <v>1349</v>
      </c>
      <c r="N661" s="1" t="s">
        <v>2855</v>
      </c>
      <c r="P661" s="1" t="s">
        <v>2867</v>
      </c>
      <c r="Q661" s="3">
        <v>0</v>
      </c>
      <c r="R661" s="22" t="s">
        <v>2764</v>
      </c>
      <c r="S661" s="22" t="s">
        <v>5097</v>
      </c>
      <c r="T661" s="51">
        <v>30</v>
      </c>
      <c r="U661" s="3" t="s">
        <v>5224</v>
      </c>
      <c r="V661" s="41" t="str">
        <f>HYPERLINK("http://ictvonline.org/taxonomy/p/taxonomy-history?taxnode_id=20180336","ICTVonline=20180336")</f>
        <v>ICTVonline=20180336</v>
      </c>
    </row>
    <row r="662" spans="1:22">
      <c r="A662" s="3">
        <v>661</v>
      </c>
      <c r="J662" s="1" t="s">
        <v>1338</v>
      </c>
      <c r="L662" s="1" t="s">
        <v>1339</v>
      </c>
      <c r="M662" s="1" t="s">
        <v>1349</v>
      </c>
      <c r="P662" s="1" t="s">
        <v>2868</v>
      </c>
      <c r="Q662" s="3">
        <v>0</v>
      </c>
      <c r="R662" s="22" t="s">
        <v>2764</v>
      </c>
      <c r="S662" s="22" t="s">
        <v>5100</v>
      </c>
      <c r="T662" s="51">
        <v>30</v>
      </c>
      <c r="U662" s="3" t="s">
        <v>5216</v>
      </c>
      <c r="V662" s="41" t="str">
        <f>HYPERLINK("http://ictvonline.org/taxonomy/p/taxonomy-history?taxnode_id=20180338","ICTVonline=20180338")</f>
        <v>ICTVonline=20180338</v>
      </c>
    </row>
    <row r="663" spans="1:22">
      <c r="A663" s="3">
        <v>662</v>
      </c>
      <c r="J663" s="1" t="s">
        <v>1338</v>
      </c>
      <c r="L663" s="1" t="s">
        <v>1339</v>
      </c>
      <c r="M663" s="1" t="s">
        <v>1349</v>
      </c>
      <c r="P663" s="1" t="s">
        <v>2869</v>
      </c>
      <c r="Q663" s="3">
        <v>0</v>
      </c>
      <c r="R663" s="22" t="s">
        <v>2764</v>
      </c>
      <c r="S663" s="22" t="s">
        <v>5100</v>
      </c>
      <c r="T663" s="51">
        <v>30</v>
      </c>
      <c r="U663" s="3" t="s">
        <v>5216</v>
      </c>
      <c r="V663" s="41" t="str">
        <f>HYPERLINK("http://ictvonline.org/taxonomy/p/taxonomy-history?taxnode_id=20180339","ICTVonline=20180339")</f>
        <v>ICTVonline=20180339</v>
      </c>
    </row>
    <row r="664" spans="1:22">
      <c r="A664" s="3">
        <v>663</v>
      </c>
      <c r="J664" s="1" t="s">
        <v>1338</v>
      </c>
      <c r="L664" s="1" t="s">
        <v>1339</v>
      </c>
      <c r="M664" s="1" t="s">
        <v>1349</v>
      </c>
      <c r="P664" s="1" t="s">
        <v>2870</v>
      </c>
      <c r="Q664" s="3">
        <v>0</v>
      </c>
      <c r="R664" s="22" t="s">
        <v>2764</v>
      </c>
      <c r="S664" s="22" t="s">
        <v>5100</v>
      </c>
      <c r="T664" s="51">
        <v>30</v>
      </c>
      <c r="U664" s="3" t="s">
        <v>5216</v>
      </c>
      <c r="V664" s="41" t="str">
        <f>HYPERLINK("http://ictvonline.org/taxonomy/p/taxonomy-history?taxnode_id=20180340","ICTVonline=20180340")</f>
        <v>ICTVonline=20180340</v>
      </c>
    </row>
    <row r="665" spans="1:22">
      <c r="A665" s="3">
        <v>664</v>
      </c>
      <c r="J665" s="1" t="s">
        <v>1338</v>
      </c>
      <c r="L665" s="1" t="s">
        <v>1339</v>
      </c>
      <c r="M665" s="1" t="s">
        <v>1349</v>
      </c>
      <c r="P665" s="1" t="s">
        <v>2871</v>
      </c>
      <c r="Q665" s="3">
        <v>0</v>
      </c>
      <c r="R665" s="22" t="s">
        <v>2764</v>
      </c>
      <c r="S665" s="22" t="s">
        <v>5098</v>
      </c>
      <c r="T665" s="51">
        <v>30</v>
      </c>
      <c r="U665" s="3" t="s">
        <v>5224</v>
      </c>
      <c r="V665" s="41" t="str">
        <f>HYPERLINK("http://ictvonline.org/taxonomy/p/taxonomy-history?taxnode_id=20180341","ICTVonline=20180341")</f>
        <v>ICTVonline=20180341</v>
      </c>
    </row>
    <row r="666" spans="1:22">
      <c r="A666" s="3">
        <v>665</v>
      </c>
      <c r="J666" s="1" t="s">
        <v>1338</v>
      </c>
      <c r="L666" s="1" t="s">
        <v>1339</v>
      </c>
      <c r="M666" s="1" t="s">
        <v>1349</v>
      </c>
      <c r="P666" s="1" t="s">
        <v>2872</v>
      </c>
      <c r="Q666" s="3">
        <v>0</v>
      </c>
      <c r="R666" s="22" t="s">
        <v>2764</v>
      </c>
      <c r="S666" s="22" t="s">
        <v>5098</v>
      </c>
      <c r="T666" s="51">
        <v>30</v>
      </c>
      <c r="U666" s="3" t="s">
        <v>5224</v>
      </c>
      <c r="V666" s="41" t="str">
        <f>HYPERLINK("http://ictvonline.org/taxonomy/p/taxonomy-history?taxnode_id=20180342","ICTVonline=20180342")</f>
        <v>ICTVonline=20180342</v>
      </c>
    </row>
    <row r="667" spans="1:22">
      <c r="A667" s="3">
        <v>666</v>
      </c>
      <c r="J667" s="1" t="s">
        <v>1338</v>
      </c>
      <c r="L667" s="1" t="s">
        <v>1339</v>
      </c>
      <c r="M667" s="1" t="s">
        <v>1349</v>
      </c>
      <c r="P667" s="1" t="s">
        <v>2873</v>
      </c>
      <c r="Q667" s="3">
        <v>0</v>
      </c>
      <c r="R667" s="22" t="s">
        <v>2764</v>
      </c>
      <c r="S667" s="22" t="s">
        <v>5098</v>
      </c>
      <c r="T667" s="51">
        <v>30</v>
      </c>
      <c r="U667" s="3" t="s">
        <v>5224</v>
      </c>
      <c r="V667" s="41" t="str">
        <f>HYPERLINK("http://ictvonline.org/taxonomy/p/taxonomy-history?taxnode_id=20180343","ICTVonline=20180343")</f>
        <v>ICTVonline=20180343</v>
      </c>
    </row>
    <row r="668" spans="1:22">
      <c r="A668" s="3">
        <v>667</v>
      </c>
      <c r="J668" s="1" t="s">
        <v>1338</v>
      </c>
      <c r="L668" s="1" t="s">
        <v>1339</v>
      </c>
      <c r="M668" s="1" t="s">
        <v>1349</v>
      </c>
      <c r="P668" s="1" t="s">
        <v>2874</v>
      </c>
      <c r="Q668" s="3">
        <v>0</v>
      </c>
      <c r="R668" s="22" t="s">
        <v>2764</v>
      </c>
      <c r="S668" s="22" t="s">
        <v>5098</v>
      </c>
      <c r="T668" s="51">
        <v>30</v>
      </c>
      <c r="U668" s="3" t="s">
        <v>5224</v>
      </c>
      <c r="V668" s="41" t="str">
        <f>HYPERLINK("http://ictvonline.org/taxonomy/p/taxonomy-history?taxnode_id=20180344","ICTVonline=20180344")</f>
        <v>ICTVonline=20180344</v>
      </c>
    </row>
    <row r="669" spans="1:22">
      <c r="A669" s="3">
        <v>668</v>
      </c>
      <c r="J669" s="1" t="s">
        <v>1338</v>
      </c>
      <c r="L669" s="1" t="s">
        <v>1339</v>
      </c>
      <c r="M669" s="1" t="s">
        <v>2875</v>
      </c>
      <c r="N669" s="1" t="s">
        <v>2876</v>
      </c>
      <c r="P669" s="1" t="s">
        <v>2877</v>
      </c>
      <c r="Q669" s="3">
        <v>1</v>
      </c>
      <c r="R669" s="22" t="s">
        <v>2764</v>
      </c>
      <c r="S669" s="22" t="s">
        <v>5097</v>
      </c>
      <c r="T669" s="51">
        <v>30</v>
      </c>
      <c r="U669" s="3" t="s">
        <v>5229</v>
      </c>
      <c r="V669" s="41" t="str">
        <f>HYPERLINK("http://ictvonline.org/taxonomy/p/taxonomy-history?taxnode_id=20180347","ICTVonline=20180347")</f>
        <v>ICTVonline=20180347</v>
      </c>
    </row>
    <row r="670" spans="1:22">
      <c r="A670" s="3">
        <v>669</v>
      </c>
      <c r="J670" s="1" t="s">
        <v>1338</v>
      </c>
      <c r="L670" s="1" t="s">
        <v>1339</v>
      </c>
      <c r="M670" s="1" t="s">
        <v>2875</v>
      </c>
      <c r="N670" s="1" t="s">
        <v>2876</v>
      </c>
      <c r="P670" s="1" t="s">
        <v>2878</v>
      </c>
      <c r="Q670" s="3">
        <v>0</v>
      </c>
      <c r="R670" s="22" t="s">
        <v>2764</v>
      </c>
      <c r="S670" s="22" t="s">
        <v>5097</v>
      </c>
      <c r="T670" s="51">
        <v>30</v>
      </c>
      <c r="U670" s="3" t="s">
        <v>5229</v>
      </c>
      <c r="V670" s="41" t="str">
        <f>HYPERLINK("http://ictvonline.org/taxonomy/p/taxonomy-history?taxnode_id=20180348","ICTVonline=20180348")</f>
        <v>ICTVonline=20180348</v>
      </c>
    </row>
    <row r="671" spans="1:22">
      <c r="A671" s="3">
        <v>670</v>
      </c>
      <c r="J671" s="1" t="s">
        <v>1338</v>
      </c>
      <c r="L671" s="1" t="s">
        <v>1339</v>
      </c>
      <c r="M671" s="1" t="s">
        <v>2875</v>
      </c>
      <c r="N671" s="1" t="s">
        <v>2876</v>
      </c>
      <c r="P671" s="1" t="s">
        <v>2879</v>
      </c>
      <c r="Q671" s="3">
        <v>0</v>
      </c>
      <c r="R671" s="22" t="s">
        <v>2764</v>
      </c>
      <c r="S671" s="22" t="s">
        <v>5097</v>
      </c>
      <c r="T671" s="51">
        <v>30</v>
      </c>
      <c r="U671" s="3" t="s">
        <v>5229</v>
      </c>
      <c r="V671" s="41" t="str">
        <f>HYPERLINK("http://ictvonline.org/taxonomy/p/taxonomy-history?taxnode_id=20180349","ICTVonline=20180349")</f>
        <v>ICTVonline=20180349</v>
      </c>
    </row>
    <row r="672" spans="1:22">
      <c r="A672" s="3">
        <v>671</v>
      </c>
      <c r="J672" s="1" t="s">
        <v>1338</v>
      </c>
      <c r="L672" s="1" t="s">
        <v>1339</v>
      </c>
      <c r="M672" s="1" t="s">
        <v>2875</v>
      </c>
      <c r="N672" s="1" t="s">
        <v>2876</v>
      </c>
      <c r="P672" s="1" t="s">
        <v>4340</v>
      </c>
      <c r="Q672" s="3">
        <v>0</v>
      </c>
      <c r="R672" s="22" t="s">
        <v>2764</v>
      </c>
      <c r="S672" s="22" t="s">
        <v>5097</v>
      </c>
      <c r="T672" s="51">
        <v>31</v>
      </c>
      <c r="U672" s="3" t="s">
        <v>5217</v>
      </c>
      <c r="V672" s="41" t="str">
        <f>HYPERLINK("http://ictvonline.org/taxonomy/p/taxonomy-history?taxnode_id=20180350","ICTVonline=20180350")</f>
        <v>ICTVonline=20180350</v>
      </c>
    </row>
    <row r="673" spans="1:22">
      <c r="A673" s="3">
        <v>672</v>
      </c>
      <c r="J673" s="1" t="s">
        <v>1338</v>
      </c>
      <c r="L673" s="1" t="s">
        <v>1339</v>
      </c>
      <c r="M673" s="1" t="s">
        <v>2875</v>
      </c>
      <c r="N673" s="1" t="s">
        <v>2876</v>
      </c>
      <c r="P673" s="1" t="s">
        <v>4341</v>
      </c>
      <c r="Q673" s="3">
        <v>0</v>
      </c>
      <c r="R673" s="22" t="s">
        <v>2764</v>
      </c>
      <c r="S673" s="22" t="s">
        <v>5097</v>
      </c>
      <c r="T673" s="51">
        <v>31</v>
      </c>
      <c r="U673" s="3" t="s">
        <v>5217</v>
      </c>
      <c r="V673" s="41" t="str">
        <f>HYPERLINK("http://ictvonline.org/taxonomy/p/taxonomy-history?taxnode_id=20180351","ICTVonline=20180351")</f>
        <v>ICTVonline=20180351</v>
      </c>
    </row>
    <row r="674" spans="1:22">
      <c r="A674" s="3">
        <v>673</v>
      </c>
      <c r="J674" s="1" t="s">
        <v>1338</v>
      </c>
      <c r="L674" s="1" t="s">
        <v>1339</v>
      </c>
      <c r="M674" s="1" t="s">
        <v>2875</v>
      </c>
      <c r="N674" s="1" t="s">
        <v>2880</v>
      </c>
      <c r="P674" s="1" t="s">
        <v>2881</v>
      </c>
      <c r="Q674" s="3">
        <v>0</v>
      </c>
      <c r="R674" s="22" t="s">
        <v>2764</v>
      </c>
      <c r="S674" s="22" t="s">
        <v>5097</v>
      </c>
      <c r="T674" s="51">
        <v>30</v>
      </c>
      <c r="U674" s="3" t="s">
        <v>5229</v>
      </c>
      <c r="V674" s="41" t="str">
        <f>HYPERLINK("http://ictvonline.org/taxonomy/p/taxonomy-history?taxnode_id=20180353","ICTVonline=20180353")</f>
        <v>ICTVonline=20180353</v>
      </c>
    </row>
    <row r="675" spans="1:22">
      <c r="A675" s="3">
        <v>674</v>
      </c>
      <c r="J675" s="1" t="s">
        <v>1338</v>
      </c>
      <c r="L675" s="1" t="s">
        <v>1339</v>
      </c>
      <c r="M675" s="1" t="s">
        <v>2875</v>
      </c>
      <c r="N675" s="1" t="s">
        <v>2880</v>
      </c>
      <c r="P675" s="1" t="s">
        <v>2882</v>
      </c>
      <c r="Q675" s="3">
        <v>0</v>
      </c>
      <c r="R675" s="22" t="s">
        <v>2764</v>
      </c>
      <c r="S675" s="22" t="s">
        <v>5097</v>
      </c>
      <c r="T675" s="51">
        <v>30</v>
      </c>
      <c r="U675" s="3" t="s">
        <v>5229</v>
      </c>
      <c r="V675" s="41" t="str">
        <f>HYPERLINK("http://ictvonline.org/taxonomy/p/taxonomy-history?taxnode_id=20180354","ICTVonline=20180354")</f>
        <v>ICTVonline=20180354</v>
      </c>
    </row>
    <row r="676" spans="1:22">
      <c r="A676" s="3">
        <v>675</v>
      </c>
      <c r="J676" s="1" t="s">
        <v>1338</v>
      </c>
      <c r="L676" s="1" t="s">
        <v>1339</v>
      </c>
      <c r="M676" s="1" t="s">
        <v>2875</v>
      </c>
      <c r="N676" s="1" t="s">
        <v>2880</v>
      </c>
      <c r="P676" s="1" t="s">
        <v>2883</v>
      </c>
      <c r="Q676" s="3">
        <v>1</v>
      </c>
      <c r="R676" s="22" t="s">
        <v>2764</v>
      </c>
      <c r="S676" s="22" t="s">
        <v>5097</v>
      </c>
      <c r="T676" s="51">
        <v>30</v>
      </c>
      <c r="U676" s="3" t="s">
        <v>5229</v>
      </c>
      <c r="V676" s="41" t="str">
        <f>HYPERLINK("http://ictvonline.org/taxonomy/p/taxonomy-history?taxnode_id=20180355","ICTVonline=20180355")</f>
        <v>ICTVonline=20180355</v>
      </c>
    </row>
    <row r="677" spans="1:22">
      <c r="A677" s="3">
        <v>676</v>
      </c>
      <c r="J677" s="1" t="s">
        <v>1338</v>
      </c>
      <c r="L677" s="1" t="s">
        <v>1339</v>
      </c>
      <c r="M677" s="1" t="s">
        <v>2875</v>
      </c>
      <c r="N677" s="1" t="s">
        <v>2880</v>
      </c>
      <c r="P677" s="1" t="s">
        <v>2884</v>
      </c>
      <c r="Q677" s="3">
        <v>0</v>
      </c>
      <c r="R677" s="22" t="s">
        <v>2764</v>
      </c>
      <c r="S677" s="22" t="s">
        <v>5097</v>
      </c>
      <c r="T677" s="51">
        <v>30</v>
      </c>
      <c r="U677" s="3" t="s">
        <v>5229</v>
      </c>
      <c r="V677" s="41" t="str">
        <f>HYPERLINK("http://ictvonline.org/taxonomy/p/taxonomy-history?taxnode_id=20180356","ICTVonline=20180356")</f>
        <v>ICTVonline=20180356</v>
      </c>
    </row>
    <row r="678" spans="1:22">
      <c r="A678" s="3">
        <v>677</v>
      </c>
      <c r="J678" s="1" t="s">
        <v>1338</v>
      </c>
      <c r="L678" s="1" t="s">
        <v>1339</v>
      </c>
      <c r="M678" s="1" t="s">
        <v>2875</v>
      </c>
      <c r="N678" s="1" t="s">
        <v>2885</v>
      </c>
      <c r="P678" s="1" t="s">
        <v>2886</v>
      </c>
      <c r="Q678" s="3">
        <v>0</v>
      </c>
      <c r="R678" s="22" t="s">
        <v>2764</v>
      </c>
      <c r="S678" s="22" t="s">
        <v>5097</v>
      </c>
      <c r="T678" s="51">
        <v>30</v>
      </c>
      <c r="U678" s="3" t="s">
        <v>5229</v>
      </c>
      <c r="V678" s="41" t="str">
        <f>HYPERLINK("http://ictvonline.org/taxonomy/p/taxonomy-history?taxnode_id=20180358","ICTVonline=20180358")</f>
        <v>ICTVonline=20180358</v>
      </c>
    </row>
    <row r="679" spans="1:22">
      <c r="A679" s="3">
        <v>678</v>
      </c>
      <c r="J679" s="1" t="s">
        <v>1338</v>
      </c>
      <c r="L679" s="1" t="s">
        <v>1339</v>
      </c>
      <c r="M679" s="1" t="s">
        <v>2875</v>
      </c>
      <c r="N679" s="1" t="s">
        <v>2885</v>
      </c>
      <c r="P679" s="1" t="s">
        <v>2887</v>
      </c>
      <c r="Q679" s="3">
        <v>0</v>
      </c>
      <c r="R679" s="22" t="s">
        <v>2764</v>
      </c>
      <c r="S679" s="22" t="s">
        <v>5097</v>
      </c>
      <c r="T679" s="51">
        <v>30</v>
      </c>
      <c r="U679" s="3" t="s">
        <v>5229</v>
      </c>
      <c r="V679" s="41" t="str">
        <f>HYPERLINK("http://ictvonline.org/taxonomy/p/taxonomy-history?taxnode_id=20180359","ICTVonline=20180359")</f>
        <v>ICTVonline=20180359</v>
      </c>
    </row>
    <row r="680" spans="1:22">
      <c r="A680" s="3">
        <v>679</v>
      </c>
      <c r="J680" s="1" t="s">
        <v>1338</v>
      </c>
      <c r="L680" s="1" t="s">
        <v>1339</v>
      </c>
      <c r="M680" s="1" t="s">
        <v>2875</v>
      </c>
      <c r="N680" s="1" t="s">
        <v>2885</v>
      </c>
      <c r="P680" s="1" t="s">
        <v>2888</v>
      </c>
      <c r="Q680" s="3">
        <v>0</v>
      </c>
      <c r="R680" s="22" t="s">
        <v>2764</v>
      </c>
      <c r="S680" s="22" t="s">
        <v>5097</v>
      </c>
      <c r="T680" s="51">
        <v>30</v>
      </c>
      <c r="U680" s="3" t="s">
        <v>5229</v>
      </c>
      <c r="V680" s="41" t="str">
        <f>HYPERLINK("http://ictvonline.org/taxonomy/p/taxonomy-history?taxnode_id=20180360","ICTVonline=20180360")</f>
        <v>ICTVonline=20180360</v>
      </c>
    </row>
    <row r="681" spans="1:22">
      <c r="A681" s="3">
        <v>680</v>
      </c>
      <c r="J681" s="1" t="s">
        <v>1338</v>
      </c>
      <c r="L681" s="1" t="s">
        <v>1339</v>
      </c>
      <c r="M681" s="1" t="s">
        <v>2875</v>
      </c>
      <c r="N681" s="1" t="s">
        <v>2885</v>
      </c>
      <c r="P681" s="1" t="s">
        <v>2889</v>
      </c>
      <c r="Q681" s="3">
        <v>1</v>
      </c>
      <c r="R681" s="22" t="s">
        <v>2764</v>
      </c>
      <c r="S681" s="22" t="s">
        <v>5097</v>
      </c>
      <c r="T681" s="51">
        <v>30</v>
      </c>
      <c r="U681" s="3" t="s">
        <v>5229</v>
      </c>
      <c r="V681" s="41" t="str">
        <f>HYPERLINK("http://ictvonline.org/taxonomy/p/taxonomy-history?taxnode_id=20180361","ICTVonline=20180361")</f>
        <v>ICTVonline=20180361</v>
      </c>
    </row>
    <row r="682" spans="1:22">
      <c r="A682" s="3">
        <v>681</v>
      </c>
      <c r="J682" s="1" t="s">
        <v>1338</v>
      </c>
      <c r="L682" s="1" t="s">
        <v>1339</v>
      </c>
      <c r="N682" s="1" t="s">
        <v>4342</v>
      </c>
      <c r="P682" s="1" t="s">
        <v>4343</v>
      </c>
      <c r="Q682" s="3">
        <v>1</v>
      </c>
      <c r="R682" s="22" t="s">
        <v>2764</v>
      </c>
      <c r="S682" s="22" t="s">
        <v>5097</v>
      </c>
      <c r="T682" s="51">
        <v>31</v>
      </c>
      <c r="U682" s="3" t="s">
        <v>5230</v>
      </c>
      <c r="V682" s="41" t="str">
        <f>HYPERLINK("http://ictvonline.org/taxonomy/p/taxonomy-history?taxnode_id=20180364","ICTVonline=20180364")</f>
        <v>ICTVonline=20180364</v>
      </c>
    </row>
    <row r="683" spans="1:22">
      <c r="A683" s="3">
        <v>682</v>
      </c>
      <c r="J683" s="1" t="s">
        <v>1338</v>
      </c>
      <c r="L683" s="1" t="s">
        <v>1339</v>
      </c>
      <c r="N683" s="1" t="s">
        <v>4342</v>
      </c>
      <c r="P683" s="1" t="s">
        <v>4344</v>
      </c>
      <c r="Q683" s="3">
        <v>0</v>
      </c>
      <c r="R683" s="22" t="s">
        <v>2764</v>
      </c>
      <c r="S683" s="22" t="s">
        <v>5097</v>
      </c>
      <c r="T683" s="51">
        <v>31</v>
      </c>
      <c r="U683" s="3" t="s">
        <v>5230</v>
      </c>
      <c r="V683" s="41" t="str">
        <f>HYPERLINK("http://ictvonline.org/taxonomy/p/taxonomy-history?taxnode_id=20180365","ICTVonline=20180365")</f>
        <v>ICTVonline=20180365</v>
      </c>
    </row>
    <row r="684" spans="1:22">
      <c r="A684" s="3">
        <v>683</v>
      </c>
      <c r="J684" s="1" t="s">
        <v>1338</v>
      </c>
      <c r="L684" s="1" t="s">
        <v>1339</v>
      </c>
      <c r="N684" s="1" t="s">
        <v>2890</v>
      </c>
      <c r="P684" s="1" t="s">
        <v>2891</v>
      </c>
      <c r="Q684" s="3">
        <v>1</v>
      </c>
      <c r="R684" s="22" t="s">
        <v>2764</v>
      </c>
      <c r="S684" s="22" t="s">
        <v>5097</v>
      </c>
      <c r="T684" s="51">
        <v>30</v>
      </c>
      <c r="U684" s="3" t="s">
        <v>5231</v>
      </c>
      <c r="V684" s="41" t="str">
        <f>HYPERLINK("http://ictvonline.org/taxonomy/p/taxonomy-history?taxnode_id=20180367","ICTVonline=20180367")</f>
        <v>ICTVonline=20180367</v>
      </c>
    </row>
    <row r="685" spans="1:22">
      <c r="A685" s="3">
        <v>684</v>
      </c>
      <c r="J685" s="1" t="s">
        <v>1338</v>
      </c>
      <c r="L685" s="1" t="s">
        <v>1339</v>
      </c>
      <c r="N685" s="1" t="s">
        <v>2890</v>
      </c>
      <c r="P685" s="1" t="s">
        <v>2892</v>
      </c>
      <c r="Q685" s="3">
        <v>0</v>
      </c>
      <c r="R685" s="22" t="s">
        <v>2764</v>
      </c>
      <c r="S685" s="22" t="s">
        <v>5097</v>
      </c>
      <c r="T685" s="51">
        <v>30</v>
      </c>
      <c r="U685" s="3" t="s">
        <v>5231</v>
      </c>
      <c r="V685" s="41" t="str">
        <f>HYPERLINK("http://ictvonline.org/taxonomy/p/taxonomy-history?taxnode_id=20180368","ICTVonline=20180368")</f>
        <v>ICTVonline=20180368</v>
      </c>
    </row>
    <row r="686" spans="1:22">
      <c r="A686" s="3">
        <v>685</v>
      </c>
      <c r="J686" s="1" t="s">
        <v>1338</v>
      </c>
      <c r="L686" s="1" t="s">
        <v>1339</v>
      </c>
      <c r="N686" s="1" t="s">
        <v>2890</v>
      </c>
      <c r="P686" s="1" t="s">
        <v>2893</v>
      </c>
      <c r="Q686" s="3">
        <v>0</v>
      </c>
      <c r="R686" s="22" t="s">
        <v>2764</v>
      </c>
      <c r="S686" s="22" t="s">
        <v>5097</v>
      </c>
      <c r="T686" s="51">
        <v>30</v>
      </c>
      <c r="U686" s="3" t="s">
        <v>5231</v>
      </c>
      <c r="V686" s="41" t="str">
        <f>HYPERLINK("http://ictvonline.org/taxonomy/p/taxonomy-history?taxnode_id=20180369","ICTVonline=20180369")</f>
        <v>ICTVonline=20180369</v>
      </c>
    </row>
    <row r="687" spans="1:22">
      <c r="A687" s="3">
        <v>686</v>
      </c>
      <c r="J687" s="1" t="s">
        <v>1338</v>
      </c>
      <c r="L687" s="1" t="s">
        <v>1339</v>
      </c>
      <c r="N687" s="1" t="s">
        <v>4345</v>
      </c>
      <c r="P687" s="1" t="s">
        <v>4346</v>
      </c>
      <c r="Q687" s="3">
        <v>0</v>
      </c>
      <c r="R687" s="22" t="s">
        <v>2764</v>
      </c>
      <c r="S687" s="22" t="s">
        <v>5097</v>
      </c>
      <c r="T687" s="51">
        <v>31</v>
      </c>
      <c r="U687" s="3" t="s">
        <v>5232</v>
      </c>
      <c r="V687" s="41" t="str">
        <f>HYPERLINK("http://ictvonline.org/taxonomy/p/taxonomy-history?taxnode_id=20180371","ICTVonline=20180371")</f>
        <v>ICTVonline=20180371</v>
      </c>
    </row>
    <row r="688" spans="1:22">
      <c r="A688" s="3">
        <v>687</v>
      </c>
      <c r="J688" s="1" t="s">
        <v>1338</v>
      </c>
      <c r="L688" s="1" t="s">
        <v>1339</v>
      </c>
      <c r="N688" s="1" t="s">
        <v>4345</v>
      </c>
      <c r="P688" s="1" t="s">
        <v>4347</v>
      </c>
      <c r="Q688" s="3">
        <v>1</v>
      </c>
      <c r="R688" s="22" t="s">
        <v>2764</v>
      </c>
      <c r="S688" s="22" t="s">
        <v>5097</v>
      </c>
      <c r="T688" s="51">
        <v>31</v>
      </c>
      <c r="U688" s="3" t="s">
        <v>5232</v>
      </c>
      <c r="V688" s="41" t="str">
        <f>HYPERLINK("http://ictvonline.org/taxonomy/p/taxonomy-history?taxnode_id=20180372","ICTVonline=20180372")</f>
        <v>ICTVonline=20180372</v>
      </c>
    </row>
    <row r="689" spans="1:22">
      <c r="A689" s="3">
        <v>688</v>
      </c>
      <c r="J689" s="1" t="s">
        <v>1338</v>
      </c>
      <c r="L689" s="1" t="s">
        <v>1339</v>
      </c>
      <c r="N689" s="1" t="s">
        <v>4345</v>
      </c>
      <c r="P689" s="1" t="s">
        <v>4348</v>
      </c>
      <c r="Q689" s="3">
        <v>0</v>
      </c>
      <c r="R689" s="22" t="s">
        <v>2764</v>
      </c>
      <c r="S689" s="22" t="s">
        <v>5097</v>
      </c>
      <c r="T689" s="51">
        <v>31</v>
      </c>
      <c r="U689" s="3" t="s">
        <v>5232</v>
      </c>
      <c r="V689" s="41" t="str">
        <f>HYPERLINK("http://ictvonline.org/taxonomy/p/taxonomy-history?taxnode_id=20180373","ICTVonline=20180373")</f>
        <v>ICTVonline=20180373</v>
      </c>
    </row>
    <row r="690" spans="1:22">
      <c r="A690" s="3">
        <v>689</v>
      </c>
      <c r="J690" s="1" t="s">
        <v>1338</v>
      </c>
      <c r="L690" s="1" t="s">
        <v>1339</v>
      </c>
      <c r="N690" s="1" t="s">
        <v>4345</v>
      </c>
      <c r="P690" s="1" t="s">
        <v>4349</v>
      </c>
      <c r="Q690" s="3">
        <v>0</v>
      </c>
      <c r="R690" s="22" t="s">
        <v>2764</v>
      </c>
      <c r="S690" s="22" t="s">
        <v>5097</v>
      </c>
      <c r="T690" s="51">
        <v>31</v>
      </c>
      <c r="U690" s="3" t="s">
        <v>5232</v>
      </c>
      <c r="V690" s="41" t="str">
        <f>HYPERLINK("http://ictvonline.org/taxonomy/p/taxonomy-history?taxnode_id=20180374","ICTVonline=20180374")</f>
        <v>ICTVonline=20180374</v>
      </c>
    </row>
    <row r="691" spans="1:22">
      <c r="A691" s="3">
        <v>690</v>
      </c>
      <c r="J691" s="1" t="s">
        <v>1338</v>
      </c>
      <c r="L691" s="1" t="s">
        <v>1339</v>
      </c>
      <c r="N691" s="1" t="s">
        <v>4345</v>
      </c>
      <c r="P691" s="1" t="s">
        <v>4350</v>
      </c>
      <c r="Q691" s="3">
        <v>0</v>
      </c>
      <c r="R691" s="22" t="s">
        <v>2764</v>
      </c>
      <c r="S691" s="22" t="s">
        <v>5097</v>
      </c>
      <c r="T691" s="51">
        <v>31</v>
      </c>
      <c r="U691" s="3" t="s">
        <v>5232</v>
      </c>
      <c r="V691" s="41" t="str">
        <f>HYPERLINK("http://ictvonline.org/taxonomy/p/taxonomy-history?taxnode_id=20180375","ICTVonline=20180375")</f>
        <v>ICTVonline=20180375</v>
      </c>
    </row>
    <row r="692" spans="1:22">
      <c r="A692" s="3">
        <v>691</v>
      </c>
      <c r="J692" s="1" t="s">
        <v>1338</v>
      </c>
      <c r="L692" s="1" t="s">
        <v>1339</v>
      </c>
      <c r="N692" s="1" t="s">
        <v>2894</v>
      </c>
      <c r="P692" s="1" t="s">
        <v>2895</v>
      </c>
      <c r="Q692" s="3">
        <v>0</v>
      </c>
      <c r="R692" s="22" t="s">
        <v>2764</v>
      </c>
      <c r="S692" s="22" t="s">
        <v>5097</v>
      </c>
      <c r="T692" s="51">
        <v>30</v>
      </c>
      <c r="U692" s="3" t="s">
        <v>5233</v>
      </c>
      <c r="V692" s="41" t="str">
        <f>HYPERLINK("http://ictvonline.org/taxonomy/p/taxonomy-history?taxnode_id=20180377","ICTVonline=20180377")</f>
        <v>ICTVonline=20180377</v>
      </c>
    </row>
    <row r="693" spans="1:22">
      <c r="A693" s="3">
        <v>692</v>
      </c>
      <c r="J693" s="1" t="s">
        <v>1338</v>
      </c>
      <c r="L693" s="1" t="s">
        <v>1339</v>
      </c>
      <c r="N693" s="1" t="s">
        <v>2894</v>
      </c>
      <c r="P693" s="1" t="s">
        <v>2896</v>
      </c>
      <c r="Q693" s="3">
        <v>0</v>
      </c>
      <c r="R693" s="22" t="s">
        <v>2764</v>
      </c>
      <c r="S693" s="22" t="s">
        <v>5097</v>
      </c>
      <c r="T693" s="51">
        <v>30</v>
      </c>
      <c r="U693" s="3" t="s">
        <v>5233</v>
      </c>
      <c r="V693" s="41" t="str">
        <f>HYPERLINK("http://ictvonline.org/taxonomy/p/taxonomy-history?taxnode_id=20180378","ICTVonline=20180378")</f>
        <v>ICTVonline=20180378</v>
      </c>
    </row>
    <row r="694" spans="1:22">
      <c r="A694" s="3">
        <v>693</v>
      </c>
      <c r="J694" s="1" t="s">
        <v>1338</v>
      </c>
      <c r="L694" s="1" t="s">
        <v>1339</v>
      </c>
      <c r="N694" s="1" t="s">
        <v>2894</v>
      </c>
      <c r="P694" s="1" t="s">
        <v>2897</v>
      </c>
      <c r="Q694" s="3">
        <v>0</v>
      </c>
      <c r="R694" s="22" t="s">
        <v>2764</v>
      </c>
      <c r="S694" s="22" t="s">
        <v>5097</v>
      </c>
      <c r="T694" s="51">
        <v>30</v>
      </c>
      <c r="U694" s="3" t="s">
        <v>5233</v>
      </c>
      <c r="V694" s="41" t="str">
        <f>HYPERLINK("http://ictvonline.org/taxonomy/p/taxonomy-history?taxnode_id=20180379","ICTVonline=20180379")</f>
        <v>ICTVonline=20180379</v>
      </c>
    </row>
    <row r="695" spans="1:22">
      <c r="A695" s="3">
        <v>694</v>
      </c>
      <c r="J695" s="1" t="s">
        <v>1338</v>
      </c>
      <c r="L695" s="1" t="s">
        <v>1339</v>
      </c>
      <c r="N695" s="1" t="s">
        <v>2894</v>
      </c>
      <c r="P695" s="1" t="s">
        <v>2898</v>
      </c>
      <c r="Q695" s="3">
        <v>1</v>
      </c>
      <c r="R695" s="22" t="s">
        <v>2764</v>
      </c>
      <c r="S695" s="22" t="s">
        <v>5097</v>
      </c>
      <c r="T695" s="51">
        <v>30</v>
      </c>
      <c r="U695" s="3" t="s">
        <v>5233</v>
      </c>
      <c r="V695" s="41" t="str">
        <f>HYPERLINK("http://ictvonline.org/taxonomy/p/taxonomy-history?taxnode_id=20180380","ICTVonline=20180380")</f>
        <v>ICTVonline=20180380</v>
      </c>
    </row>
    <row r="696" spans="1:22">
      <c r="A696" s="3">
        <v>695</v>
      </c>
      <c r="J696" s="1" t="s">
        <v>1338</v>
      </c>
      <c r="L696" s="1" t="s">
        <v>1339</v>
      </c>
      <c r="N696" s="1" t="s">
        <v>4351</v>
      </c>
      <c r="P696" s="1" t="s">
        <v>4352</v>
      </c>
      <c r="Q696" s="3">
        <v>1</v>
      </c>
      <c r="R696" s="22" t="s">
        <v>2764</v>
      </c>
      <c r="S696" s="22" t="s">
        <v>5097</v>
      </c>
      <c r="T696" s="51">
        <v>31</v>
      </c>
      <c r="U696" s="3" t="s">
        <v>5234</v>
      </c>
      <c r="V696" s="41" t="str">
        <f>HYPERLINK("http://ictvonline.org/taxonomy/p/taxonomy-history?taxnode_id=20180382","ICTVonline=20180382")</f>
        <v>ICTVonline=20180382</v>
      </c>
    </row>
    <row r="697" spans="1:22">
      <c r="A697" s="3">
        <v>696</v>
      </c>
      <c r="J697" s="1" t="s">
        <v>1338</v>
      </c>
      <c r="L697" s="1" t="s">
        <v>1339</v>
      </c>
      <c r="N697" s="1" t="s">
        <v>4351</v>
      </c>
      <c r="P697" s="1" t="s">
        <v>4353</v>
      </c>
      <c r="Q697" s="3">
        <v>0</v>
      </c>
      <c r="R697" s="22" t="s">
        <v>2764</v>
      </c>
      <c r="S697" s="22" t="s">
        <v>5097</v>
      </c>
      <c r="T697" s="51">
        <v>31</v>
      </c>
      <c r="U697" s="3" t="s">
        <v>5234</v>
      </c>
      <c r="V697" s="41" t="str">
        <f>HYPERLINK("http://ictvonline.org/taxonomy/p/taxonomy-history?taxnode_id=20180383","ICTVonline=20180383")</f>
        <v>ICTVonline=20180383</v>
      </c>
    </row>
    <row r="698" spans="1:22">
      <c r="A698" s="3">
        <v>697</v>
      </c>
      <c r="J698" s="1" t="s">
        <v>1338</v>
      </c>
      <c r="L698" s="1" t="s">
        <v>1339</v>
      </c>
      <c r="N698" s="1" t="s">
        <v>2899</v>
      </c>
      <c r="P698" s="1" t="s">
        <v>4354</v>
      </c>
      <c r="Q698" s="3">
        <v>0</v>
      </c>
      <c r="R698" s="22" t="s">
        <v>2764</v>
      </c>
      <c r="S698" s="22" t="s">
        <v>5097</v>
      </c>
      <c r="T698" s="51">
        <v>31</v>
      </c>
      <c r="U698" s="3" t="s">
        <v>5217</v>
      </c>
      <c r="V698" s="41" t="str">
        <f>HYPERLINK("http://ictvonline.org/taxonomy/p/taxonomy-history?taxnode_id=20180385","ICTVonline=20180385")</f>
        <v>ICTVonline=20180385</v>
      </c>
    </row>
    <row r="699" spans="1:22">
      <c r="A699" s="3">
        <v>698</v>
      </c>
      <c r="J699" s="1" t="s">
        <v>1338</v>
      </c>
      <c r="L699" s="1" t="s">
        <v>1339</v>
      </c>
      <c r="N699" s="1" t="s">
        <v>2899</v>
      </c>
      <c r="P699" s="1" t="s">
        <v>2900</v>
      </c>
      <c r="Q699" s="3">
        <v>1</v>
      </c>
      <c r="R699" s="22" t="s">
        <v>2764</v>
      </c>
      <c r="S699" s="22" t="s">
        <v>5097</v>
      </c>
      <c r="T699" s="51">
        <v>30</v>
      </c>
      <c r="U699" s="3" t="s">
        <v>5235</v>
      </c>
      <c r="V699" s="41" t="str">
        <f>HYPERLINK("http://ictvonline.org/taxonomy/p/taxonomy-history?taxnode_id=20180386","ICTVonline=20180386")</f>
        <v>ICTVonline=20180386</v>
      </c>
    </row>
    <row r="700" spans="1:22">
      <c r="A700" s="3">
        <v>699</v>
      </c>
      <c r="J700" s="1" t="s">
        <v>1338</v>
      </c>
      <c r="L700" s="1" t="s">
        <v>1339</v>
      </c>
      <c r="N700" s="1" t="s">
        <v>2899</v>
      </c>
      <c r="P700" s="1" t="s">
        <v>2901</v>
      </c>
      <c r="Q700" s="3">
        <v>0</v>
      </c>
      <c r="R700" s="22" t="s">
        <v>2764</v>
      </c>
      <c r="S700" s="22" t="s">
        <v>5097</v>
      </c>
      <c r="T700" s="51">
        <v>30</v>
      </c>
      <c r="U700" s="3" t="s">
        <v>5235</v>
      </c>
      <c r="V700" s="41" t="str">
        <f>HYPERLINK("http://ictvonline.org/taxonomy/p/taxonomy-history?taxnode_id=20180387","ICTVonline=20180387")</f>
        <v>ICTVonline=20180387</v>
      </c>
    </row>
    <row r="701" spans="1:22">
      <c r="A701" s="3">
        <v>700</v>
      </c>
      <c r="J701" s="1" t="s">
        <v>1338</v>
      </c>
      <c r="L701" s="1" t="s">
        <v>1339</v>
      </c>
      <c r="N701" s="1" t="s">
        <v>2899</v>
      </c>
      <c r="P701" s="1" t="s">
        <v>2902</v>
      </c>
      <c r="Q701" s="3">
        <v>0</v>
      </c>
      <c r="R701" s="22" t="s">
        <v>2764</v>
      </c>
      <c r="S701" s="22" t="s">
        <v>5097</v>
      </c>
      <c r="T701" s="51">
        <v>30</v>
      </c>
      <c r="U701" s="3" t="s">
        <v>5235</v>
      </c>
      <c r="V701" s="41" t="str">
        <f>HYPERLINK("http://ictvonline.org/taxonomy/p/taxonomy-history?taxnode_id=20180388","ICTVonline=20180388")</f>
        <v>ICTVonline=20180388</v>
      </c>
    </row>
    <row r="702" spans="1:22">
      <c r="A702" s="3">
        <v>701</v>
      </c>
      <c r="J702" s="1" t="s">
        <v>1338</v>
      </c>
      <c r="L702" s="1" t="s">
        <v>1339</v>
      </c>
      <c r="N702" s="1" t="s">
        <v>2899</v>
      </c>
      <c r="P702" s="1" t="s">
        <v>2903</v>
      </c>
      <c r="Q702" s="3">
        <v>0</v>
      </c>
      <c r="R702" s="22" t="s">
        <v>2764</v>
      </c>
      <c r="S702" s="22" t="s">
        <v>5097</v>
      </c>
      <c r="T702" s="51">
        <v>30</v>
      </c>
      <c r="U702" s="3" t="s">
        <v>5235</v>
      </c>
      <c r="V702" s="41" t="str">
        <f>HYPERLINK("http://ictvonline.org/taxonomy/p/taxonomy-history?taxnode_id=20180389","ICTVonline=20180389")</f>
        <v>ICTVonline=20180389</v>
      </c>
    </row>
    <row r="703" spans="1:22">
      <c r="A703" s="3">
        <v>702</v>
      </c>
      <c r="J703" s="1" t="s">
        <v>1338</v>
      </c>
      <c r="L703" s="1" t="s">
        <v>1339</v>
      </c>
      <c r="N703" s="1" t="s">
        <v>2899</v>
      </c>
      <c r="P703" s="1" t="s">
        <v>2904</v>
      </c>
      <c r="Q703" s="3">
        <v>0</v>
      </c>
      <c r="R703" s="22" t="s">
        <v>2764</v>
      </c>
      <c r="S703" s="22" t="s">
        <v>5097</v>
      </c>
      <c r="T703" s="51">
        <v>30</v>
      </c>
      <c r="U703" s="3" t="s">
        <v>5235</v>
      </c>
      <c r="V703" s="41" t="str">
        <f>HYPERLINK("http://ictvonline.org/taxonomy/p/taxonomy-history?taxnode_id=20180390","ICTVonline=20180390")</f>
        <v>ICTVonline=20180390</v>
      </c>
    </row>
    <row r="704" spans="1:22">
      <c r="A704" s="3">
        <v>703</v>
      </c>
      <c r="J704" s="1" t="s">
        <v>1338</v>
      </c>
      <c r="L704" s="1" t="s">
        <v>1339</v>
      </c>
      <c r="N704" s="1" t="s">
        <v>2905</v>
      </c>
      <c r="P704" s="1" t="s">
        <v>2906</v>
      </c>
      <c r="Q704" s="3">
        <v>1</v>
      </c>
      <c r="R704" s="22" t="s">
        <v>2764</v>
      </c>
      <c r="S704" s="22" t="s">
        <v>5097</v>
      </c>
      <c r="T704" s="51">
        <v>30</v>
      </c>
      <c r="U704" s="3" t="s">
        <v>5236</v>
      </c>
      <c r="V704" s="41" t="str">
        <f>HYPERLINK("http://ictvonline.org/taxonomy/p/taxonomy-history?taxnode_id=20180392","ICTVonline=20180392")</f>
        <v>ICTVonline=20180392</v>
      </c>
    </row>
    <row r="705" spans="1:22">
      <c r="A705" s="3">
        <v>704</v>
      </c>
      <c r="J705" s="1" t="s">
        <v>1338</v>
      </c>
      <c r="L705" s="1" t="s">
        <v>1339</v>
      </c>
      <c r="N705" s="1" t="s">
        <v>2905</v>
      </c>
      <c r="P705" s="1" t="s">
        <v>2907</v>
      </c>
      <c r="Q705" s="3">
        <v>0</v>
      </c>
      <c r="R705" s="22" t="s">
        <v>2764</v>
      </c>
      <c r="S705" s="22" t="s">
        <v>5097</v>
      </c>
      <c r="T705" s="51">
        <v>30</v>
      </c>
      <c r="U705" s="3" t="s">
        <v>5236</v>
      </c>
      <c r="V705" s="41" t="str">
        <f>HYPERLINK("http://ictvonline.org/taxonomy/p/taxonomy-history?taxnode_id=20180393","ICTVonline=20180393")</f>
        <v>ICTVonline=20180393</v>
      </c>
    </row>
    <row r="706" spans="1:22">
      <c r="A706" s="3">
        <v>705</v>
      </c>
      <c r="J706" s="1" t="s">
        <v>1338</v>
      </c>
      <c r="L706" s="1" t="s">
        <v>1339</v>
      </c>
      <c r="N706" s="1" t="s">
        <v>2908</v>
      </c>
      <c r="P706" s="1" t="s">
        <v>2909</v>
      </c>
      <c r="Q706" s="3">
        <v>1</v>
      </c>
      <c r="R706" s="22" t="s">
        <v>2764</v>
      </c>
      <c r="S706" s="22" t="s">
        <v>5097</v>
      </c>
      <c r="T706" s="51">
        <v>30</v>
      </c>
      <c r="U706" s="3" t="s">
        <v>5237</v>
      </c>
      <c r="V706" s="41" t="str">
        <f>HYPERLINK("http://ictvonline.org/taxonomy/p/taxonomy-history?taxnode_id=20180395","ICTVonline=20180395")</f>
        <v>ICTVonline=20180395</v>
      </c>
    </row>
    <row r="707" spans="1:22">
      <c r="A707" s="3">
        <v>706</v>
      </c>
      <c r="J707" s="1" t="s">
        <v>1338</v>
      </c>
      <c r="L707" s="1" t="s">
        <v>1339</v>
      </c>
      <c r="N707" s="1" t="s">
        <v>2908</v>
      </c>
      <c r="P707" s="1" t="s">
        <v>2910</v>
      </c>
      <c r="Q707" s="3">
        <v>0</v>
      </c>
      <c r="R707" s="22" t="s">
        <v>2764</v>
      </c>
      <c r="S707" s="22" t="s">
        <v>5097</v>
      </c>
      <c r="T707" s="51">
        <v>30</v>
      </c>
      <c r="U707" s="3" t="s">
        <v>5237</v>
      </c>
      <c r="V707" s="41" t="str">
        <f>HYPERLINK("http://ictvonline.org/taxonomy/p/taxonomy-history?taxnode_id=20180396","ICTVonline=20180396")</f>
        <v>ICTVonline=20180396</v>
      </c>
    </row>
    <row r="708" spans="1:22">
      <c r="A708" s="3">
        <v>707</v>
      </c>
      <c r="J708" s="1" t="s">
        <v>1338</v>
      </c>
      <c r="L708" s="1" t="s">
        <v>1339</v>
      </c>
      <c r="N708" s="1" t="s">
        <v>2908</v>
      </c>
      <c r="P708" s="1" t="s">
        <v>2911</v>
      </c>
      <c r="Q708" s="3">
        <v>0</v>
      </c>
      <c r="R708" s="22" t="s">
        <v>2764</v>
      </c>
      <c r="S708" s="22" t="s">
        <v>5097</v>
      </c>
      <c r="T708" s="51">
        <v>30</v>
      </c>
      <c r="U708" s="3" t="s">
        <v>5237</v>
      </c>
      <c r="V708" s="41" t="str">
        <f>HYPERLINK("http://ictvonline.org/taxonomy/p/taxonomy-history?taxnode_id=20180397","ICTVonline=20180397")</f>
        <v>ICTVonline=20180397</v>
      </c>
    </row>
    <row r="709" spans="1:22">
      <c r="A709" s="3">
        <v>708</v>
      </c>
      <c r="J709" s="1" t="s">
        <v>1338</v>
      </c>
      <c r="L709" s="1" t="s">
        <v>1339</v>
      </c>
      <c r="N709" s="1" t="s">
        <v>2908</v>
      </c>
      <c r="P709" s="1" t="s">
        <v>4355</v>
      </c>
      <c r="Q709" s="3">
        <v>0</v>
      </c>
      <c r="R709" s="22" t="s">
        <v>2764</v>
      </c>
      <c r="S709" s="22" t="s">
        <v>5097</v>
      </c>
      <c r="T709" s="51">
        <v>31</v>
      </c>
      <c r="U709" s="3" t="s">
        <v>5217</v>
      </c>
      <c r="V709" s="41" t="str">
        <f>HYPERLINK("http://ictvonline.org/taxonomy/p/taxonomy-history?taxnode_id=20180398","ICTVonline=20180398")</f>
        <v>ICTVonline=20180398</v>
      </c>
    </row>
    <row r="710" spans="1:22">
      <c r="A710" s="3">
        <v>709</v>
      </c>
      <c r="J710" s="1" t="s">
        <v>1338</v>
      </c>
      <c r="L710" s="1" t="s">
        <v>1339</v>
      </c>
      <c r="N710" s="1" t="s">
        <v>2908</v>
      </c>
      <c r="P710" s="1" t="s">
        <v>4356</v>
      </c>
      <c r="Q710" s="3">
        <v>0</v>
      </c>
      <c r="R710" s="22" t="s">
        <v>2764</v>
      </c>
      <c r="S710" s="22" t="s">
        <v>5097</v>
      </c>
      <c r="T710" s="51">
        <v>31</v>
      </c>
      <c r="U710" s="3" t="s">
        <v>5217</v>
      </c>
      <c r="V710" s="41" t="str">
        <f>HYPERLINK("http://ictvonline.org/taxonomy/p/taxonomy-history?taxnode_id=20180399","ICTVonline=20180399")</f>
        <v>ICTVonline=20180399</v>
      </c>
    </row>
    <row r="711" spans="1:22">
      <c r="A711" s="3">
        <v>710</v>
      </c>
      <c r="J711" s="1" t="s">
        <v>1338</v>
      </c>
      <c r="L711" s="1" t="s">
        <v>1339</v>
      </c>
      <c r="N711" s="1" t="s">
        <v>2908</v>
      </c>
      <c r="P711" s="1" t="s">
        <v>2912</v>
      </c>
      <c r="Q711" s="3">
        <v>0</v>
      </c>
      <c r="R711" s="22" t="s">
        <v>2764</v>
      </c>
      <c r="S711" s="22" t="s">
        <v>5097</v>
      </c>
      <c r="T711" s="51">
        <v>30</v>
      </c>
      <c r="U711" s="3" t="s">
        <v>5237</v>
      </c>
      <c r="V711" s="41" t="str">
        <f>HYPERLINK("http://ictvonline.org/taxonomy/p/taxonomy-history?taxnode_id=20180400","ICTVonline=20180400")</f>
        <v>ICTVonline=20180400</v>
      </c>
    </row>
    <row r="712" spans="1:22">
      <c r="A712" s="3">
        <v>711</v>
      </c>
      <c r="J712" s="1" t="s">
        <v>1338</v>
      </c>
      <c r="L712" s="1" t="s">
        <v>1339</v>
      </c>
      <c r="N712" s="1" t="s">
        <v>2913</v>
      </c>
      <c r="P712" s="1" t="s">
        <v>2914</v>
      </c>
      <c r="Q712" s="3">
        <v>0</v>
      </c>
      <c r="R712" s="22" t="s">
        <v>2764</v>
      </c>
      <c r="S712" s="22" t="s">
        <v>5098</v>
      </c>
      <c r="T712" s="51">
        <v>30</v>
      </c>
      <c r="U712" s="3" t="s">
        <v>5216</v>
      </c>
      <c r="V712" s="41" t="str">
        <f>HYPERLINK("http://ictvonline.org/taxonomy/p/taxonomy-history?taxnode_id=20180402","ICTVonline=20180402")</f>
        <v>ICTVonline=20180402</v>
      </c>
    </row>
    <row r="713" spans="1:22">
      <c r="A713" s="3">
        <v>712</v>
      </c>
      <c r="J713" s="1" t="s">
        <v>1338</v>
      </c>
      <c r="L713" s="1" t="s">
        <v>1339</v>
      </c>
      <c r="N713" s="1" t="s">
        <v>2913</v>
      </c>
      <c r="P713" s="1" t="s">
        <v>2915</v>
      </c>
      <c r="Q713" s="3">
        <v>0</v>
      </c>
      <c r="R713" s="22" t="s">
        <v>2764</v>
      </c>
      <c r="S713" s="22" t="s">
        <v>5098</v>
      </c>
      <c r="T713" s="51">
        <v>30</v>
      </c>
      <c r="U713" s="3" t="s">
        <v>5216</v>
      </c>
      <c r="V713" s="41" t="str">
        <f>HYPERLINK("http://ictvonline.org/taxonomy/p/taxonomy-history?taxnode_id=20180403","ICTVonline=20180403")</f>
        <v>ICTVonline=20180403</v>
      </c>
    </row>
    <row r="714" spans="1:22">
      <c r="A714" s="3">
        <v>713</v>
      </c>
      <c r="J714" s="1" t="s">
        <v>1338</v>
      </c>
      <c r="L714" s="1" t="s">
        <v>1339</v>
      </c>
      <c r="N714" s="1" t="s">
        <v>2913</v>
      </c>
      <c r="P714" s="1" t="s">
        <v>2916</v>
      </c>
      <c r="Q714" s="3">
        <v>1</v>
      </c>
      <c r="R714" s="22" t="s">
        <v>2764</v>
      </c>
      <c r="S714" s="22" t="s">
        <v>5098</v>
      </c>
      <c r="T714" s="51">
        <v>30</v>
      </c>
      <c r="U714" s="3" t="s">
        <v>5216</v>
      </c>
      <c r="V714" s="41" t="str">
        <f>HYPERLINK("http://ictvonline.org/taxonomy/p/taxonomy-history?taxnode_id=20180404","ICTVonline=20180404")</f>
        <v>ICTVonline=20180404</v>
      </c>
    </row>
    <row r="715" spans="1:22">
      <c r="A715" s="3">
        <v>714</v>
      </c>
      <c r="J715" s="1" t="s">
        <v>1338</v>
      </c>
      <c r="L715" s="1" t="s">
        <v>1339</v>
      </c>
      <c r="N715" s="1" t="s">
        <v>2913</v>
      </c>
      <c r="P715" s="1" t="s">
        <v>2917</v>
      </c>
      <c r="Q715" s="3">
        <v>0</v>
      </c>
      <c r="R715" s="22" t="s">
        <v>2764</v>
      </c>
      <c r="S715" s="22" t="s">
        <v>5098</v>
      </c>
      <c r="T715" s="51">
        <v>30</v>
      </c>
      <c r="U715" s="3" t="s">
        <v>5216</v>
      </c>
      <c r="V715" s="41" t="str">
        <f>HYPERLINK("http://ictvonline.org/taxonomy/p/taxonomy-history?taxnode_id=20180405","ICTVonline=20180405")</f>
        <v>ICTVonline=20180405</v>
      </c>
    </row>
    <row r="716" spans="1:22">
      <c r="A716" s="3">
        <v>715</v>
      </c>
      <c r="J716" s="1" t="s">
        <v>1338</v>
      </c>
      <c r="L716" s="1" t="s">
        <v>1339</v>
      </c>
      <c r="N716" s="1" t="s">
        <v>2913</v>
      </c>
      <c r="P716" s="1" t="s">
        <v>2918</v>
      </c>
      <c r="Q716" s="3">
        <v>0</v>
      </c>
      <c r="R716" s="22" t="s">
        <v>2764</v>
      </c>
      <c r="S716" s="22" t="s">
        <v>5098</v>
      </c>
      <c r="T716" s="51">
        <v>30</v>
      </c>
      <c r="U716" s="3" t="s">
        <v>5216</v>
      </c>
      <c r="V716" s="41" t="str">
        <f>HYPERLINK("http://ictvonline.org/taxonomy/p/taxonomy-history?taxnode_id=20180406","ICTVonline=20180406")</f>
        <v>ICTVonline=20180406</v>
      </c>
    </row>
    <row r="717" spans="1:22">
      <c r="A717" s="3">
        <v>716</v>
      </c>
      <c r="J717" s="1" t="s">
        <v>1338</v>
      </c>
      <c r="L717" s="1" t="s">
        <v>1339</v>
      </c>
      <c r="N717" s="1" t="s">
        <v>2919</v>
      </c>
      <c r="P717" s="1" t="s">
        <v>2920</v>
      </c>
      <c r="Q717" s="3">
        <v>1</v>
      </c>
      <c r="R717" s="22" t="s">
        <v>2764</v>
      </c>
      <c r="S717" s="22" t="s">
        <v>5098</v>
      </c>
      <c r="T717" s="51">
        <v>30</v>
      </c>
      <c r="U717" s="3" t="s">
        <v>5216</v>
      </c>
      <c r="V717" s="41" t="str">
        <f>HYPERLINK("http://ictvonline.org/taxonomy/p/taxonomy-history?taxnode_id=20180408","ICTVonline=20180408")</f>
        <v>ICTVonline=20180408</v>
      </c>
    </row>
    <row r="718" spans="1:22">
      <c r="A718" s="3">
        <v>717</v>
      </c>
      <c r="J718" s="1" t="s">
        <v>1338</v>
      </c>
      <c r="L718" s="1" t="s">
        <v>1339</v>
      </c>
      <c r="N718" s="1" t="s">
        <v>2919</v>
      </c>
      <c r="P718" s="1" t="s">
        <v>2921</v>
      </c>
      <c r="Q718" s="3">
        <v>0</v>
      </c>
      <c r="R718" s="22" t="s">
        <v>2764</v>
      </c>
      <c r="S718" s="22" t="s">
        <v>5098</v>
      </c>
      <c r="T718" s="51">
        <v>30</v>
      </c>
      <c r="U718" s="3" t="s">
        <v>5216</v>
      </c>
      <c r="V718" s="41" t="str">
        <f>HYPERLINK("http://ictvonline.org/taxonomy/p/taxonomy-history?taxnode_id=20180409","ICTVonline=20180409")</f>
        <v>ICTVonline=20180409</v>
      </c>
    </row>
    <row r="719" spans="1:22">
      <c r="A719" s="3">
        <v>718</v>
      </c>
      <c r="J719" s="1" t="s">
        <v>1338</v>
      </c>
      <c r="L719" s="1" t="s">
        <v>1339</v>
      </c>
      <c r="N719" s="1" t="s">
        <v>2922</v>
      </c>
      <c r="P719" s="1" t="s">
        <v>2923</v>
      </c>
      <c r="Q719" s="3">
        <v>1</v>
      </c>
      <c r="R719" s="22" t="s">
        <v>2764</v>
      </c>
      <c r="S719" s="22" t="s">
        <v>5098</v>
      </c>
      <c r="T719" s="51">
        <v>30</v>
      </c>
      <c r="U719" s="3" t="s">
        <v>5224</v>
      </c>
      <c r="V719" s="41" t="str">
        <f>HYPERLINK("http://ictvonline.org/taxonomy/p/taxonomy-history?taxnode_id=20180411","ICTVonline=20180411")</f>
        <v>ICTVonline=20180411</v>
      </c>
    </row>
    <row r="720" spans="1:22">
      <c r="A720" s="3">
        <v>719</v>
      </c>
      <c r="J720" s="1" t="s">
        <v>1338</v>
      </c>
      <c r="L720" s="1" t="s">
        <v>1339</v>
      </c>
      <c r="N720" s="1" t="s">
        <v>2924</v>
      </c>
      <c r="P720" s="1" t="s">
        <v>4357</v>
      </c>
      <c r="Q720" s="3">
        <v>0</v>
      </c>
      <c r="R720" s="22" t="s">
        <v>2764</v>
      </c>
      <c r="S720" s="22" t="s">
        <v>5097</v>
      </c>
      <c r="T720" s="51">
        <v>31</v>
      </c>
      <c r="U720" s="3" t="s">
        <v>5238</v>
      </c>
      <c r="V720" s="41" t="str">
        <f>HYPERLINK("http://ictvonline.org/taxonomy/p/taxonomy-history?taxnode_id=20180413","ICTVonline=20180413")</f>
        <v>ICTVonline=20180413</v>
      </c>
    </row>
    <row r="721" spans="1:22">
      <c r="A721" s="3">
        <v>720</v>
      </c>
      <c r="J721" s="1" t="s">
        <v>1338</v>
      </c>
      <c r="L721" s="1" t="s">
        <v>1339</v>
      </c>
      <c r="N721" s="1" t="s">
        <v>2924</v>
      </c>
      <c r="P721" s="1" t="s">
        <v>4358</v>
      </c>
      <c r="Q721" s="3">
        <v>0</v>
      </c>
      <c r="R721" s="22" t="s">
        <v>2764</v>
      </c>
      <c r="S721" s="22" t="s">
        <v>5097</v>
      </c>
      <c r="T721" s="51">
        <v>31</v>
      </c>
      <c r="U721" s="3" t="s">
        <v>5238</v>
      </c>
      <c r="V721" s="41" t="str">
        <f>HYPERLINK("http://ictvonline.org/taxonomy/p/taxonomy-history?taxnode_id=20180414","ICTVonline=20180414")</f>
        <v>ICTVonline=20180414</v>
      </c>
    </row>
    <row r="722" spans="1:22">
      <c r="A722" s="3">
        <v>721</v>
      </c>
      <c r="J722" s="1" t="s">
        <v>1338</v>
      </c>
      <c r="L722" s="1" t="s">
        <v>1339</v>
      </c>
      <c r="N722" s="1" t="s">
        <v>2924</v>
      </c>
      <c r="P722" s="1" t="s">
        <v>4359</v>
      </c>
      <c r="Q722" s="3">
        <v>0</v>
      </c>
      <c r="R722" s="22" t="s">
        <v>2764</v>
      </c>
      <c r="S722" s="22" t="s">
        <v>5097</v>
      </c>
      <c r="T722" s="51">
        <v>31</v>
      </c>
      <c r="U722" s="3" t="s">
        <v>5238</v>
      </c>
      <c r="V722" s="41" t="str">
        <f>HYPERLINK("http://ictvonline.org/taxonomy/p/taxonomy-history?taxnode_id=20180415","ICTVonline=20180415")</f>
        <v>ICTVonline=20180415</v>
      </c>
    </row>
    <row r="723" spans="1:22">
      <c r="A723" s="3">
        <v>722</v>
      </c>
      <c r="J723" s="1" t="s">
        <v>1338</v>
      </c>
      <c r="L723" s="1" t="s">
        <v>1339</v>
      </c>
      <c r="N723" s="1" t="s">
        <v>2924</v>
      </c>
      <c r="P723" s="1" t="s">
        <v>4360</v>
      </c>
      <c r="Q723" s="3">
        <v>0</v>
      </c>
      <c r="R723" s="22" t="s">
        <v>2764</v>
      </c>
      <c r="S723" s="22" t="s">
        <v>5097</v>
      </c>
      <c r="T723" s="51">
        <v>31</v>
      </c>
      <c r="U723" s="3" t="s">
        <v>5238</v>
      </c>
      <c r="V723" s="41" t="str">
        <f>HYPERLINK("http://ictvonline.org/taxonomy/p/taxonomy-history?taxnode_id=20180416","ICTVonline=20180416")</f>
        <v>ICTVonline=20180416</v>
      </c>
    </row>
    <row r="724" spans="1:22">
      <c r="A724" s="3">
        <v>723</v>
      </c>
      <c r="J724" s="1" t="s">
        <v>1338</v>
      </c>
      <c r="L724" s="1" t="s">
        <v>1339</v>
      </c>
      <c r="N724" s="1" t="s">
        <v>2924</v>
      </c>
      <c r="P724" s="1" t="s">
        <v>2925</v>
      </c>
      <c r="Q724" s="3">
        <v>1</v>
      </c>
      <c r="R724" s="22" t="s">
        <v>2764</v>
      </c>
      <c r="S724" s="22" t="s">
        <v>5098</v>
      </c>
      <c r="T724" s="51">
        <v>30</v>
      </c>
      <c r="U724" s="3" t="s">
        <v>5216</v>
      </c>
      <c r="V724" s="41" t="str">
        <f>HYPERLINK("http://ictvonline.org/taxonomy/p/taxonomy-history?taxnode_id=20180417","ICTVonline=20180417")</f>
        <v>ICTVonline=20180417</v>
      </c>
    </row>
    <row r="725" spans="1:22">
      <c r="A725" s="3">
        <v>724</v>
      </c>
      <c r="J725" s="1" t="s">
        <v>1338</v>
      </c>
      <c r="L725" s="1" t="s">
        <v>1339</v>
      </c>
      <c r="N725" s="1" t="s">
        <v>2924</v>
      </c>
      <c r="P725" s="1" t="s">
        <v>4361</v>
      </c>
      <c r="Q725" s="3">
        <v>0</v>
      </c>
      <c r="R725" s="22" t="s">
        <v>2764</v>
      </c>
      <c r="S725" s="22" t="s">
        <v>5097</v>
      </c>
      <c r="T725" s="51">
        <v>31</v>
      </c>
      <c r="U725" s="3" t="s">
        <v>5238</v>
      </c>
      <c r="V725" s="41" t="str">
        <f>HYPERLINK("http://ictvonline.org/taxonomy/p/taxonomy-history?taxnode_id=20180418","ICTVonline=20180418")</f>
        <v>ICTVonline=20180418</v>
      </c>
    </row>
    <row r="726" spans="1:22">
      <c r="A726" s="3">
        <v>725</v>
      </c>
      <c r="J726" s="1" t="s">
        <v>1338</v>
      </c>
      <c r="L726" s="1" t="s">
        <v>1339</v>
      </c>
      <c r="N726" s="1" t="s">
        <v>2924</v>
      </c>
      <c r="P726" s="1" t="s">
        <v>4362</v>
      </c>
      <c r="Q726" s="3">
        <v>0</v>
      </c>
      <c r="R726" s="22" t="s">
        <v>2764</v>
      </c>
      <c r="S726" s="22" t="s">
        <v>5097</v>
      </c>
      <c r="T726" s="51">
        <v>31</v>
      </c>
      <c r="U726" s="3" t="s">
        <v>5238</v>
      </c>
      <c r="V726" s="41" t="str">
        <f>HYPERLINK("http://ictvonline.org/taxonomy/p/taxonomy-history?taxnode_id=20180419","ICTVonline=20180419")</f>
        <v>ICTVonline=20180419</v>
      </c>
    </row>
    <row r="727" spans="1:22">
      <c r="A727" s="3">
        <v>726</v>
      </c>
      <c r="J727" s="1" t="s">
        <v>1338</v>
      </c>
      <c r="L727" s="1" t="s">
        <v>1339</v>
      </c>
      <c r="N727" s="1" t="s">
        <v>2926</v>
      </c>
      <c r="P727" s="1" t="s">
        <v>2927</v>
      </c>
      <c r="Q727" s="3">
        <v>0</v>
      </c>
      <c r="R727" s="22" t="s">
        <v>2764</v>
      </c>
      <c r="S727" s="22" t="s">
        <v>5098</v>
      </c>
      <c r="T727" s="51">
        <v>30</v>
      </c>
      <c r="U727" s="3" t="s">
        <v>5216</v>
      </c>
      <c r="V727" s="41" t="str">
        <f>HYPERLINK("http://ictvonline.org/taxonomy/p/taxonomy-history?taxnode_id=20180421","ICTVonline=20180421")</f>
        <v>ICTVonline=20180421</v>
      </c>
    </row>
    <row r="728" spans="1:22">
      <c r="A728" s="3">
        <v>727</v>
      </c>
      <c r="J728" s="1" t="s">
        <v>1338</v>
      </c>
      <c r="L728" s="1" t="s">
        <v>1339</v>
      </c>
      <c r="N728" s="1" t="s">
        <v>2926</v>
      </c>
      <c r="P728" s="1" t="s">
        <v>2928</v>
      </c>
      <c r="Q728" s="3">
        <v>0</v>
      </c>
      <c r="R728" s="22" t="s">
        <v>2764</v>
      </c>
      <c r="S728" s="22" t="s">
        <v>5098</v>
      </c>
      <c r="T728" s="51">
        <v>30</v>
      </c>
      <c r="U728" s="3" t="s">
        <v>5216</v>
      </c>
      <c r="V728" s="41" t="str">
        <f>HYPERLINK("http://ictvonline.org/taxonomy/p/taxonomy-history?taxnode_id=20180422","ICTVonline=20180422")</f>
        <v>ICTVonline=20180422</v>
      </c>
    </row>
    <row r="729" spans="1:22">
      <c r="A729" s="3">
        <v>728</v>
      </c>
      <c r="J729" s="1" t="s">
        <v>1338</v>
      </c>
      <c r="L729" s="1" t="s">
        <v>1339</v>
      </c>
      <c r="N729" s="1" t="s">
        <v>2926</v>
      </c>
      <c r="P729" s="1" t="s">
        <v>2929</v>
      </c>
      <c r="Q729" s="3">
        <v>1</v>
      </c>
      <c r="R729" s="22" t="s">
        <v>2764</v>
      </c>
      <c r="S729" s="22" t="s">
        <v>5098</v>
      </c>
      <c r="T729" s="51">
        <v>30</v>
      </c>
      <c r="U729" s="3" t="s">
        <v>5216</v>
      </c>
      <c r="V729" s="41" t="str">
        <f>HYPERLINK("http://ictvonline.org/taxonomy/p/taxonomy-history?taxnode_id=20180423","ICTVonline=20180423")</f>
        <v>ICTVonline=20180423</v>
      </c>
    </row>
    <row r="730" spans="1:22">
      <c r="A730" s="3">
        <v>729</v>
      </c>
      <c r="J730" s="1" t="s">
        <v>1338</v>
      </c>
      <c r="L730" s="1" t="s">
        <v>1339</v>
      </c>
      <c r="N730" s="1" t="s">
        <v>2930</v>
      </c>
      <c r="P730" s="1" t="s">
        <v>2931</v>
      </c>
      <c r="Q730" s="3">
        <v>1</v>
      </c>
      <c r="R730" s="22" t="s">
        <v>2764</v>
      </c>
      <c r="S730" s="22" t="s">
        <v>5097</v>
      </c>
      <c r="T730" s="51">
        <v>30</v>
      </c>
      <c r="U730" s="3" t="s">
        <v>5239</v>
      </c>
      <c r="V730" s="41" t="str">
        <f>HYPERLINK("http://ictvonline.org/taxonomy/p/taxonomy-history?taxnode_id=20180425","ICTVonline=20180425")</f>
        <v>ICTVonline=20180425</v>
      </c>
    </row>
    <row r="731" spans="1:22">
      <c r="A731" s="3">
        <v>730</v>
      </c>
      <c r="J731" s="1" t="s">
        <v>1338</v>
      </c>
      <c r="L731" s="1" t="s">
        <v>1339</v>
      </c>
      <c r="N731" s="1" t="s">
        <v>2930</v>
      </c>
      <c r="P731" s="1" t="s">
        <v>2932</v>
      </c>
      <c r="Q731" s="3">
        <v>0</v>
      </c>
      <c r="R731" s="22" t="s">
        <v>2764</v>
      </c>
      <c r="S731" s="22" t="s">
        <v>5097</v>
      </c>
      <c r="T731" s="51">
        <v>30</v>
      </c>
      <c r="U731" s="3" t="s">
        <v>5239</v>
      </c>
      <c r="V731" s="41" t="str">
        <f>HYPERLINK("http://ictvonline.org/taxonomy/p/taxonomy-history?taxnode_id=20180426","ICTVonline=20180426")</f>
        <v>ICTVonline=20180426</v>
      </c>
    </row>
    <row r="732" spans="1:22">
      <c r="A732" s="3">
        <v>731</v>
      </c>
      <c r="J732" s="1" t="s">
        <v>1338</v>
      </c>
      <c r="L732" s="1" t="s">
        <v>1339</v>
      </c>
      <c r="N732" s="1" t="s">
        <v>2930</v>
      </c>
      <c r="P732" s="1" t="s">
        <v>2933</v>
      </c>
      <c r="Q732" s="3">
        <v>0</v>
      </c>
      <c r="R732" s="22" t="s">
        <v>2764</v>
      </c>
      <c r="S732" s="22" t="s">
        <v>5097</v>
      </c>
      <c r="T732" s="51">
        <v>30</v>
      </c>
      <c r="U732" s="3" t="s">
        <v>5239</v>
      </c>
      <c r="V732" s="41" t="str">
        <f>HYPERLINK("http://ictvonline.org/taxonomy/p/taxonomy-history?taxnode_id=20180427","ICTVonline=20180427")</f>
        <v>ICTVonline=20180427</v>
      </c>
    </row>
    <row r="733" spans="1:22">
      <c r="A733" s="3">
        <v>732</v>
      </c>
      <c r="J733" s="1" t="s">
        <v>1338</v>
      </c>
      <c r="L733" s="1" t="s">
        <v>1339</v>
      </c>
      <c r="N733" s="1" t="s">
        <v>2934</v>
      </c>
      <c r="P733" s="1" t="s">
        <v>2935</v>
      </c>
      <c r="Q733" s="3">
        <v>1</v>
      </c>
      <c r="R733" s="22" t="s">
        <v>2764</v>
      </c>
      <c r="S733" s="22" t="s">
        <v>5097</v>
      </c>
      <c r="T733" s="51">
        <v>30</v>
      </c>
      <c r="U733" s="3" t="s">
        <v>5240</v>
      </c>
      <c r="V733" s="41" t="str">
        <f>HYPERLINK("http://ictvonline.org/taxonomy/p/taxonomy-history?taxnode_id=20180429","ICTVonline=20180429")</f>
        <v>ICTVonline=20180429</v>
      </c>
    </row>
    <row r="734" spans="1:22">
      <c r="A734" s="3">
        <v>733</v>
      </c>
      <c r="J734" s="1" t="s">
        <v>1338</v>
      </c>
      <c r="L734" s="1" t="s">
        <v>1339</v>
      </c>
      <c r="N734" s="1" t="s">
        <v>2934</v>
      </c>
      <c r="P734" s="1" t="s">
        <v>2936</v>
      </c>
      <c r="Q734" s="3">
        <v>0</v>
      </c>
      <c r="R734" s="22" t="s">
        <v>2764</v>
      </c>
      <c r="S734" s="22" t="s">
        <v>5097</v>
      </c>
      <c r="T734" s="51">
        <v>30</v>
      </c>
      <c r="U734" s="3" t="s">
        <v>5240</v>
      </c>
      <c r="V734" s="41" t="str">
        <f>HYPERLINK("http://ictvonline.org/taxonomy/p/taxonomy-history?taxnode_id=20180430","ICTVonline=20180430")</f>
        <v>ICTVonline=20180430</v>
      </c>
    </row>
    <row r="735" spans="1:22">
      <c r="A735" s="3">
        <v>734</v>
      </c>
      <c r="J735" s="1" t="s">
        <v>1338</v>
      </c>
      <c r="L735" s="1" t="s">
        <v>1339</v>
      </c>
      <c r="N735" s="1" t="s">
        <v>5241</v>
      </c>
      <c r="P735" s="1" t="s">
        <v>5242</v>
      </c>
      <c r="Q735" s="3">
        <v>0</v>
      </c>
      <c r="R735" s="22" t="s">
        <v>2764</v>
      </c>
      <c r="S735" s="22" t="s">
        <v>5097</v>
      </c>
      <c r="T735" s="51">
        <v>32</v>
      </c>
      <c r="U735" s="3" t="s">
        <v>5243</v>
      </c>
      <c r="V735" s="41" t="str">
        <f>HYPERLINK("http://ictvonline.org/taxonomy/p/taxonomy-history?taxnode_id=20185480","ICTVonline=20185480")</f>
        <v>ICTVonline=20185480</v>
      </c>
    </row>
    <row r="736" spans="1:22">
      <c r="A736" s="3">
        <v>735</v>
      </c>
      <c r="J736" s="1" t="s">
        <v>1338</v>
      </c>
      <c r="L736" s="1" t="s">
        <v>1339</v>
      </c>
      <c r="N736" s="1" t="s">
        <v>5241</v>
      </c>
      <c r="P736" s="1" t="s">
        <v>5244</v>
      </c>
      <c r="Q736" s="3">
        <v>1</v>
      </c>
      <c r="R736" s="22" t="s">
        <v>2764</v>
      </c>
      <c r="S736" s="22" t="s">
        <v>5097</v>
      </c>
      <c r="T736" s="51">
        <v>32</v>
      </c>
      <c r="U736" s="3" t="s">
        <v>5243</v>
      </c>
      <c r="V736" s="41" t="str">
        <f>HYPERLINK("http://ictvonline.org/taxonomy/p/taxonomy-history?taxnode_id=20185481","ICTVonline=20185481")</f>
        <v>ICTVonline=20185481</v>
      </c>
    </row>
    <row r="737" spans="1:22">
      <c r="A737" s="3">
        <v>736</v>
      </c>
      <c r="J737" s="1" t="s">
        <v>1338</v>
      </c>
      <c r="L737" s="1" t="s">
        <v>1339</v>
      </c>
      <c r="N737" s="1" t="s">
        <v>4234</v>
      </c>
      <c r="P737" s="1" t="s">
        <v>2987</v>
      </c>
      <c r="Q737" s="3">
        <v>1</v>
      </c>
      <c r="R737" s="22" t="s">
        <v>2764</v>
      </c>
      <c r="S737" s="22" t="s">
        <v>5099</v>
      </c>
      <c r="T737" s="51">
        <v>31</v>
      </c>
      <c r="U737" s="3" t="s">
        <v>5245</v>
      </c>
      <c r="V737" s="41" t="str">
        <f>HYPERLINK("http://ictvonline.org/taxonomy/p/taxonomy-history?taxnode_id=20180432","ICTVonline=20180432")</f>
        <v>ICTVonline=20180432</v>
      </c>
    </row>
    <row r="738" spans="1:22">
      <c r="A738" s="3">
        <v>737</v>
      </c>
      <c r="J738" s="1" t="s">
        <v>1338</v>
      </c>
      <c r="L738" s="1" t="s">
        <v>1339</v>
      </c>
      <c r="N738" s="1" t="s">
        <v>2948</v>
      </c>
      <c r="P738" s="1" t="s">
        <v>2949</v>
      </c>
      <c r="Q738" s="3">
        <v>1</v>
      </c>
      <c r="R738" s="22" t="s">
        <v>2764</v>
      </c>
      <c r="S738" s="22" t="s">
        <v>5098</v>
      </c>
      <c r="T738" s="51">
        <v>30</v>
      </c>
      <c r="U738" s="3" t="s">
        <v>5216</v>
      </c>
      <c r="V738" s="41" t="str">
        <f>HYPERLINK("http://ictvonline.org/taxonomy/p/taxonomy-history?taxnode_id=20180434","ICTVonline=20180434")</f>
        <v>ICTVonline=20180434</v>
      </c>
    </row>
    <row r="739" spans="1:22">
      <c r="A739" s="3">
        <v>738</v>
      </c>
      <c r="J739" s="1" t="s">
        <v>1338</v>
      </c>
      <c r="L739" s="1" t="s">
        <v>1339</v>
      </c>
      <c r="N739" s="1" t="s">
        <v>2948</v>
      </c>
      <c r="P739" s="1" t="s">
        <v>2950</v>
      </c>
      <c r="Q739" s="3">
        <v>0</v>
      </c>
      <c r="R739" s="22" t="s">
        <v>2764</v>
      </c>
      <c r="S739" s="22" t="s">
        <v>5098</v>
      </c>
      <c r="T739" s="51">
        <v>30</v>
      </c>
      <c r="U739" s="3" t="s">
        <v>5216</v>
      </c>
      <c r="V739" s="41" t="str">
        <f>HYPERLINK("http://ictvonline.org/taxonomy/p/taxonomy-history?taxnode_id=20180435","ICTVonline=20180435")</f>
        <v>ICTVonline=20180435</v>
      </c>
    </row>
    <row r="740" spans="1:22">
      <c r="A740" s="3">
        <v>739</v>
      </c>
      <c r="J740" s="1" t="s">
        <v>1338</v>
      </c>
      <c r="L740" s="1" t="s">
        <v>1339</v>
      </c>
      <c r="N740" s="1" t="s">
        <v>4363</v>
      </c>
      <c r="P740" s="1" t="s">
        <v>4364</v>
      </c>
      <c r="Q740" s="3">
        <v>1</v>
      </c>
      <c r="R740" s="22" t="s">
        <v>2764</v>
      </c>
      <c r="S740" s="22" t="s">
        <v>5097</v>
      </c>
      <c r="T740" s="51">
        <v>31</v>
      </c>
      <c r="U740" s="3" t="s">
        <v>5246</v>
      </c>
      <c r="V740" s="41" t="str">
        <f>HYPERLINK("http://ictvonline.org/taxonomy/p/taxonomy-history?taxnode_id=20180437","ICTVonline=20180437")</f>
        <v>ICTVonline=20180437</v>
      </c>
    </row>
    <row r="741" spans="1:22">
      <c r="A741" s="3">
        <v>740</v>
      </c>
      <c r="J741" s="1" t="s">
        <v>1338</v>
      </c>
      <c r="L741" s="1" t="s">
        <v>1339</v>
      </c>
      <c r="N741" s="1" t="s">
        <v>4363</v>
      </c>
      <c r="P741" s="1" t="s">
        <v>4365</v>
      </c>
      <c r="Q741" s="3">
        <v>0</v>
      </c>
      <c r="R741" s="22" t="s">
        <v>2764</v>
      </c>
      <c r="S741" s="22" t="s">
        <v>5097</v>
      </c>
      <c r="T741" s="51">
        <v>31</v>
      </c>
      <c r="U741" s="3" t="s">
        <v>5246</v>
      </c>
      <c r="V741" s="41" t="str">
        <f>HYPERLINK("http://ictvonline.org/taxonomy/p/taxonomy-history?taxnode_id=20180438","ICTVonline=20180438")</f>
        <v>ICTVonline=20180438</v>
      </c>
    </row>
    <row r="742" spans="1:22">
      <c r="A742" s="3">
        <v>741</v>
      </c>
      <c r="J742" s="1" t="s">
        <v>1338</v>
      </c>
      <c r="L742" s="1" t="s">
        <v>1339</v>
      </c>
      <c r="N742" s="1" t="s">
        <v>2951</v>
      </c>
      <c r="P742" s="1" t="s">
        <v>2952</v>
      </c>
      <c r="Q742" s="3">
        <v>0</v>
      </c>
      <c r="R742" s="22" t="s">
        <v>2764</v>
      </c>
      <c r="S742" s="22" t="s">
        <v>5097</v>
      </c>
      <c r="T742" s="51">
        <v>30</v>
      </c>
      <c r="U742" s="3" t="s">
        <v>5247</v>
      </c>
      <c r="V742" s="41" t="str">
        <f>HYPERLINK("http://ictvonline.org/taxonomy/p/taxonomy-history?taxnode_id=20180440","ICTVonline=20180440")</f>
        <v>ICTVonline=20180440</v>
      </c>
    </row>
    <row r="743" spans="1:22">
      <c r="A743" s="3">
        <v>742</v>
      </c>
      <c r="J743" s="1" t="s">
        <v>1338</v>
      </c>
      <c r="L743" s="1" t="s">
        <v>1339</v>
      </c>
      <c r="N743" s="1" t="s">
        <v>2951</v>
      </c>
      <c r="P743" s="1" t="s">
        <v>2953</v>
      </c>
      <c r="Q743" s="3">
        <v>1</v>
      </c>
      <c r="R743" s="22" t="s">
        <v>2764</v>
      </c>
      <c r="S743" s="22" t="s">
        <v>5097</v>
      </c>
      <c r="T743" s="51">
        <v>30</v>
      </c>
      <c r="U743" s="3" t="s">
        <v>5247</v>
      </c>
      <c r="V743" s="41" t="str">
        <f>HYPERLINK("http://ictvonline.org/taxonomy/p/taxonomy-history?taxnode_id=20180441","ICTVonline=20180441")</f>
        <v>ICTVonline=20180441</v>
      </c>
    </row>
    <row r="744" spans="1:22">
      <c r="A744" s="3">
        <v>743</v>
      </c>
      <c r="J744" s="1" t="s">
        <v>1338</v>
      </c>
      <c r="L744" s="1" t="s">
        <v>1339</v>
      </c>
      <c r="N744" s="1" t="s">
        <v>2951</v>
      </c>
      <c r="P744" s="1" t="s">
        <v>2954</v>
      </c>
      <c r="Q744" s="3">
        <v>0</v>
      </c>
      <c r="R744" s="22" t="s">
        <v>2764</v>
      </c>
      <c r="S744" s="22" t="s">
        <v>5097</v>
      </c>
      <c r="T744" s="51">
        <v>30</v>
      </c>
      <c r="U744" s="3" t="s">
        <v>5247</v>
      </c>
      <c r="V744" s="41" t="str">
        <f>HYPERLINK("http://ictvonline.org/taxonomy/p/taxonomy-history?taxnode_id=20180442","ICTVonline=20180442")</f>
        <v>ICTVonline=20180442</v>
      </c>
    </row>
    <row r="745" spans="1:22">
      <c r="A745" s="3">
        <v>744</v>
      </c>
      <c r="J745" s="1" t="s">
        <v>1338</v>
      </c>
      <c r="L745" s="1" t="s">
        <v>1339</v>
      </c>
      <c r="N745" s="1" t="s">
        <v>4366</v>
      </c>
      <c r="P745" s="1" t="s">
        <v>4367</v>
      </c>
      <c r="Q745" s="3">
        <v>0</v>
      </c>
      <c r="R745" s="22" t="s">
        <v>2764</v>
      </c>
      <c r="S745" s="22" t="s">
        <v>5097</v>
      </c>
      <c r="T745" s="51">
        <v>31</v>
      </c>
      <c r="U745" s="3" t="s">
        <v>5248</v>
      </c>
      <c r="V745" s="41" t="str">
        <f>HYPERLINK("http://ictvonline.org/taxonomy/p/taxonomy-history?taxnode_id=20180444","ICTVonline=20180444")</f>
        <v>ICTVonline=20180444</v>
      </c>
    </row>
    <row r="746" spans="1:22">
      <c r="A746" s="3">
        <v>745</v>
      </c>
      <c r="J746" s="1" t="s">
        <v>1338</v>
      </c>
      <c r="L746" s="1" t="s">
        <v>1339</v>
      </c>
      <c r="N746" s="1" t="s">
        <v>4366</v>
      </c>
      <c r="P746" s="1" t="s">
        <v>4368</v>
      </c>
      <c r="Q746" s="3">
        <v>1</v>
      </c>
      <c r="R746" s="22" t="s">
        <v>2764</v>
      </c>
      <c r="S746" s="22" t="s">
        <v>5097</v>
      </c>
      <c r="T746" s="51">
        <v>31</v>
      </c>
      <c r="U746" s="3" t="s">
        <v>5248</v>
      </c>
      <c r="V746" s="41" t="str">
        <f>HYPERLINK("http://ictvonline.org/taxonomy/p/taxonomy-history?taxnode_id=20180445","ICTVonline=20180445")</f>
        <v>ICTVonline=20180445</v>
      </c>
    </row>
    <row r="747" spans="1:22">
      <c r="A747" s="3">
        <v>746</v>
      </c>
      <c r="J747" s="1" t="s">
        <v>1338</v>
      </c>
      <c r="L747" s="1" t="s">
        <v>1339</v>
      </c>
      <c r="N747" s="1" t="s">
        <v>4366</v>
      </c>
      <c r="P747" s="1" t="s">
        <v>4369</v>
      </c>
      <c r="Q747" s="3">
        <v>0</v>
      </c>
      <c r="R747" s="22" t="s">
        <v>2764</v>
      </c>
      <c r="S747" s="22" t="s">
        <v>5097</v>
      </c>
      <c r="T747" s="51">
        <v>31</v>
      </c>
      <c r="U747" s="3" t="s">
        <v>5248</v>
      </c>
      <c r="V747" s="41" t="str">
        <f>HYPERLINK("http://ictvonline.org/taxonomy/p/taxonomy-history?taxnode_id=20180446","ICTVonline=20180446")</f>
        <v>ICTVonline=20180446</v>
      </c>
    </row>
    <row r="748" spans="1:22">
      <c r="A748" s="3">
        <v>747</v>
      </c>
      <c r="J748" s="1" t="s">
        <v>1338</v>
      </c>
      <c r="L748" s="1" t="s">
        <v>1339</v>
      </c>
      <c r="N748" s="1" t="s">
        <v>5249</v>
      </c>
      <c r="P748" s="1" t="s">
        <v>5250</v>
      </c>
      <c r="Q748" s="3">
        <v>1</v>
      </c>
      <c r="R748" s="22" t="s">
        <v>2764</v>
      </c>
      <c r="S748" s="22" t="s">
        <v>5097</v>
      </c>
      <c r="T748" s="51">
        <v>32</v>
      </c>
      <c r="U748" s="3" t="s">
        <v>5251</v>
      </c>
      <c r="V748" s="41" t="str">
        <f>HYPERLINK("http://ictvonline.org/taxonomy/p/taxonomy-history?taxnode_id=20185483","ICTVonline=20185483")</f>
        <v>ICTVonline=20185483</v>
      </c>
    </row>
    <row r="749" spans="1:22">
      <c r="A749" s="3">
        <v>748</v>
      </c>
      <c r="J749" s="1" t="s">
        <v>1338</v>
      </c>
      <c r="L749" s="1" t="s">
        <v>1339</v>
      </c>
      <c r="N749" s="1" t="s">
        <v>4370</v>
      </c>
      <c r="P749" s="1" t="s">
        <v>4371</v>
      </c>
      <c r="Q749" s="3">
        <v>0</v>
      </c>
      <c r="R749" s="22" t="s">
        <v>2764</v>
      </c>
      <c r="S749" s="22" t="s">
        <v>5097</v>
      </c>
      <c r="T749" s="51">
        <v>31</v>
      </c>
      <c r="U749" s="3" t="s">
        <v>5252</v>
      </c>
      <c r="V749" s="41" t="str">
        <f>HYPERLINK("http://ictvonline.org/taxonomy/p/taxonomy-history?taxnode_id=20180448","ICTVonline=20180448")</f>
        <v>ICTVonline=20180448</v>
      </c>
    </row>
    <row r="750" spans="1:22">
      <c r="A750" s="3">
        <v>749</v>
      </c>
      <c r="J750" s="1" t="s">
        <v>1338</v>
      </c>
      <c r="L750" s="1" t="s">
        <v>1339</v>
      </c>
      <c r="N750" s="1" t="s">
        <v>4370</v>
      </c>
      <c r="P750" s="1" t="s">
        <v>4372</v>
      </c>
      <c r="Q750" s="3">
        <v>0</v>
      </c>
      <c r="R750" s="22" t="s">
        <v>2764</v>
      </c>
      <c r="S750" s="22" t="s">
        <v>5097</v>
      </c>
      <c r="T750" s="51">
        <v>31</v>
      </c>
      <c r="U750" s="3" t="s">
        <v>5252</v>
      </c>
      <c r="V750" s="41" t="str">
        <f>HYPERLINK("http://ictvonline.org/taxonomy/p/taxonomy-history?taxnode_id=20180449","ICTVonline=20180449")</f>
        <v>ICTVonline=20180449</v>
      </c>
    </row>
    <row r="751" spans="1:22">
      <c r="A751" s="3">
        <v>750</v>
      </c>
      <c r="J751" s="1" t="s">
        <v>1338</v>
      </c>
      <c r="L751" s="1" t="s">
        <v>1339</v>
      </c>
      <c r="N751" s="1" t="s">
        <v>4370</v>
      </c>
      <c r="P751" s="1" t="s">
        <v>4373</v>
      </c>
      <c r="Q751" s="3">
        <v>1</v>
      </c>
      <c r="R751" s="22" t="s">
        <v>2764</v>
      </c>
      <c r="S751" s="22" t="s">
        <v>5097</v>
      </c>
      <c r="T751" s="51">
        <v>31</v>
      </c>
      <c r="U751" s="3" t="s">
        <v>5252</v>
      </c>
      <c r="V751" s="41" t="str">
        <f>HYPERLINK("http://ictvonline.org/taxonomy/p/taxonomy-history?taxnode_id=20180450","ICTVonline=20180450")</f>
        <v>ICTVonline=20180450</v>
      </c>
    </row>
    <row r="752" spans="1:22">
      <c r="A752" s="3">
        <v>751</v>
      </c>
      <c r="J752" s="1" t="s">
        <v>1338</v>
      </c>
      <c r="L752" s="1" t="s">
        <v>1339</v>
      </c>
      <c r="N752" s="1" t="s">
        <v>4370</v>
      </c>
      <c r="P752" s="1" t="s">
        <v>4374</v>
      </c>
      <c r="Q752" s="3">
        <v>0</v>
      </c>
      <c r="R752" s="22" t="s">
        <v>2764</v>
      </c>
      <c r="S752" s="22" t="s">
        <v>5097</v>
      </c>
      <c r="T752" s="51">
        <v>31</v>
      </c>
      <c r="U752" s="3" t="s">
        <v>5252</v>
      </c>
      <c r="V752" s="41" t="str">
        <f>HYPERLINK("http://ictvonline.org/taxonomy/p/taxonomy-history?taxnode_id=20180451","ICTVonline=20180451")</f>
        <v>ICTVonline=20180451</v>
      </c>
    </row>
    <row r="753" spans="1:22">
      <c r="A753" s="3">
        <v>752</v>
      </c>
      <c r="J753" s="1" t="s">
        <v>1338</v>
      </c>
      <c r="L753" s="1" t="s">
        <v>1339</v>
      </c>
      <c r="N753" s="1" t="s">
        <v>4375</v>
      </c>
      <c r="P753" s="1" t="s">
        <v>4376</v>
      </c>
      <c r="Q753" s="3">
        <v>1</v>
      </c>
      <c r="R753" s="22" t="s">
        <v>2764</v>
      </c>
      <c r="S753" s="22" t="s">
        <v>5097</v>
      </c>
      <c r="T753" s="51">
        <v>31</v>
      </c>
      <c r="U753" s="3" t="s">
        <v>5253</v>
      </c>
      <c r="V753" s="41" t="str">
        <f>HYPERLINK("http://ictvonline.org/taxonomy/p/taxonomy-history?taxnode_id=20180453","ICTVonline=20180453")</f>
        <v>ICTVonline=20180453</v>
      </c>
    </row>
    <row r="754" spans="1:22">
      <c r="A754" s="3">
        <v>753</v>
      </c>
      <c r="J754" s="1" t="s">
        <v>1338</v>
      </c>
      <c r="L754" s="1" t="s">
        <v>1339</v>
      </c>
      <c r="N754" s="1" t="s">
        <v>4375</v>
      </c>
      <c r="P754" s="1" t="s">
        <v>4377</v>
      </c>
      <c r="Q754" s="3">
        <v>0</v>
      </c>
      <c r="R754" s="22" t="s">
        <v>2764</v>
      </c>
      <c r="S754" s="22" t="s">
        <v>5097</v>
      </c>
      <c r="T754" s="51">
        <v>31</v>
      </c>
      <c r="U754" s="3" t="s">
        <v>5253</v>
      </c>
      <c r="V754" s="41" t="str">
        <f>HYPERLINK("http://ictvonline.org/taxonomy/p/taxonomy-history?taxnode_id=20180454","ICTVonline=20180454")</f>
        <v>ICTVonline=20180454</v>
      </c>
    </row>
    <row r="755" spans="1:22">
      <c r="A755" s="3">
        <v>754</v>
      </c>
      <c r="J755" s="1" t="s">
        <v>1338</v>
      </c>
      <c r="L755" s="1" t="s">
        <v>1339</v>
      </c>
      <c r="N755" s="1" t="s">
        <v>2955</v>
      </c>
      <c r="P755" s="1" t="s">
        <v>2956</v>
      </c>
      <c r="Q755" s="3">
        <v>1</v>
      </c>
      <c r="R755" s="22" t="s">
        <v>2764</v>
      </c>
      <c r="S755" s="22" t="s">
        <v>5098</v>
      </c>
      <c r="T755" s="51">
        <v>30</v>
      </c>
      <c r="U755" s="3" t="s">
        <v>5216</v>
      </c>
      <c r="V755" s="41" t="str">
        <f>HYPERLINK("http://ictvonline.org/taxonomy/p/taxonomy-history?taxnode_id=20180456","ICTVonline=20180456")</f>
        <v>ICTVonline=20180456</v>
      </c>
    </row>
    <row r="756" spans="1:22">
      <c r="A756" s="3">
        <v>755</v>
      </c>
      <c r="J756" s="1" t="s">
        <v>1338</v>
      </c>
      <c r="L756" s="1" t="s">
        <v>1339</v>
      </c>
      <c r="N756" s="1" t="s">
        <v>2955</v>
      </c>
      <c r="P756" s="1" t="s">
        <v>4378</v>
      </c>
      <c r="Q756" s="3">
        <v>0</v>
      </c>
      <c r="R756" s="22" t="s">
        <v>2764</v>
      </c>
      <c r="S756" s="22" t="s">
        <v>5097</v>
      </c>
      <c r="T756" s="51">
        <v>31</v>
      </c>
      <c r="U756" s="3" t="s">
        <v>5217</v>
      </c>
      <c r="V756" s="41" t="str">
        <f>HYPERLINK("http://ictvonline.org/taxonomy/p/taxonomy-history?taxnode_id=20180457","ICTVonline=20180457")</f>
        <v>ICTVonline=20180457</v>
      </c>
    </row>
    <row r="757" spans="1:22">
      <c r="A757" s="3">
        <v>756</v>
      </c>
      <c r="J757" s="1" t="s">
        <v>1338</v>
      </c>
      <c r="L757" s="1" t="s">
        <v>1339</v>
      </c>
      <c r="N757" s="1" t="s">
        <v>2957</v>
      </c>
      <c r="P757" s="1" t="s">
        <v>2958</v>
      </c>
      <c r="Q757" s="3">
        <v>1</v>
      </c>
      <c r="R757" s="22" t="s">
        <v>2764</v>
      </c>
      <c r="S757" s="22" t="s">
        <v>5098</v>
      </c>
      <c r="T757" s="51">
        <v>30</v>
      </c>
      <c r="U757" s="3" t="s">
        <v>5216</v>
      </c>
      <c r="V757" s="41" t="str">
        <f>HYPERLINK("http://ictvonline.org/taxonomy/p/taxonomy-history?taxnode_id=20180459","ICTVonline=20180459")</f>
        <v>ICTVonline=20180459</v>
      </c>
    </row>
    <row r="758" spans="1:22">
      <c r="A758" s="3">
        <v>757</v>
      </c>
      <c r="J758" s="1" t="s">
        <v>1338</v>
      </c>
      <c r="L758" s="1" t="s">
        <v>1339</v>
      </c>
      <c r="N758" s="1" t="s">
        <v>2959</v>
      </c>
      <c r="P758" s="1" t="s">
        <v>2960</v>
      </c>
      <c r="Q758" s="3">
        <v>0</v>
      </c>
      <c r="R758" s="22" t="s">
        <v>2764</v>
      </c>
      <c r="S758" s="22" t="s">
        <v>5097</v>
      </c>
      <c r="T758" s="51">
        <v>30</v>
      </c>
      <c r="U758" s="3" t="s">
        <v>5254</v>
      </c>
      <c r="V758" s="41" t="str">
        <f>HYPERLINK("http://ictvonline.org/taxonomy/p/taxonomy-history?taxnode_id=20180461","ICTVonline=20180461")</f>
        <v>ICTVonline=20180461</v>
      </c>
    </row>
    <row r="759" spans="1:22">
      <c r="A759" s="3">
        <v>758</v>
      </c>
      <c r="J759" s="1" t="s">
        <v>1338</v>
      </c>
      <c r="L759" s="1" t="s">
        <v>1339</v>
      </c>
      <c r="N759" s="1" t="s">
        <v>2959</v>
      </c>
      <c r="P759" s="1" t="s">
        <v>2961</v>
      </c>
      <c r="Q759" s="3">
        <v>1</v>
      </c>
      <c r="R759" s="22" t="s">
        <v>2764</v>
      </c>
      <c r="S759" s="22" t="s">
        <v>5097</v>
      </c>
      <c r="T759" s="51">
        <v>30</v>
      </c>
      <c r="U759" s="3" t="s">
        <v>5254</v>
      </c>
      <c r="V759" s="41" t="str">
        <f>HYPERLINK("http://ictvonline.org/taxonomy/p/taxonomy-history?taxnode_id=20180462","ICTVonline=20180462")</f>
        <v>ICTVonline=20180462</v>
      </c>
    </row>
    <row r="760" spans="1:22">
      <c r="A760" s="3">
        <v>759</v>
      </c>
      <c r="J760" s="1" t="s">
        <v>1338</v>
      </c>
      <c r="L760" s="1" t="s">
        <v>1339</v>
      </c>
      <c r="N760" s="1" t="s">
        <v>2959</v>
      </c>
      <c r="P760" s="1" t="s">
        <v>2962</v>
      </c>
      <c r="Q760" s="3">
        <v>0</v>
      </c>
      <c r="R760" s="22" t="s">
        <v>2764</v>
      </c>
      <c r="S760" s="22" t="s">
        <v>5097</v>
      </c>
      <c r="T760" s="51">
        <v>30</v>
      </c>
      <c r="U760" s="3" t="s">
        <v>5254</v>
      </c>
      <c r="V760" s="41" t="str">
        <f>HYPERLINK("http://ictvonline.org/taxonomy/p/taxonomy-history?taxnode_id=20180463","ICTVonline=20180463")</f>
        <v>ICTVonline=20180463</v>
      </c>
    </row>
    <row r="761" spans="1:22">
      <c r="A761" s="3">
        <v>760</v>
      </c>
      <c r="J761" s="1" t="s">
        <v>1338</v>
      </c>
      <c r="L761" s="1" t="s">
        <v>1339</v>
      </c>
      <c r="N761" s="1" t="s">
        <v>2963</v>
      </c>
      <c r="P761" s="1" t="s">
        <v>2964</v>
      </c>
      <c r="Q761" s="3">
        <v>0</v>
      </c>
      <c r="R761" s="22" t="s">
        <v>2764</v>
      </c>
      <c r="S761" s="22" t="s">
        <v>5098</v>
      </c>
      <c r="T761" s="51">
        <v>30</v>
      </c>
      <c r="U761" s="3" t="s">
        <v>5216</v>
      </c>
      <c r="V761" s="41" t="str">
        <f>HYPERLINK("http://ictvonline.org/taxonomy/p/taxonomy-history?taxnode_id=20180465","ICTVonline=20180465")</f>
        <v>ICTVonline=20180465</v>
      </c>
    </row>
    <row r="762" spans="1:22">
      <c r="A762" s="3">
        <v>761</v>
      </c>
      <c r="J762" s="1" t="s">
        <v>1338</v>
      </c>
      <c r="L762" s="1" t="s">
        <v>1339</v>
      </c>
      <c r="N762" s="1" t="s">
        <v>2963</v>
      </c>
      <c r="P762" s="1" t="s">
        <v>2965</v>
      </c>
      <c r="Q762" s="3">
        <v>1</v>
      </c>
      <c r="R762" s="22" t="s">
        <v>2764</v>
      </c>
      <c r="S762" s="22" t="s">
        <v>5098</v>
      </c>
      <c r="T762" s="51">
        <v>30</v>
      </c>
      <c r="U762" s="3" t="s">
        <v>5216</v>
      </c>
      <c r="V762" s="41" t="str">
        <f>HYPERLINK("http://ictvonline.org/taxonomy/p/taxonomy-history?taxnode_id=20180466","ICTVonline=20180466")</f>
        <v>ICTVonline=20180466</v>
      </c>
    </row>
    <row r="763" spans="1:22">
      <c r="A763" s="3">
        <v>762</v>
      </c>
      <c r="J763" s="1" t="s">
        <v>1338</v>
      </c>
      <c r="L763" s="1" t="s">
        <v>1339</v>
      </c>
      <c r="N763" s="1" t="s">
        <v>2966</v>
      </c>
      <c r="P763" s="1" t="s">
        <v>2967</v>
      </c>
      <c r="Q763" s="3">
        <v>0</v>
      </c>
      <c r="R763" s="22" t="s">
        <v>2764</v>
      </c>
      <c r="S763" s="22" t="s">
        <v>5097</v>
      </c>
      <c r="T763" s="51">
        <v>30</v>
      </c>
      <c r="U763" s="3" t="s">
        <v>5255</v>
      </c>
      <c r="V763" s="41" t="str">
        <f>HYPERLINK("http://ictvonline.org/taxonomy/p/taxonomy-history?taxnode_id=20180468","ICTVonline=20180468")</f>
        <v>ICTVonline=20180468</v>
      </c>
    </row>
    <row r="764" spans="1:22">
      <c r="A764" s="3">
        <v>763</v>
      </c>
      <c r="J764" s="1" t="s">
        <v>1338</v>
      </c>
      <c r="L764" s="1" t="s">
        <v>1339</v>
      </c>
      <c r="N764" s="1" t="s">
        <v>2966</v>
      </c>
      <c r="P764" s="1" t="s">
        <v>2968</v>
      </c>
      <c r="Q764" s="3">
        <v>0</v>
      </c>
      <c r="R764" s="22" t="s">
        <v>2764</v>
      </c>
      <c r="S764" s="22" t="s">
        <v>5097</v>
      </c>
      <c r="T764" s="51">
        <v>30</v>
      </c>
      <c r="U764" s="3" t="s">
        <v>5255</v>
      </c>
      <c r="V764" s="41" t="str">
        <f>HYPERLINK("http://ictvonline.org/taxonomy/p/taxonomy-history?taxnode_id=20180469","ICTVonline=20180469")</f>
        <v>ICTVonline=20180469</v>
      </c>
    </row>
    <row r="765" spans="1:22">
      <c r="A765" s="3">
        <v>764</v>
      </c>
      <c r="J765" s="1" t="s">
        <v>1338</v>
      </c>
      <c r="L765" s="1" t="s">
        <v>1339</v>
      </c>
      <c r="N765" s="1" t="s">
        <v>2966</v>
      </c>
      <c r="P765" s="1" t="s">
        <v>2969</v>
      </c>
      <c r="Q765" s="3">
        <v>0</v>
      </c>
      <c r="R765" s="22" t="s">
        <v>2764</v>
      </c>
      <c r="S765" s="22" t="s">
        <v>5097</v>
      </c>
      <c r="T765" s="51">
        <v>30</v>
      </c>
      <c r="U765" s="3" t="s">
        <v>5255</v>
      </c>
      <c r="V765" s="41" t="str">
        <f>HYPERLINK("http://ictvonline.org/taxonomy/p/taxonomy-history?taxnode_id=20180470","ICTVonline=20180470")</f>
        <v>ICTVonline=20180470</v>
      </c>
    </row>
    <row r="766" spans="1:22">
      <c r="A766" s="3">
        <v>765</v>
      </c>
      <c r="J766" s="1" t="s">
        <v>1338</v>
      </c>
      <c r="L766" s="1" t="s">
        <v>1339</v>
      </c>
      <c r="N766" s="1" t="s">
        <v>2966</v>
      </c>
      <c r="P766" s="1" t="s">
        <v>2970</v>
      </c>
      <c r="Q766" s="3">
        <v>1</v>
      </c>
      <c r="R766" s="22" t="s">
        <v>2764</v>
      </c>
      <c r="S766" s="22" t="s">
        <v>5097</v>
      </c>
      <c r="T766" s="51">
        <v>30</v>
      </c>
      <c r="U766" s="3" t="s">
        <v>5255</v>
      </c>
      <c r="V766" s="41" t="str">
        <f>HYPERLINK("http://ictvonline.org/taxonomy/p/taxonomy-history?taxnode_id=20180471","ICTVonline=20180471")</f>
        <v>ICTVonline=20180471</v>
      </c>
    </row>
    <row r="767" spans="1:22">
      <c r="A767" s="3">
        <v>766</v>
      </c>
      <c r="J767" s="1" t="s">
        <v>1338</v>
      </c>
      <c r="L767" s="1" t="s">
        <v>1339</v>
      </c>
      <c r="N767" s="1" t="s">
        <v>2966</v>
      </c>
      <c r="P767" s="1" t="s">
        <v>2971</v>
      </c>
      <c r="Q767" s="3">
        <v>0</v>
      </c>
      <c r="R767" s="22" t="s">
        <v>2764</v>
      </c>
      <c r="S767" s="22" t="s">
        <v>5097</v>
      </c>
      <c r="T767" s="51">
        <v>30</v>
      </c>
      <c r="U767" s="3" t="s">
        <v>5255</v>
      </c>
      <c r="V767" s="41" t="str">
        <f>HYPERLINK("http://ictvonline.org/taxonomy/p/taxonomy-history?taxnode_id=20180472","ICTVonline=20180472")</f>
        <v>ICTVonline=20180472</v>
      </c>
    </row>
    <row r="768" spans="1:22">
      <c r="A768" s="3">
        <v>767</v>
      </c>
      <c r="J768" s="1" t="s">
        <v>1338</v>
      </c>
      <c r="L768" s="1" t="s">
        <v>1339</v>
      </c>
      <c r="N768" s="1" t="s">
        <v>2966</v>
      </c>
      <c r="P768" s="1" t="s">
        <v>2972</v>
      </c>
      <c r="Q768" s="3">
        <v>0</v>
      </c>
      <c r="R768" s="22" t="s">
        <v>2764</v>
      </c>
      <c r="S768" s="22" t="s">
        <v>5097</v>
      </c>
      <c r="T768" s="51">
        <v>30</v>
      </c>
      <c r="U768" s="3" t="s">
        <v>5255</v>
      </c>
      <c r="V768" s="41" t="str">
        <f>HYPERLINK("http://ictvonline.org/taxonomy/p/taxonomy-history?taxnode_id=20180473","ICTVonline=20180473")</f>
        <v>ICTVonline=20180473</v>
      </c>
    </row>
    <row r="769" spans="1:22">
      <c r="A769" s="3">
        <v>768</v>
      </c>
      <c r="J769" s="1" t="s">
        <v>1338</v>
      </c>
      <c r="L769" s="1" t="s">
        <v>1339</v>
      </c>
      <c r="N769" s="1" t="s">
        <v>2973</v>
      </c>
      <c r="P769" s="1" t="s">
        <v>2974</v>
      </c>
      <c r="Q769" s="3">
        <v>0</v>
      </c>
      <c r="R769" s="22" t="s">
        <v>2764</v>
      </c>
      <c r="S769" s="22" t="s">
        <v>5098</v>
      </c>
      <c r="T769" s="51">
        <v>30</v>
      </c>
      <c r="U769" s="3" t="s">
        <v>5216</v>
      </c>
      <c r="V769" s="41" t="str">
        <f>HYPERLINK("http://ictvonline.org/taxonomy/p/taxonomy-history?taxnode_id=20180475","ICTVonline=20180475")</f>
        <v>ICTVonline=20180475</v>
      </c>
    </row>
    <row r="770" spans="1:22">
      <c r="A770" s="3">
        <v>769</v>
      </c>
      <c r="J770" s="1" t="s">
        <v>1338</v>
      </c>
      <c r="L770" s="1" t="s">
        <v>1339</v>
      </c>
      <c r="N770" s="1" t="s">
        <v>2973</v>
      </c>
      <c r="P770" s="1" t="s">
        <v>2975</v>
      </c>
      <c r="Q770" s="3">
        <v>0</v>
      </c>
      <c r="R770" s="22" t="s">
        <v>2764</v>
      </c>
      <c r="S770" s="22" t="s">
        <v>5098</v>
      </c>
      <c r="T770" s="51">
        <v>30</v>
      </c>
      <c r="U770" s="3" t="s">
        <v>5216</v>
      </c>
      <c r="V770" s="41" t="str">
        <f>HYPERLINK("http://ictvonline.org/taxonomy/p/taxonomy-history?taxnode_id=20180476","ICTVonline=20180476")</f>
        <v>ICTVonline=20180476</v>
      </c>
    </row>
    <row r="771" spans="1:22">
      <c r="A771" s="3">
        <v>770</v>
      </c>
      <c r="J771" s="1" t="s">
        <v>1338</v>
      </c>
      <c r="L771" s="1" t="s">
        <v>1339</v>
      </c>
      <c r="N771" s="1" t="s">
        <v>2973</v>
      </c>
      <c r="P771" s="1" t="s">
        <v>2976</v>
      </c>
      <c r="Q771" s="3">
        <v>0</v>
      </c>
      <c r="R771" s="22" t="s">
        <v>2764</v>
      </c>
      <c r="S771" s="22" t="s">
        <v>5097</v>
      </c>
      <c r="T771" s="51">
        <v>30</v>
      </c>
      <c r="U771" s="3" t="s">
        <v>5256</v>
      </c>
      <c r="V771" s="41" t="str">
        <f>HYPERLINK("http://ictvonline.org/taxonomy/p/taxonomy-history?taxnode_id=20180477","ICTVonline=20180477")</f>
        <v>ICTVonline=20180477</v>
      </c>
    </row>
    <row r="772" spans="1:22">
      <c r="A772" s="3">
        <v>771</v>
      </c>
      <c r="J772" s="1" t="s">
        <v>1338</v>
      </c>
      <c r="L772" s="1" t="s">
        <v>1339</v>
      </c>
      <c r="N772" s="1" t="s">
        <v>2973</v>
      </c>
      <c r="P772" s="1" t="s">
        <v>2977</v>
      </c>
      <c r="Q772" s="3">
        <v>0</v>
      </c>
      <c r="R772" s="22" t="s">
        <v>2764</v>
      </c>
      <c r="S772" s="22" t="s">
        <v>5097</v>
      </c>
      <c r="T772" s="51">
        <v>30</v>
      </c>
      <c r="U772" s="3" t="s">
        <v>5256</v>
      </c>
      <c r="V772" s="41" t="str">
        <f>HYPERLINK("http://ictvonline.org/taxonomy/p/taxonomy-history?taxnode_id=20180478","ICTVonline=20180478")</f>
        <v>ICTVonline=20180478</v>
      </c>
    </row>
    <row r="773" spans="1:22">
      <c r="A773" s="3">
        <v>772</v>
      </c>
      <c r="J773" s="1" t="s">
        <v>1338</v>
      </c>
      <c r="L773" s="1" t="s">
        <v>1339</v>
      </c>
      <c r="N773" s="1" t="s">
        <v>2973</v>
      </c>
      <c r="P773" s="1" t="s">
        <v>2978</v>
      </c>
      <c r="Q773" s="3">
        <v>0</v>
      </c>
      <c r="R773" s="22" t="s">
        <v>2764</v>
      </c>
      <c r="S773" s="22" t="s">
        <v>5097</v>
      </c>
      <c r="T773" s="51">
        <v>30</v>
      </c>
      <c r="U773" s="3" t="s">
        <v>5256</v>
      </c>
      <c r="V773" s="41" t="str">
        <f>HYPERLINK("http://ictvonline.org/taxonomy/p/taxonomy-history?taxnode_id=20180479","ICTVonline=20180479")</f>
        <v>ICTVonline=20180479</v>
      </c>
    </row>
    <row r="774" spans="1:22">
      <c r="A774" s="3">
        <v>773</v>
      </c>
      <c r="J774" s="1" t="s">
        <v>1338</v>
      </c>
      <c r="L774" s="1" t="s">
        <v>1339</v>
      </c>
      <c r="N774" s="1" t="s">
        <v>2973</v>
      </c>
      <c r="P774" s="1" t="s">
        <v>2979</v>
      </c>
      <c r="Q774" s="3">
        <v>0</v>
      </c>
      <c r="R774" s="22" t="s">
        <v>2764</v>
      </c>
      <c r="S774" s="22" t="s">
        <v>5098</v>
      </c>
      <c r="T774" s="51">
        <v>30</v>
      </c>
      <c r="U774" s="3" t="s">
        <v>5216</v>
      </c>
      <c r="V774" s="41" t="str">
        <f>HYPERLINK("http://ictvonline.org/taxonomy/p/taxonomy-history?taxnode_id=20180480","ICTVonline=20180480")</f>
        <v>ICTVonline=20180480</v>
      </c>
    </row>
    <row r="775" spans="1:22">
      <c r="A775" s="3">
        <v>774</v>
      </c>
      <c r="J775" s="1" t="s">
        <v>1338</v>
      </c>
      <c r="L775" s="1" t="s">
        <v>1339</v>
      </c>
      <c r="N775" s="1" t="s">
        <v>2973</v>
      </c>
      <c r="P775" s="1" t="s">
        <v>2980</v>
      </c>
      <c r="Q775" s="3">
        <v>0</v>
      </c>
      <c r="R775" s="22" t="s">
        <v>2764</v>
      </c>
      <c r="S775" s="22" t="s">
        <v>5097</v>
      </c>
      <c r="T775" s="51">
        <v>30</v>
      </c>
      <c r="U775" s="3" t="s">
        <v>5256</v>
      </c>
      <c r="V775" s="41" t="str">
        <f>HYPERLINK("http://ictvonline.org/taxonomy/p/taxonomy-history?taxnode_id=20180481","ICTVonline=20180481")</f>
        <v>ICTVonline=20180481</v>
      </c>
    </row>
    <row r="776" spans="1:22">
      <c r="A776" s="3">
        <v>775</v>
      </c>
      <c r="J776" s="1" t="s">
        <v>1338</v>
      </c>
      <c r="L776" s="1" t="s">
        <v>1339</v>
      </c>
      <c r="N776" s="1" t="s">
        <v>2973</v>
      </c>
      <c r="P776" s="1" t="s">
        <v>2981</v>
      </c>
      <c r="Q776" s="3">
        <v>0</v>
      </c>
      <c r="R776" s="22" t="s">
        <v>2764</v>
      </c>
      <c r="S776" s="22" t="s">
        <v>5097</v>
      </c>
      <c r="T776" s="51">
        <v>30</v>
      </c>
      <c r="U776" s="3" t="s">
        <v>5256</v>
      </c>
      <c r="V776" s="41" t="str">
        <f>HYPERLINK("http://ictvonline.org/taxonomy/p/taxonomy-history?taxnode_id=20180482","ICTVonline=20180482")</f>
        <v>ICTVonline=20180482</v>
      </c>
    </row>
    <row r="777" spans="1:22">
      <c r="A777" s="3">
        <v>776</v>
      </c>
      <c r="J777" s="1" t="s">
        <v>1338</v>
      </c>
      <c r="L777" s="1" t="s">
        <v>1339</v>
      </c>
      <c r="N777" s="1" t="s">
        <v>2973</v>
      </c>
      <c r="P777" s="1" t="s">
        <v>2982</v>
      </c>
      <c r="Q777" s="3">
        <v>0</v>
      </c>
      <c r="R777" s="22" t="s">
        <v>2764</v>
      </c>
      <c r="S777" s="22" t="s">
        <v>5098</v>
      </c>
      <c r="T777" s="51">
        <v>30</v>
      </c>
      <c r="U777" s="3" t="s">
        <v>5216</v>
      </c>
      <c r="V777" s="41" t="str">
        <f>HYPERLINK("http://ictvonline.org/taxonomy/p/taxonomy-history?taxnode_id=20180483","ICTVonline=20180483")</f>
        <v>ICTVonline=20180483</v>
      </c>
    </row>
    <row r="778" spans="1:22">
      <c r="A778" s="3">
        <v>777</v>
      </c>
      <c r="J778" s="1" t="s">
        <v>1338</v>
      </c>
      <c r="L778" s="1" t="s">
        <v>1339</v>
      </c>
      <c r="N778" s="1" t="s">
        <v>2973</v>
      </c>
      <c r="P778" s="1" t="s">
        <v>2983</v>
      </c>
      <c r="Q778" s="3">
        <v>0</v>
      </c>
      <c r="R778" s="22" t="s">
        <v>2764</v>
      </c>
      <c r="S778" s="22" t="s">
        <v>5098</v>
      </c>
      <c r="T778" s="51">
        <v>30</v>
      </c>
      <c r="U778" s="3" t="s">
        <v>5216</v>
      </c>
      <c r="V778" s="41" t="str">
        <f>HYPERLINK("http://ictvonline.org/taxonomy/p/taxonomy-history?taxnode_id=20180484","ICTVonline=20180484")</f>
        <v>ICTVonline=20180484</v>
      </c>
    </row>
    <row r="779" spans="1:22">
      <c r="A779" s="3">
        <v>778</v>
      </c>
      <c r="J779" s="1" t="s">
        <v>1338</v>
      </c>
      <c r="L779" s="1" t="s">
        <v>1339</v>
      </c>
      <c r="N779" s="1" t="s">
        <v>2973</v>
      </c>
      <c r="P779" s="1" t="s">
        <v>2984</v>
      </c>
      <c r="Q779" s="3">
        <v>1</v>
      </c>
      <c r="R779" s="22" t="s">
        <v>2764</v>
      </c>
      <c r="S779" s="22" t="s">
        <v>5098</v>
      </c>
      <c r="T779" s="51">
        <v>30</v>
      </c>
      <c r="U779" s="3" t="s">
        <v>5216</v>
      </c>
      <c r="V779" s="41" t="str">
        <f>HYPERLINK("http://ictvonline.org/taxonomy/p/taxonomy-history?taxnode_id=20180485","ICTVonline=20180485")</f>
        <v>ICTVonline=20180485</v>
      </c>
    </row>
    <row r="780" spans="1:22">
      <c r="A780" s="3">
        <v>779</v>
      </c>
      <c r="J780" s="1" t="s">
        <v>1338</v>
      </c>
      <c r="L780" s="1" t="s">
        <v>1339</v>
      </c>
      <c r="N780" s="1" t="s">
        <v>2973</v>
      </c>
      <c r="P780" s="1" t="s">
        <v>2985</v>
      </c>
      <c r="Q780" s="3">
        <v>0</v>
      </c>
      <c r="R780" s="22" t="s">
        <v>2764</v>
      </c>
      <c r="S780" s="22" t="s">
        <v>5098</v>
      </c>
      <c r="T780" s="51">
        <v>30</v>
      </c>
      <c r="U780" s="3" t="s">
        <v>5216</v>
      </c>
      <c r="V780" s="41" t="str">
        <f>HYPERLINK("http://ictvonline.org/taxonomy/p/taxonomy-history?taxnode_id=20180486","ICTVonline=20180486")</f>
        <v>ICTVonline=20180486</v>
      </c>
    </row>
    <row r="781" spans="1:22">
      <c r="A781" s="3">
        <v>780</v>
      </c>
      <c r="J781" s="1" t="s">
        <v>1338</v>
      </c>
      <c r="L781" s="1" t="s">
        <v>1339</v>
      </c>
      <c r="N781" s="1" t="s">
        <v>2986</v>
      </c>
      <c r="P781" s="1" t="s">
        <v>4379</v>
      </c>
      <c r="Q781" s="3">
        <v>0</v>
      </c>
      <c r="R781" s="22" t="s">
        <v>2764</v>
      </c>
      <c r="S781" s="22" t="s">
        <v>5097</v>
      </c>
      <c r="T781" s="51">
        <v>31</v>
      </c>
      <c r="U781" s="3" t="s">
        <v>5245</v>
      </c>
      <c r="V781" s="41" t="str">
        <f>HYPERLINK("http://ictvonline.org/taxonomy/p/taxonomy-history?taxnode_id=20180488","ICTVonline=20180488")</f>
        <v>ICTVonline=20180488</v>
      </c>
    </row>
    <row r="782" spans="1:22">
      <c r="A782" s="3">
        <v>781</v>
      </c>
      <c r="J782" s="1" t="s">
        <v>1338</v>
      </c>
      <c r="L782" s="1" t="s">
        <v>1339</v>
      </c>
      <c r="N782" s="1" t="s">
        <v>2986</v>
      </c>
      <c r="P782" s="1" t="s">
        <v>2988</v>
      </c>
      <c r="Q782" s="3">
        <v>1</v>
      </c>
      <c r="R782" s="22" t="s">
        <v>2764</v>
      </c>
      <c r="S782" s="22" t="s">
        <v>5098</v>
      </c>
      <c r="T782" s="51">
        <v>30</v>
      </c>
      <c r="U782" s="3" t="s">
        <v>5216</v>
      </c>
      <c r="V782" s="41" t="str">
        <f>HYPERLINK("http://ictvonline.org/taxonomy/p/taxonomy-history?taxnode_id=20180489","ICTVonline=20180489")</f>
        <v>ICTVonline=20180489</v>
      </c>
    </row>
    <row r="783" spans="1:22">
      <c r="A783" s="3">
        <v>782</v>
      </c>
      <c r="J783" s="1" t="s">
        <v>1338</v>
      </c>
      <c r="L783" s="1" t="s">
        <v>1339</v>
      </c>
      <c r="N783" s="1" t="s">
        <v>2989</v>
      </c>
      <c r="P783" s="1" t="s">
        <v>2990</v>
      </c>
      <c r="Q783" s="3">
        <v>1</v>
      </c>
      <c r="R783" s="22" t="s">
        <v>2764</v>
      </c>
      <c r="S783" s="22" t="s">
        <v>5097</v>
      </c>
      <c r="T783" s="51">
        <v>30</v>
      </c>
      <c r="U783" s="3" t="s">
        <v>5257</v>
      </c>
      <c r="V783" s="41" t="str">
        <f>HYPERLINK("http://ictvonline.org/taxonomy/p/taxonomy-history?taxnode_id=20180491","ICTVonline=20180491")</f>
        <v>ICTVonline=20180491</v>
      </c>
    </row>
    <row r="784" spans="1:22">
      <c r="A784" s="3">
        <v>783</v>
      </c>
      <c r="J784" s="1" t="s">
        <v>1338</v>
      </c>
      <c r="L784" s="1" t="s">
        <v>1339</v>
      </c>
      <c r="N784" s="1" t="s">
        <v>4380</v>
      </c>
      <c r="P784" s="1" t="s">
        <v>4381</v>
      </c>
      <c r="Q784" s="3">
        <v>0</v>
      </c>
      <c r="R784" s="22" t="s">
        <v>2764</v>
      </c>
      <c r="S784" s="22" t="s">
        <v>5097</v>
      </c>
      <c r="T784" s="51">
        <v>31</v>
      </c>
      <c r="U784" s="3" t="s">
        <v>5258</v>
      </c>
      <c r="V784" s="41" t="str">
        <f>HYPERLINK("http://ictvonline.org/taxonomy/p/taxonomy-history?taxnode_id=20180493","ICTVonline=20180493")</f>
        <v>ICTVonline=20180493</v>
      </c>
    </row>
    <row r="785" spans="1:22">
      <c r="A785" s="3">
        <v>784</v>
      </c>
      <c r="J785" s="1" t="s">
        <v>1338</v>
      </c>
      <c r="L785" s="1" t="s">
        <v>1339</v>
      </c>
      <c r="N785" s="1" t="s">
        <v>4380</v>
      </c>
      <c r="P785" s="1" t="s">
        <v>4382</v>
      </c>
      <c r="Q785" s="3">
        <v>1</v>
      </c>
      <c r="R785" s="22" t="s">
        <v>2764</v>
      </c>
      <c r="S785" s="22" t="s">
        <v>5097</v>
      </c>
      <c r="T785" s="51">
        <v>31</v>
      </c>
      <c r="U785" s="3" t="s">
        <v>5258</v>
      </c>
      <c r="V785" s="41" t="str">
        <f>HYPERLINK("http://ictvonline.org/taxonomy/p/taxonomy-history?taxnode_id=20180494","ICTVonline=20180494")</f>
        <v>ICTVonline=20180494</v>
      </c>
    </row>
    <row r="786" spans="1:22">
      <c r="A786" s="3">
        <v>785</v>
      </c>
      <c r="J786" s="1" t="s">
        <v>1338</v>
      </c>
      <c r="L786" s="1" t="s">
        <v>1339</v>
      </c>
      <c r="N786" s="1" t="s">
        <v>4383</v>
      </c>
      <c r="P786" s="1" t="s">
        <v>4384</v>
      </c>
      <c r="Q786" s="3">
        <v>1</v>
      </c>
      <c r="R786" s="22" t="s">
        <v>2764</v>
      </c>
      <c r="S786" s="22" t="s">
        <v>5097</v>
      </c>
      <c r="T786" s="51">
        <v>31</v>
      </c>
      <c r="U786" s="3" t="s">
        <v>5259</v>
      </c>
      <c r="V786" s="41" t="str">
        <f>HYPERLINK("http://ictvonline.org/taxonomy/p/taxonomy-history?taxnode_id=20180496","ICTVonline=20180496")</f>
        <v>ICTVonline=20180496</v>
      </c>
    </row>
    <row r="787" spans="1:22">
      <c r="A787" s="3">
        <v>786</v>
      </c>
      <c r="J787" s="1" t="s">
        <v>1338</v>
      </c>
      <c r="L787" s="1" t="s">
        <v>1339</v>
      </c>
      <c r="N787" s="1" t="s">
        <v>2991</v>
      </c>
      <c r="P787" s="1" t="s">
        <v>2992</v>
      </c>
      <c r="Q787" s="3">
        <v>1</v>
      </c>
      <c r="R787" s="22" t="s">
        <v>2764</v>
      </c>
      <c r="S787" s="22" t="s">
        <v>5098</v>
      </c>
      <c r="T787" s="51">
        <v>30</v>
      </c>
      <c r="U787" s="3" t="s">
        <v>5224</v>
      </c>
      <c r="V787" s="41" t="str">
        <f>HYPERLINK("http://ictvonline.org/taxonomy/p/taxonomy-history?taxnode_id=20180498","ICTVonline=20180498")</f>
        <v>ICTVonline=20180498</v>
      </c>
    </row>
    <row r="788" spans="1:22">
      <c r="A788" s="3">
        <v>787</v>
      </c>
      <c r="J788" s="1" t="s">
        <v>1338</v>
      </c>
      <c r="L788" s="1" t="s">
        <v>1339</v>
      </c>
      <c r="N788" s="1" t="s">
        <v>2991</v>
      </c>
      <c r="P788" s="1" t="s">
        <v>2993</v>
      </c>
      <c r="Q788" s="3">
        <v>0</v>
      </c>
      <c r="R788" s="22" t="s">
        <v>2764</v>
      </c>
      <c r="S788" s="22" t="s">
        <v>5098</v>
      </c>
      <c r="T788" s="51">
        <v>30</v>
      </c>
      <c r="U788" s="3" t="s">
        <v>5224</v>
      </c>
      <c r="V788" s="41" t="str">
        <f>HYPERLINK("http://ictvonline.org/taxonomy/p/taxonomy-history?taxnode_id=20180499","ICTVonline=20180499")</f>
        <v>ICTVonline=20180499</v>
      </c>
    </row>
    <row r="789" spans="1:22">
      <c r="A789" s="3">
        <v>788</v>
      </c>
      <c r="J789" s="1" t="s">
        <v>1338</v>
      </c>
      <c r="L789" s="1" t="s">
        <v>1339</v>
      </c>
      <c r="N789" s="1" t="s">
        <v>2991</v>
      </c>
      <c r="P789" s="1" t="s">
        <v>2994</v>
      </c>
      <c r="Q789" s="3">
        <v>0</v>
      </c>
      <c r="R789" s="22" t="s">
        <v>2764</v>
      </c>
      <c r="S789" s="22" t="s">
        <v>5097</v>
      </c>
      <c r="T789" s="51">
        <v>30</v>
      </c>
      <c r="U789" s="3" t="s">
        <v>5260</v>
      </c>
      <c r="V789" s="41" t="str">
        <f>HYPERLINK("http://ictvonline.org/taxonomy/p/taxonomy-history?taxnode_id=20180500","ICTVonline=20180500")</f>
        <v>ICTVonline=20180500</v>
      </c>
    </row>
    <row r="790" spans="1:22">
      <c r="A790" s="3">
        <v>789</v>
      </c>
      <c r="J790" s="1" t="s">
        <v>1338</v>
      </c>
      <c r="L790" s="1" t="s">
        <v>1339</v>
      </c>
      <c r="N790" s="1" t="s">
        <v>2991</v>
      </c>
      <c r="P790" s="1" t="s">
        <v>2995</v>
      </c>
      <c r="Q790" s="3">
        <v>0</v>
      </c>
      <c r="R790" s="22" t="s">
        <v>2764</v>
      </c>
      <c r="S790" s="22" t="s">
        <v>5097</v>
      </c>
      <c r="T790" s="51">
        <v>30</v>
      </c>
      <c r="U790" s="3" t="s">
        <v>5260</v>
      </c>
      <c r="V790" s="41" t="str">
        <f>HYPERLINK("http://ictvonline.org/taxonomy/p/taxonomy-history?taxnode_id=20180501","ICTVonline=20180501")</f>
        <v>ICTVonline=20180501</v>
      </c>
    </row>
    <row r="791" spans="1:22">
      <c r="A791" s="3">
        <v>790</v>
      </c>
      <c r="J791" s="1" t="s">
        <v>1338</v>
      </c>
      <c r="L791" s="1" t="s">
        <v>1339</v>
      </c>
      <c r="N791" s="1" t="s">
        <v>2991</v>
      </c>
      <c r="P791" s="1" t="s">
        <v>2996</v>
      </c>
      <c r="Q791" s="3">
        <v>0</v>
      </c>
      <c r="R791" s="22" t="s">
        <v>2764</v>
      </c>
      <c r="S791" s="22" t="s">
        <v>5097</v>
      </c>
      <c r="T791" s="51">
        <v>30</v>
      </c>
      <c r="U791" s="3" t="s">
        <v>5260</v>
      </c>
      <c r="V791" s="41" t="str">
        <f>HYPERLINK("http://ictvonline.org/taxonomy/p/taxonomy-history?taxnode_id=20180502","ICTVonline=20180502")</f>
        <v>ICTVonline=20180502</v>
      </c>
    </row>
    <row r="792" spans="1:22">
      <c r="A792" s="3">
        <v>791</v>
      </c>
      <c r="J792" s="1" t="s">
        <v>1338</v>
      </c>
      <c r="L792" s="1" t="s">
        <v>1339</v>
      </c>
      <c r="N792" s="1" t="s">
        <v>2991</v>
      </c>
      <c r="P792" s="1" t="s">
        <v>2997</v>
      </c>
      <c r="Q792" s="3">
        <v>0</v>
      </c>
      <c r="R792" s="22" t="s">
        <v>2764</v>
      </c>
      <c r="S792" s="22" t="s">
        <v>5097</v>
      </c>
      <c r="T792" s="51">
        <v>30</v>
      </c>
      <c r="U792" s="3" t="s">
        <v>5260</v>
      </c>
      <c r="V792" s="41" t="str">
        <f>HYPERLINK("http://ictvonline.org/taxonomy/p/taxonomy-history?taxnode_id=20180503","ICTVonline=20180503")</f>
        <v>ICTVonline=20180503</v>
      </c>
    </row>
    <row r="793" spans="1:22">
      <c r="A793" s="3">
        <v>792</v>
      </c>
      <c r="J793" s="1" t="s">
        <v>1338</v>
      </c>
      <c r="L793" s="1" t="s">
        <v>1339</v>
      </c>
      <c r="N793" s="1" t="s">
        <v>4385</v>
      </c>
      <c r="P793" s="1" t="s">
        <v>4386</v>
      </c>
      <c r="Q793" s="3">
        <v>0</v>
      </c>
      <c r="R793" s="22" t="s">
        <v>2764</v>
      </c>
      <c r="S793" s="22" t="s">
        <v>5097</v>
      </c>
      <c r="T793" s="51">
        <v>31</v>
      </c>
      <c r="U793" s="3" t="s">
        <v>5261</v>
      </c>
      <c r="V793" s="41" t="str">
        <f>HYPERLINK("http://ictvonline.org/taxonomy/p/taxonomy-history?taxnode_id=20180505","ICTVonline=20180505")</f>
        <v>ICTVonline=20180505</v>
      </c>
    </row>
    <row r="794" spans="1:22">
      <c r="A794" s="3">
        <v>793</v>
      </c>
      <c r="J794" s="1" t="s">
        <v>1338</v>
      </c>
      <c r="L794" s="1" t="s">
        <v>1339</v>
      </c>
      <c r="N794" s="1" t="s">
        <v>4385</v>
      </c>
      <c r="P794" s="1" t="s">
        <v>4387</v>
      </c>
      <c r="Q794" s="3">
        <v>1</v>
      </c>
      <c r="R794" s="22" t="s">
        <v>2764</v>
      </c>
      <c r="S794" s="22" t="s">
        <v>5097</v>
      </c>
      <c r="T794" s="51">
        <v>31</v>
      </c>
      <c r="U794" s="3" t="s">
        <v>5261</v>
      </c>
      <c r="V794" s="41" t="str">
        <f>HYPERLINK("http://ictvonline.org/taxonomy/p/taxonomy-history?taxnode_id=20180506","ICTVonline=20180506")</f>
        <v>ICTVonline=20180506</v>
      </c>
    </row>
    <row r="795" spans="1:22">
      <c r="A795" s="3">
        <v>794</v>
      </c>
      <c r="J795" s="1" t="s">
        <v>1338</v>
      </c>
      <c r="L795" s="1" t="s">
        <v>1339</v>
      </c>
      <c r="N795" s="1" t="s">
        <v>4388</v>
      </c>
      <c r="P795" s="1" t="s">
        <v>4389</v>
      </c>
      <c r="Q795" s="3">
        <v>1</v>
      </c>
      <c r="R795" s="22" t="s">
        <v>2764</v>
      </c>
      <c r="S795" s="22" t="s">
        <v>5097</v>
      </c>
      <c r="T795" s="51">
        <v>31</v>
      </c>
      <c r="U795" s="3" t="s">
        <v>5262</v>
      </c>
      <c r="V795" s="41" t="str">
        <f>HYPERLINK("http://ictvonline.org/taxonomy/p/taxonomy-history?taxnode_id=20180508","ICTVonline=20180508")</f>
        <v>ICTVonline=20180508</v>
      </c>
    </row>
    <row r="796" spans="1:22">
      <c r="A796" s="3">
        <v>795</v>
      </c>
      <c r="J796" s="1" t="s">
        <v>1338</v>
      </c>
      <c r="L796" s="1" t="s">
        <v>1339</v>
      </c>
      <c r="N796" s="1" t="s">
        <v>5263</v>
      </c>
      <c r="P796" s="1" t="s">
        <v>5264</v>
      </c>
      <c r="Q796" s="3">
        <v>0</v>
      </c>
      <c r="R796" s="22" t="s">
        <v>2764</v>
      </c>
      <c r="S796" s="22" t="s">
        <v>5097</v>
      </c>
      <c r="T796" s="51">
        <v>32</v>
      </c>
      <c r="U796" s="3" t="s">
        <v>5265</v>
      </c>
      <c r="V796" s="41" t="str">
        <f>HYPERLINK("http://ictvonline.org/taxonomy/p/taxonomy-history?taxnode_id=20185485","ICTVonline=20185485")</f>
        <v>ICTVonline=20185485</v>
      </c>
    </row>
    <row r="797" spans="1:22">
      <c r="A797" s="3">
        <v>796</v>
      </c>
      <c r="J797" s="1" t="s">
        <v>1338</v>
      </c>
      <c r="L797" s="1" t="s">
        <v>1339</v>
      </c>
      <c r="N797" s="1" t="s">
        <v>5263</v>
      </c>
      <c r="P797" s="1" t="s">
        <v>5266</v>
      </c>
      <c r="Q797" s="3">
        <v>1</v>
      </c>
      <c r="R797" s="22" t="s">
        <v>2764</v>
      </c>
      <c r="S797" s="22" t="s">
        <v>5097</v>
      </c>
      <c r="T797" s="51">
        <v>32</v>
      </c>
      <c r="U797" s="3" t="s">
        <v>5265</v>
      </c>
      <c r="V797" s="41" t="str">
        <f>HYPERLINK("http://ictvonline.org/taxonomy/p/taxonomy-history?taxnode_id=20185486","ICTVonline=20185486")</f>
        <v>ICTVonline=20185486</v>
      </c>
    </row>
    <row r="798" spans="1:22">
      <c r="A798" s="3">
        <v>797</v>
      </c>
      <c r="J798" s="1" t="s">
        <v>1338</v>
      </c>
      <c r="L798" s="1" t="s">
        <v>1339</v>
      </c>
      <c r="N798" s="1" t="s">
        <v>2998</v>
      </c>
      <c r="P798" s="1" t="s">
        <v>2999</v>
      </c>
      <c r="Q798" s="3">
        <v>0</v>
      </c>
      <c r="R798" s="22" t="s">
        <v>2764</v>
      </c>
      <c r="S798" s="22" t="s">
        <v>5097</v>
      </c>
      <c r="T798" s="51">
        <v>30</v>
      </c>
      <c r="U798" s="3" t="s">
        <v>5267</v>
      </c>
      <c r="V798" s="41" t="str">
        <f>HYPERLINK("http://ictvonline.org/taxonomy/p/taxonomy-history?taxnode_id=20180510","ICTVonline=20180510")</f>
        <v>ICTVonline=20180510</v>
      </c>
    </row>
    <row r="799" spans="1:22">
      <c r="A799" s="3">
        <v>798</v>
      </c>
      <c r="J799" s="1" t="s">
        <v>1338</v>
      </c>
      <c r="L799" s="1" t="s">
        <v>1339</v>
      </c>
      <c r="N799" s="1" t="s">
        <v>2998</v>
      </c>
      <c r="P799" s="1" t="s">
        <v>3000</v>
      </c>
      <c r="Q799" s="3">
        <v>1</v>
      </c>
      <c r="R799" s="22" t="s">
        <v>2764</v>
      </c>
      <c r="S799" s="22" t="s">
        <v>5097</v>
      </c>
      <c r="T799" s="51">
        <v>30</v>
      </c>
      <c r="U799" s="3" t="s">
        <v>5267</v>
      </c>
      <c r="V799" s="41" t="str">
        <f>HYPERLINK("http://ictvonline.org/taxonomy/p/taxonomy-history?taxnode_id=20180511","ICTVonline=20180511")</f>
        <v>ICTVonline=20180511</v>
      </c>
    </row>
    <row r="800" spans="1:22">
      <c r="A800" s="3">
        <v>799</v>
      </c>
      <c r="J800" s="1" t="s">
        <v>1338</v>
      </c>
      <c r="L800" s="1" t="s">
        <v>1339</v>
      </c>
      <c r="N800" s="1" t="s">
        <v>3004</v>
      </c>
      <c r="P800" s="1" t="s">
        <v>3005</v>
      </c>
      <c r="Q800" s="3">
        <v>0</v>
      </c>
      <c r="R800" s="22" t="s">
        <v>2764</v>
      </c>
      <c r="S800" s="22" t="s">
        <v>5097</v>
      </c>
      <c r="T800" s="51">
        <v>30</v>
      </c>
      <c r="U800" s="3" t="s">
        <v>5268</v>
      </c>
      <c r="V800" s="41" t="str">
        <f>HYPERLINK("http://ictvonline.org/taxonomy/p/taxonomy-history?taxnode_id=20180517","ICTVonline=20180517")</f>
        <v>ICTVonline=20180517</v>
      </c>
    </row>
    <row r="801" spans="1:22">
      <c r="A801" s="3">
        <v>800</v>
      </c>
      <c r="J801" s="1" t="s">
        <v>1338</v>
      </c>
      <c r="L801" s="1" t="s">
        <v>1339</v>
      </c>
      <c r="N801" s="1" t="s">
        <v>3004</v>
      </c>
      <c r="P801" s="1" t="s">
        <v>3006</v>
      </c>
      <c r="Q801" s="3">
        <v>1</v>
      </c>
      <c r="R801" s="22" t="s">
        <v>2764</v>
      </c>
      <c r="S801" s="22" t="s">
        <v>5097</v>
      </c>
      <c r="T801" s="51">
        <v>30</v>
      </c>
      <c r="U801" s="3" t="s">
        <v>5268</v>
      </c>
      <c r="V801" s="41" t="str">
        <f>HYPERLINK("http://ictvonline.org/taxonomy/p/taxonomy-history?taxnode_id=20180518","ICTVonline=20180518")</f>
        <v>ICTVonline=20180518</v>
      </c>
    </row>
    <row r="802" spans="1:22">
      <c r="A802" s="3">
        <v>801</v>
      </c>
      <c r="J802" s="1" t="s">
        <v>1338</v>
      </c>
      <c r="L802" s="1" t="s">
        <v>1339</v>
      </c>
      <c r="N802" s="1" t="s">
        <v>3004</v>
      </c>
      <c r="P802" s="1" t="s">
        <v>3007</v>
      </c>
      <c r="Q802" s="3">
        <v>0</v>
      </c>
      <c r="R802" s="22" t="s">
        <v>2764</v>
      </c>
      <c r="S802" s="22" t="s">
        <v>5097</v>
      </c>
      <c r="T802" s="51">
        <v>30</v>
      </c>
      <c r="U802" s="3" t="s">
        <v>5268</v>
      </c>
      <c r="V802" s="41" t="str">
        <f>HYPERLINK("http://ictvonline.org/taxonomy/p/taxonomy-history?taxnode_id=20180519","ICTVonline=20180519")</f>
        <v>ICTVonline=20180519</v>
      </c>
    </row>
    <row r="803" spans="1:22">
      <c r="A803" s="3">
        <v>802</v>
      </c>
      <c r="J803" s="1" t="s">
        <v>1338</v>
      </c>
      <c r="L803" s="1" t="s">
        <v>1339</v>
      </c>
      <c r="N803" s="1" t="s">
        <v>3023</v>
      </c>
      <c r="P803" s="1" t="s">
        <v>4390</v>
      </c>
      <c r="Q803" s="3">
        <v>0</v>
      </c>
      <c r="R803" s="22" t="s">
        <v>2764</v>
      </c>
      <c r="S803" s="22" t="s">
        <v>5097</v>
      </c>
      <c r="T803" s="51">
        <v>31</v>
      </c>
      <c r="U803" s="3" t="s">
        <v>5269</v>
      </c>
      <c r="V803" s="41" t="str">
        <f>HYPERLINK("http://ictvonline.org/taxonomy/p/taxonomy-history?taxnode_id=20180536","ICTVonline=20180536")</f>
        <v>ICTVonline=20180536</v>
      </c>
    </row>
    <row r="804" spans="1:22">
      <c r="A804" s="3">
        <v>803</v>
      </c>
      <c r="J804" s="1" t="s">
        <v>1338</v>
      </c>
      <c r="L804" s="1" t="s">
        <v>1339</v>
      </c>
      <c r="N804" s="1" t="s">
        <v>3023</v>
      </c>
      <c r="P804" s="1" t="s">
        <v>4391</v>
      </c>
      <c r="Q804" s="3">
        <v>0</v>
      </c>
      <c r="R804" s="22" t="s">
        <v>2764</v>
      </c>
      <c r="S804" s="22" t="s">
        <v>5097</v>
      </c>
      <c r="T804" s="51">
        <v>31</v>
      </c>
      <c r="U804" s="3" t="s">
        <v>5269</v>
      </c>
      <c r="V804" s="41" t="str">
        <f>HYPERLINK("http://ictvonline.org/taxonomy/p/taxonomy-history?taxnode_id=20180537","ICTVonline=20180537")</f>
        <v>ICTVonline=20180537</v>
      </c>
    </row>
    <row r="805" spans="1:22">
      <c r="A805" s="3">
        <v>804</v>
      </c>
      <c r="J805" s="1" t="s">
        <v>1338</v>
      </c>
      <c r="L805" s="1" t="s">
        <v>1339</v>
      </c>
      <c r="N805" s="1" t="s">
        <v>3023</v>
      </c>
      <c r="P805" s="1" t="s">
        <v>4392</v>
      </c>
      <c r="Q805" s="3">
        <v>0</v>
      </c>
      <c r="R805" s="22" t="s">
        <v>2764</v>
      </c>
      <c r="S805" s="22" t="s">
        <v>5097</v>
      </c>
      <c r="T805" s="51">
        <v>31</v>
      </c>
      <c r="U805" s="3" t="s">
        <v>5269</v>
      </c>
      <c r="V805" s="41" t="str">
        <f>HYPERLINK("http://ictvonline.org/taxonomy/p/taxonomy-history?taxnode_id=20180538","ICTVonline=20180538")</f>
        <v>ICTVonline=20180538</v>
      </c>
    </row>
    <row r="806" spans="1:22">
      <c r="A806" s="3">
        <v>805</v>
      </c>
      <c r="J806" s="1" t="s">
        <v>1338</v>
      </c>
      <c r="L806" s="1" t="s">
        <v>1339</v>
      </c>
      <c r="N806" s="1" t="s">
        <v>3023</v>
      </c>
      <c r="P806" s="1" t="s">
        <v>3024</v>
      </c>
      <c r="Q806" s="3">
        <v>1</v>
      </c>
      <c r="R806" s="22" t="s">
        <v>2764</v>
      </c>
      <c r="S806" s="22" t="s">
        <v>5097</v>
      </c>
      <c r="T806" s="51">
        <v>30</v>
      </c>
      <c r="U806" s="3" t="s">
        <v>5270</v>
      </c>
      <c r="V806" s="41" t="str">
        <f>HYPERLINK("http://ictvonline.org/taxonomy/p/taxonomy-history?taxnode_id=20180539","ICTVonline=20180539")</f>
        <v>ICTVonline=20180539</v>
      </c>
    </row>
    <row r="807" spans="1:22">
      <c r="A807" s="3">
        <v>806</v>
      </c>
      <c r="J807" s="1" t="s">
        <v>1338</v>
      </c>
      <c r="L807" s="1" t="s">
        <v>1339</v>
      </c>
      <c r="P807" s="1" t="s">
        <v>3001</v>
      </c>
      <c r="Q807" s="3">
        <v>0</v>
      </c>
      <c r="R807" s="22" t="s">
        <v>2764</v>
      </c>
      <c r="S807" s="22" t="s">
        <v>5100</v>
      </c>
      <c r="T807" s="51">
        <v>30</v>
      </c>
      <c r="U807" s="3" t="s">
        <v>5216</v>
      </c>
      <c r="V807" s="41" t="str">
        <f>HYPERLINK("http://ictvonline.org/taxonomy/p/taxonomy-history?taxnode_id=20180513","ICTVonline=20180513")</f>
        <v>ICTVonline=20180513</v>
      </c>
    </row>
    <row r="808" spans="1:22">
      <c r="A808" s="3">
        <v>807</v>
      </c>
      <c r="J808" s="1" t="s">
        <v>1338</v>
      </c>
      <c r="L808" s="1" t="s">
        <v>1339</v>
      </c>
      <c r="P808" s="1" t="s">
        <v>3002</v>
      </c>
      <c r="Q808" s="3">
        <v>0</v>
      </c>
      <c r="R808" s="22" t="s">
        <v>2764</v>
      </c>
      <c r="S808" s="22" t="s">
        <v>5100</v>
      </c>
      <c r="T808" s="51">
        <v>30</v>
      </c>
      <c r="U808" s="3" t="s">
        <v>5216</v>
      </c>
      <c r="V808" s="41" t="str">
        <f>HYPERLINK("http://ictvonline.org/taxonomy/p/taxonomy-history?taxnode_id=20180514","ICTVonline=20180514")</f>
        <v>ICTVonline=20180514</v>
      </c>
    </row>
    <row r="809" spans="1:22">
      <c r="A809" s="3">
        <v>808</v>
      </c>
      <c r="J809" s="1" t="s">
        <v>1338</v>
      </c>
      <c r="L809" s="1" t="s">
        <v>1339</v>
      </c>
      <c r="P809" s="1" t="s">
        <v>3003</v>
      </c>
      <c r="Q809" s="3">
        <v>0</v>
      </c>
      <c r="R809" s="22" t="s">
        <v>2764</v>
      </c>
      <c r="S809" s="22" t="s">
        <v>5100</v>
      </c>
      <c r="T809" s="51">
        <v>30</v>
      </c>
      <c r="U809" s="3" t="s">
        <v>5216</v>
      </c>
      <c r="V809" s="41" t="str">
        <f>HYPERLINK("http://ictvonline.org/taxonomy/p/taxonomy-history?taxnode_id=20180515","ICTVonline=20180515")</f>
        <v>ICTVonline=20180515</v>
      </c>
    </row>
    <row r="810" spans="1:22">
      <c r="A810" s="3">
        <v>809</v>
      </c>
      <c r="J810" s="1" t="s">
        <v>1338</v>
      </c>
      <c r="L810" s="1" t="s">
        <v>902</v>
      </c>
      <c r="M810" s="1" t="s">
        <v>1363</v>
      </c>
      <c r="N810" s="1" t="s">
        <v>4393</v>
      </c>
      <c r="P810" s="1" t="s">
        <v>4394</v>
      </c>
      <c r="Q810" s="3">
        <v>0</v>
      </c>
      <c r="R810" s="22" t="s">
        <v>2764</v>
      </c>
      <c r="S810" s="22" t="s">
        <v>5097</v>
      </c>
      <c r="T810" s="51">
        <v>31</v>
      </c>
      <c r="U810" s="3" t="s">
        <v>5271</v>
      </c>
      <c r="V810" s="41" t="str">
        <f>HYPERLINK("http://ictvonline.org/taxonomy/p/taxonomy-history?taxnode_id=20180543","ICTVonline=20180543")</f>
        <v>ICTVonline=20180543</v>
      </c>
    </row>
    <row r="811" spans="1:22">
      <c r="A811" s="3">
        <v>810</v>
      </c>
      <c r="J811" s="1" t="s">
        <v>1338</v>
      </c>
      <c r="L811" s="1" t="s">
        <v>902</v>
      </c>
      <c r="M811" s="1" t="s">
        <v>1363</v>
      </c>
      <c r="N811" s="1" t="s">
        <v>4393</v>
      </c>
      <c r="P811" s="1" t="s">
        <v>4395</v>
      </c>
      <c r="Q811" s="3">
        <v>0</v>
      </c>
      <c r="R811" s="22" t="s">
        <v>2764</v>
      </c>
      <c r="S811" s="22" t="s">
        <v>5097</v>
      </c>
      <c r="T811" s="51">
        <v>31</v>
      </c>
      <c r="U811" s="3" t="s">
        <v>5271</v>
      </c>
      <c r="V811" s="41" t="str">
        <f>HYPERLINK("http://ictvonline.org/taxonomy/p/taxonomy-history?taxnode_id=20180544","ICTVonline=20180544")</f>
        <v>ICTVonline=20180544</v>
      </c>
    </row>
    <row r="812" spans="1:22">
      <c r="A812" s="3">
        <v>811</v>
      </c>
      <c r="J812" s="1" t="s">
        <v>1338</v>
      </c>
      <c r="L812" s="1" t="s">
        <v>902</v>
      </c>
      <c r="M812" s="1" t="s">
        <v>1363</v>
      </c>
      <c r="N812" s="1" t="s">
        <v>4393</v>
      </c>
      <c r="P812" s="1" t="s">
        <v>4396</v>
      </c>
      <c r="Q812" s="3">
        <v>1</v>
      </c>
      <c r="R812" s="22" t="s">
        <v>2764</v>
      </c>
      <c r="S812" s="22" t="s">
        <v>5097</v>
      </c>
      <c r="T812" s="51">
        <v>31</v>
      </c>
      <c r="U812" s="3" t="s">
        <v>5271</v>
      </c>
      <c r="V812" s="41" t="str">
        <f>HYPERLINK("http://ictvonline.org/taxonomy/p/taxonomy-history?taxnode_id=20180545","ICTVonline=20180545")</f>
        <v>ICTVonline=20180545</v>
      </c>
    </row>
    <row r="813" spans="1:22">
      <c r="A813" s="3">
        <v>812</v>
      </c>
      <c r="J813" s="1" t="s">
        <v>1338</v>
      </c>
      <c r="L813" s="1" t="s">
        <v>902</v>
      </c>
      <c r="M813" s="1" t="s">
        <v>1363</v>
      </c>
      <c r="N813" s="1" t="s">
        <v>4393</v>
      </c>
      <c r="P813" s="1" t="s">
        <v>4397</v>
      </c>
      <c r="Q813" s="3">
        <v>0</v>
      </c>
      <c r="R813" s="22" t="s">
        <v>2764</v>
      </c>
      <c r="S813" s="22" t="s">
        <v>5097</v>
      </c>
      <c r="T813" s="51">
        <v>31</v>
      </c>
      <c r="U813" s="3" t="s">
        <v>5271</v>
      </c>
      <c r="V813" s="41" t="str">
        <f>HYPERLINK("http://ictvonline.org/taxonomy/p/taxonomy-history?taxnode_id=20180546","ICTVonline=20180546")</f>
        <v>ICTVonline=20180546</v>
      </c>
    </row>
    <row r="814" spans="1:22">
      <c r="A814" s="3">
        <v>813</v>
      </c>
      <c r="J814" s="1" t="s">
        <v>1338</v>
      </c>
      <c r="L814" s="1" t="s">
        <v>902</v>
      </c>
      <c r="M814" s="1" t="s">
        <v>1363</v>
      </c>
      <c r="N814" s="1" t="s">
        <v>4393</v>
      </c>
      <c r="P814" s="1" t="s">
        <v>4398</v>
      </c>
      <c r="Q814" s="3">
        <v>0</v>
      </c>
      <c r="R814" s="22" t="s">
        <v>2764</v>
      </c>
      <c r="S814" s="22" t="s">
        <v>5097</v>
      </c>
      <c r="T814" s="51">
        <v>31</v>
      </c>
      <c r="U814" s="3" t="s">
        <v>5271</v>
      </c>
      <c r="V814" s="41" t="str">
        <f>HYPERLINK("http://ictvonline.org/taxonomy/p/taxonomy-history?taxnode_id=20180547","ICTVonline=20180547")</f>
        <v>ICTVonline=20180547</v>
      </c>
    </row>
    <row r="815" spans="1:22">
      <c r="A815" s="3">
        <v>814</v>
      </c>
      <c r="J815" s="1" t="s">
        <v>1338</v>
      </c>
      <c r="L815" s="1" t="s">
        <v>902</v>
      </c>
      <c r="M815" s="1" t="s">
        <v>1363</v>
      </c>
      <c r="N815" s="1" t="s">
        <v>4393</v>
      </c>
      <c r="P815" s="1" t="s">
        <v>4399</v>
      </c>
      <c r="Q815" s="3">
        <v>0</v>
      </c>
      <c r="R815" s="22" t="s">
        <v>2764</v>
      </c>
      <c r="S815" s="22" t="s">
        <v>5097</v>
      </c>
      <c r="T815" s="51">
        <v>31</v>
      </c>
      <c r="U815" s="3" t="s">
        <v>5271</v>
      </c>
      <c r="V815" s="41" t="str">
        <f>HYPERLINK("http://ictvonline.org/taxonomy/p/taxonomy-history?taxnode_id=20180548","ICTVonline=20180548")</f>
        <v>ICTVonline=20180548</v>
      </c>
    </row>
    <row r="816" spans="1:22">
      <c r="A816" s="3">
        <v>815</v>
      </c>
      <c r="J816" s="1" t="s">
        <v>1338</v>
      </c>
      <c r="L816" s="1" t="s">
        <v>902</v>
      </c>
      <c r="M816" s="1" t="s">
        <v>1363</v>
      </c>
      <c r="N816" s="1" t="s">
        <v>4393</v>
      </c>
      <c r="P816" s="1" t="s">
        <v>4400</v>
      </c>
      <c r="Q816" s="3">
        <v>0</v>
      </c>
      <c r="R816" s="22" t="s">
        <v>2764</v>
      </c>
      <c r="S816" s="22" t="s">
        <v>5097</v>
      </c>
      <c r="T816" s="51">
        <v>31</v>
      </c>
      <c r="U816" s="3" t="s">
        <v>5271</v>
      </c>
      <c r="V816" s="41" t="str">
        <f>HYPERLINK("http://ictvonline.org/taxonomy/p/taxonomy-history?taxnode_id=20180549","ICTVonline=20180549")</f>
        <v>ICTVonline=20180549</v>
      </c>
    </row>
    <row r="817" spans="1:22">
      <c r="A817" s="3">
        <v>816</v>
      </c>
      <c r="J817" s="1" t="s">
        <v>1338</v>
      </c>
      <c r="L817" s="1" t="s">
        <v>902</v>
      </c>
      <c r="M817" s="1" t="s">
        <v>1363</v>
      </c>
      <c r="N817" s="1" t="s">
        <v>4401</v>
      </c>
      <c r="P817" s="1" t="s">
        <v>4402</v>
      </c>
      <c r="Q817" s="3">
        <v>0</v>
      </c>
      <c r="R817" s="22" t="s">
        <v>2764</v>
      </c>
      <c r="S817" s="22" t="s">
        <v>5097</v>
      </c>
      <c r="T817" s="51">
        <v>31</v>
      </c>
      <c r="U817" s="3" t="s">
        <v>5272</v>
      </c>
      <c r="V817" s="41" t="str">
        <f>HYPERLINK("http://ictvonline.org/taxonomy/p/taxonomy-history?taxnode_id=20180551","ICTVonline=20180551")</f>
        <v>ICTVonline=20180551</v>
      </c>
    </row>
    <row r="818" spans="1:22">
      <c r="A818" s="3">
        <v>817</v>
      </c>
      <c r="J818" s="1" t="s">
        <v>1338</v>
      </c>
      <c r="L818" s="1" t="s">
        <v>902</v>
      </c>
      <c r="M818" s="1" t="s">
        <v>1363</v>
      </c>
      <c r="N818" s="1" t="s">
        <v>4401</v>
      </c>
      <c r="P818" s="1" t="s">
        <v>4403</v>
      </c>
      <c r="Q818" s="3">
        <v>0</v>
      </c>
      <c r="R818" s="22" t="s">
        <v>2764</v>
      </c>
      <c r="S818" s="22" t="s">
        <v>5097</v>
      </c>
      <c r="T818" s="51">
        <v>31</v>
      </c>
      <c r="U818" s="3" t="s">
        <v>5272</v>
      </c>
      <c r="V818" s="41" t="str">
        <f>HYPERLINK("http://ictvonline.org/taxonomy/p/taxonomy-history?taxnode_id=20180552","ICTVonline=20180552")</f>
        <v>ICTVonline=20180552</v>
      </c>
    </row>
    <row r="819" spans="1:22">
      <c r="A819" s="3">
        <v>818</v>
      </c>
      <c r="J819" s="1" t="s">
        <v>1338</v>
      </c>
      <c r="L819" s="1" t="s">
        <v>902</v>
      </c>
      <c r="M819" s="1" t="s">
        <v>1363</v>
      </c>
      <c r="N819" s="1" t="s">
        <v>4401</v>
      </c>
      <c r="P819" s="1" t="s">
        <v>4404</v>
      </c>
      <c r="Q819" s="3">
        <v>0</v>
      </c>
      <c r="R819" s="22" t="s">
        <v>2764</v>
      </c>
      <c r="S819" s="22" t="s">
        <v>5097</v>
      </c>
      <c r="T819" s="51">
        <v>31</v>
      </c>
      <c r="U819" s="3" t="s">
        <v>5272</v>
      </c>
      <c r="V819" s="41" t="str">
        <f>HYPERLINK("http://ictvonline.org/taxonomy/p/taxonomy-history?taxnode_id=20180553","ICTVonline=20180553")</f>
        <v>ICTVonline=20180553</v>
      </c>
    </row>
    <row r="820" spans="1:22">
      <c r="A820" s="3">
        <v>819</v>
      </c>
      <c r="J820" s="1" t="s">
        <v>1338</v>
      </c>
      <c r="L820" s="1" t="s">
        <v>902</v>
      </c>
      <c r="M820" s="1" t="s">
        <v>1363</v>
      </c>
      <c r="N820" s="1" t="s">
        <v>4401</v>
      </c>
      <c r="P820" s="1" t="s">
        <v>4405</v>
      </c>
      <c r="Q820" s="3">
        <v>0</v>
      </c>
      <c r="R820" s="22" t="s">
        <v>2764</v>
      </c>
      <c r="S820" s="22" t="s">
        <v>5097</v>
      </c>
      <c r="T820" s="51">
        <v>31</v>
      </c>
      <c r="U820" s="3" t="s">
        <v>5272</v>
      </c>
      <c r="V820" s="41" t="str">
        <f>HYPERLINK("http://ictvonline.org/taxonomy/p/taxonomy-history?taxnode_id=20180554","ICTVonline=20180554")</f>
        <v>ICTVonline=20180554</v>
      </c>
    </row>
    <row r="821" spans="1:22">
      <c r="A821" s="3">
        <v>820</v>
      </c>
      <c r="J821" s="1" t="s">
        <v>1338</v>
      </c>
      <c r="L821" s="1" t="s">
        <v>902</v>
      </c>
      <c r="M821" s="1" t="s">
        <v>1363</v>
      </c>
      <c r="N821" s="1" t="s">
        <v>4401</v>
      </c>
      <c r="P821" s="1" t="s">
        <v>4406</v>
      </c>
      <c r="Q821" s="3">
        <v>1</v>
      </c>
      <c r="R821" s="22" t="s">
        <v>2764</v>
      </c>
      <c r="S821" s="22" t="s">
        <v>5097</v>
      </c>
      <c r="T821" s="51">
        <v>31</v>
      </c>
      <c r="U821" s="3" t="s">
        <v>5272</v>
      </c>
      <c r="V821" s="41" t="str">
        <f>HYPERLINK("http://ictvonline.org/taxonomy/p/taxonomy-history?taxnode_id=20180555","ICTVonline=20180555")</f>
        <v>ICTVonline=20180555</v>
      </c>
    </row>
    <row r="822" spans="1:22">
      <c r="A822" s="3">
        <v>821</v>
      </c>
      <c r="J822" s="1" t="s">
        <v>1338</v>
      </c>
      <c r="L822" s="1" t="s">
        <v>902</v>
      </c>
      <c r="M822" s="1" t="s">
        <v>1363</v>
      </c>
      <c r="N822" s="1" t="s">
        <v>4401</v>
      </c>
      <c r="P822" s="1" t="s">
        <v>4407</v>
      </c>
      <c r="Q822" s="3">
        <v>0</v>
      </c>
      <c r="R822" s="22" t="s">
        <v>2764</v>
      </c>
      <c r="S822" s="22" t="s">
        <v>5097</v>
      </c>
      <c r="T822" s="51">
        <v>31</v>
      </c>
      <c r="U822" s="3" t="s">
        <v>5272</v>
      </c>
      <c r="V822" s="41" t="str">
        <f>HYPERLINK("http://ictvonline.org/taxonomy/p/taxonomy-history?taxnode_id=20180556","ICTVonline=20180556")</f>
        <v>ICTVonline=20180556</v>
      </c>
    </row>
    <row r="823" spans="1:22">
      <c r="A823" s="3">
        <v>822</v>
      </c>
      <c r="J823" s="1" t="s">
        <v>1338</v>
      </c>
      <c r="L823" s="1" t="s">
        <v>902</v>
      </c>
      <c r="M823" s="1" t="s">
        <v>1363</v>
      </c>
      <c r="N823" s="1" t="s">
        <v>3025</v>
      </c>
      <c r="P823" s="1" t="s">
        <v>3026</v>
      </c>
      <c r="Q823" s="3">
        <v>0</v>
      </c>
      <c r="R823" s="22" t="s">
        <v>2764</v>
      </c>
      <c r="S823" s="22" t="s">
        <v>5097</v>
      </c>
      <c r="T823" s="51">
        <v>30</v>
      </c>
      <c r="U823" s="3" t="s">
        <v>5273</v>
      </c>
      <c r="V823" s="41" t="str">
        <f>HYPERLINK("http://ictvonline.org/taxonomy/p/taxonomy-history?taxnode_id=20180558","ICTVonline=20180558")</f>
        <v>ICTVonline=20180558</v>
      </c>
    </row>
    <row r="824" spans="1:22">
      <c r="A824" s="3">
        <v>823</v>
      </c>
      <c r="J824" s="1" t="s">
        <v>1338</v>
      </c>
      <c r="L824" s="1" t="s">
        <v>902</v>
      </c>
      <c r="M824" s="1" t="s">
        <v>1363</v>
      </c>
      <c r="N824" s="1" t="s">
        <v>3025</v>
      </c>
      <c r="P824" s="1" t="s">
        <v>3027</v>
      </c>
      <c r="Q824" s="3">
        <v>0</v>
      </c>
      <c r="R824" s="22" t="s">
        <v>2764</v>
      </c>
      <c r="S824" s="22" t="s">
        <v>5097</v>
      </c>
      <c r="T824" s="51">
        <v>30</v>
      </c>
      <c r="U824" s="3" t="s">
        <v>5273</v>
      </c>
      <c r="V824" s="41" t="str">
        <f>HYPERLINK("http://ictvonline.org/taxonomy/p/taxonomy-history?taxnode_id=20180559","ICTVonline=20180559")</f>
        <v>ICTVonline=20180559</v>
      </c>
    </row>
    <row r="825" spans="1:22">
      <c r="A825" s="3">
        <v>824</v>
      </c>
      <c r="J825" s="1" t="s">
        <v>1338</v>
      </c>
      <c r="L825" s="1" t="s">
        <v>902</v>
      </c>
      <c r="M825" s="1" t="s">
        <v>1363</v>
      </c>
      <c r="N825" s="1" t="s">
        <v>3025</v>
      </c>
      <c r="P825" s="1" t="s">
        <v>4408</v>
      </c>
      <c r="Q825" s="3">
        <v>0</v>
      </c>
      <c r="R825" s="22" t="s">
        <v>2764</v>
      </c>
      <c r="S825" s="22" t="s">
        <v>5097</v>
      </c>
      <c r="T825" s="51">
        <v>31</v>
      </c>
      <c r="U825" s="3" t="s">
        <v>5217</v>
      </c>
      <c r="V825" s="41" t="str">
        <f>HYPERLINK("http://ictvonline.org/taxonomy/p/taxonomy-history?taxnode_id=20180560","ICTVonline=20180560")</f>
        <v>ICTVonline=20180560</v>
      </c>
    </row>
    <row r="826" spans="1:22">
      <c r="A826" s="3">
        <v>825</v>
      </c>
      <c r="J826" s="1" t="s">
        <v>1338</v>
      </c>
      <c r="L826" s="1" t="s">
        <v>902</v>
      </c>
      <c r="M826" s="1" t="s">
        <v>1363</v>
      </c>
      <c r="N826" s="1" t="s">
        <v>3025</v>
      </c>
      <c r="P826" s="1" t="s">
        <v>3028</v>
      </c>
      <c r="Q826" s="3">
        <v>1</v>
      </c>
      <c r="R826" s="22" t="s">
        <v>2764</v>
      </c>
      <c r="S826" s="22" t="s">
        <v>5097</v>
      </c>
      <c r="T826" s="51">
        <v>30</v>
      </c>
      <c r="U826" s="3" t="s">
        <v>5273</v>
      </c>
      <c r="V826" s="41" t="str">
        <f>HYPERLINK("http://ictvonline.org/taxonomy/p/taxonomy-history?taxnode_id=20180561","ICTVonline=20180561")</f>
        <v>ICTVonline=20180561</v>
      </c>
    </row>
    <row r="827" spans="1:22">
      <c r="A827" s="3">
        <v>826</v>
      </c>
      <c r="J827" s="1" t="s">
        <v>1338</v>
      </c>
      <c r="L827" s="1" t="s">
        <v>902</v>
      </c>
      <c r="M827" s="1" t="s">
        <v>1363</v>
      </c>
      <c r="N827" s="1" t="s">
        <v>3025</v>
      </c>
      <c r="P827" s="1" t="s">
        <v>4409</v>
      </c>
      <c r="Q827" s="3">
        <v>0</v>
      </c>
      <c r="R827" s="22" t="s">
        <v>2764</v>
      </c>
      <c r="S827" s="22" t="s">
        <v>5097</v>
      </c>
      <c r="T827" s="51">
        <v>31</v>
      </c>
      <c r="U827" s="3" t="s">
        <v>5217</v>
      </c>
      <c r="V827" s="41" t="str">
        <f>HYPERLINK("http://ictvonline.org/taxonomy/p/taxonomy-history?taxnode_id=20180562","ICTVonline=20180562")</f>
        <v>ICTVonline=20180562</v>
      </c>
    </row>
    <row r="828" spans="1:22">
      <c r="A828" s="3">
        <v>827</v>
      </c>
      <c r="J828" s="1" t="s">
        <v>1338</v>
      </c>
      <c r="L828" s="1" t="s">
        <v>902</v>
      </c>
      <c r="M828" s="1" t="s">
        <v>1363</v>
      </c>
      <c r="N828" s="1" t="s">
        <v>3025</v>
      </c>
      <c r="P828" s="1" t="s">
        <v>4410</v>
      </c>
      <c r="Q828" s="3">
        <v>0</v>
      </c>
      <c r="R828" s="22" t="s">
        <v>2764</v>
      </c>
      <c r="S828" s="22" t="s">
        <v>5097</v>
      </c>
      <c r="T828" s="51">
        <v>31</v>
      </c>
      <c r="U828" s="3" t="s">
        <v>5217</v>
      </c>
      <c r="V828" s="41" t="str">
        <f>HYPERLINK("http://ictvonline.org/taxonomy/p/taxonomy-history?taxnode_id=20180563","ICTVonline=20180563")</f>
        <v>ICTVonline=20180563</v>
      </c>
    </row>
    <row r="829" spans="1:22">
      <c r="A829" s="3">
        <v>828</v>
      </c>
      <c r="J829" s="1" t="s">
        <v>1338</v>
      </c>
      <c r="L829" s="1" t="s">
        <v>902</v>
      </c>
      <c r="M829" s="1" t="s">
        <v>1363</v>
      </c>
      <c r="N829" s="1" t="s">
        <v>3025</v>
      </c>
      <c r="P829" s="1" t="s">
        <v>4411</v>
      </c>
      <c r="Q829" s="3">
        <v>0</v>
      </c>
      <c r="R829" s="22" t="s">
        <v>2764</v>
      </c>
      <c r="S829" s="22" t="s">
        <v>5097</v>
      </c>
      <c r="T829" s="51">
        <v>31</v>
      </c>
      <c r="U829" s="3" t="s">
        <v>5217</v>
      </c>
      <c r="V829" s="41" t="str">
        <f>HYPERLINK("http://ictvonline.org/taxonomy/p/taxonomy-history?taxnode_id=20180564","ICTVonline=20180564")</f>
        <v>ICTVonline=20180564</v>
      </c>
    </row>
    <row r="830" spans="1:22">
      <c r="A830" s="3">
        <v>829</v>
      </c>
      <c r="J830" s="1" t="s">
        <v>1338</v>
      </c>
      <c r="L830" s="1" t="s">
        <v>902</v>
      </c>
      <c r="M830" s="1" t="s">
        <v>1363</v>
      </c>
      <c r="N830" s="1" t="s">
        <v>3025</v>
      </c>
      <c r="P830" s="1" t="s">
        <v>3029</v>
      </c>
      <c r="Q830" s="3">
        <v>0</v>
      </c>
      <c r="R830" s="22" t="s">
        <v>2764</v>
      </c>
      <c r="S830" s="22" t="s">
        <v>5097</v>
      </c>
      <c r="T830" s="51">
        <v>30</v>
      </c>
      <c r="U830" s="3" t="s">
        <v>5273</v>
      </c>
      <c r="V830" s="41" t="str">
        <f>HYPERLINK("http://ictvonline.org/taxonomy/p/taxonomy-history?taxnode_id=20180565","ICTVonline=20180565")</f>
        <v>ICTVonline=20180565</v>
      </c>
    </row>
    <row r="831" spans="1:22">
      <c r="A831" s="3">
        <v>830</v>
      </c>
      <c r="J831" s="1" t="s">
        <v>1338</v>
      </c>
      <c r="L831" s="1" t="s">
        <v>902</v>
      </c>
      <c r="M831" s="1" t="s">
        <v>1363</v>
      </c>
      <c r="N831" s="1" t="s">
        <v>3025</v>
      </c>
      <c r="P831" s="1" t="s">
        <v>3030</v>
      </c>
      <c r="Q831" s="3">
        <v>0</v>
      </c>
      <c r="R831" s="22" t="s">
        <v>2764</v>
      </c>
      <c r="S831" s="22" t="s">
        <v>5097</v>
      </c>
      <c r="T831" s="51">
        <v>30</v>
      </c>
      <c r="U831" s="3" t="s">
        <v>5273</v>
      </c>
      <c r="V831" s="41" t="str">
        <f>HYPERLINK("http://ictvonline.org/taxonomy/p/taxonomy-history?taxnode_id=20180566","ICTVonline=20180566")</f>
        <v>ICTVonline=20180566</v>
      </c>
    </row>
    <row r="832" spans="1:22">
      <c r="A832" s="3">
        <v>831</v>
      </c>
      <c r="J832" s="1" t="s">
        <v>1338</v>
      </c>
      <c r="L832" s="1" t="s">
        <v>902</v>
      </c>
      <c r="M832" s="1" t="s">
        <v>1363</v>
      </c>
      <c r="N832" s="1" t="s">
        <v>3031</v>
      </c>
      <c r="P832" s="1" t="s">
        <v>3032</v>
      </c>
      <c r="Q832" s="3">
        <v>0</v>
      </c>
      <c r="R832" s="22" t="s">
        <v>2764</v>
      </c>
      <c r="S832" s="22" t="s">
        <v>5098</v>
      </c>
      <c r="T832" s="51">
        <v>30</v>
      </c>
      <c r="U832" s="3" t="s">
        <v>5216</v>
      </c>
      <c r="V832" s="41" t="str">
        <f>HYPERLINK("http://ictvonline.org/taxonomy/p/taxonomy-history?taxnode_id=20180568","ICTVonline=20180568")</f>
        <v>ICTVonline=20180568</v>
      </c>
    </row>
    <row r="833" spans="1:22">
      <c r="A833" s="3">
        <v>832</v>
      </c>
      <c r="J833" s="1" t="s">
        <v>1338</v>
      </c>
      <c r="L833" s="1" t="s">
        <v>902</v>
      </c>
      <c r="M833" s="1" t="s">
        <v>1363</v>
      </c>
      <c r="N833" s="1" t="s">
        <v>3031</v>
      </c>
      <c r="P833" s="1" t="s">
        <v>3033</v>
      </c>
      <c r="Q833" s="3">
        <v>0</v>
      </c>
      <c r="R833" s="22" t="s">
        <v>2764</v>
      </c>
      <c r="S833" s="22" t="s">
        <v>5098</v>
      </c>
      <c r="T833" s="51">
        <v>30</v>
      </c>
      <c r="U833" s="3" t="s">
        <v>5216</v>
      </c>
      <c r="V833" s="41" t="str">
        <f>HYPERLINK("http://ictvonline.org/taxonomy/p/taxonomy-history?taxnode_id=20180569","ICTVonline=20180569")</f>
        <v>ICTVonline=20180569</v>
      </c>
    </row>
    <row r="834" spans="1:22">
      <c r="A834" s="3">
        <v>833</v>
      </c>
      <c r="J834" s="1" t="s">
        <v>1338</v>
      </c>
      <c r="L834" s="1" t="s">
        <v>902</v>
      </c>
      <c r="M834" s="1" t="s">
        <v>1363</v>
      </c>
      <c r="N834" s="1" t="s">
        <v>3031</v>
      </c>
      <c r="P834" s="1" t="s">
        <v>3034</v>
      </c>
      <c r="Q834" s="3">
        <v>0</v>
      </c>
      <c r="R834" s="22" t="s">
        <v>2764</v>
      </c>
      <c r="S834" s="22" t="s">
        <v>5098</v>
      </c>
      <c r="T834" s="51">
        <v>30</v>
      </c>
      <c r="U834" s="3" t="s">
        <v>5216</v>
      </c>
      <c r="V834" s="41" t="str">
        <f>HYPERLINK("http://ictvonline.org/taxonomy/p/taxonomy-history?taxnode_id=20180570","ICTVonline=20180570")</f>
        <v>ICTVonline=20180570</v>
      </c>
    </row>
    <row r="835" spans="1:22">
      <c r="A835" s="3">
        <v>834</v>
      </c>
      <c r="J835" s="1" t="s">
        <v>1338</v>
      </c>
      <c r="L835" s="1" t="s">
        <v>902</v>
      </c>
      <c r="M835" s="1" t="s">
        <v>1363</v>
      </c>
      <c r="N835" s="1" t="s">
        <v>3031</v>
      </c>
      <c r="P835" s="1" t="s">
        <v>3035</v>
      </c>
      <c r="Q835" s="3">
        <v>1</v>
      </c>
      <c r="R835" s="22" t="s">
        <v>2764</v>
      </c>
      <c r="S835" s="22" t="s">
        <v>5098</v>
      </c>
      <c r="T835" s="51">
        <v>30</v>
      </c>
      <c r="U835" s="3" t="s">
        <v>5216</v>
      </c>
      <c r="V835" s="41" t="str">
        <f>HYPERLINK("http://ictvonline.org/taxonomy/p/taxonomy-history?taxnode_id=20180571","ICTVonline=20180571")</f>
        <v>ICTVonline=20180571</v>
      </c>
    </row>
    <row r="836" spans="1:22">
      <c r="A836" s="3">
        <v>835</v>
      </c>
      <c r="J836" s="1" t="s">
        <v>1338</v>
      </c>
      <c r="L836" s="1" t="s">
        <v>902</v>
      </c>
      <c r="M836" s="1" t="s">
        <v>1363</v>
      </c>
      <c r="N836" s="1" t="s">
        <v>4412</v>
      </c>
      <c r="P836" s="1" t="s">
        <v>4413</v>
      </c>
      <c r="Q836" s="3">
        <v>0</v>
      </c>
      <c r="R836" s="22" t="s">
        <v>2764</v>
      </c>
      <c r="S836" s="22" t="s">
        <v>5097</v>
      </c>
      <c r="T836" s="51">
        <v>31</v>
      </c>
      <c r="U836" s="3" t="s">
        <v>5274</v>
      </c>
      <c r="V836" s="41" t="str">
        <f>HYPERLINK("http://ictvonline.org/taxonomy/p/taxonomy-history?taxnode_id=20180573","ICTVonline=20180573")</f>
        <v>ICTVonline=20180573</v>
      </c>
    </row>
    <row r="837" spans="1:22">
      <c r="A837" s="3">
        <v>836</v>
      </c>
      <c r="J837" s="1" t="s">
        <v>1338</v>
      </c>
      <c r="L837" s="1" t="s">
        <v>902</v>
      </c>
      <c r="M837" s="1" t="s">
        <v>1363</v>
      </c>
      <c r="N837" s="1" t="s">
        <v>4412</v>
      </c>
      <c r="P837" s="1" t="s">
        <v>4414</v>
      </c>
      <c r="Q837" s="3">
        <v>0</v>
      </c>
      <c r="R837" s="22" t="s">
        <v>2764</v>
      </c>
      <c r="S837" s="22" t="s">
        <v>5097</v>
      </c>
      <c r="T837" s="51">
        <v>31</v>
      </c>
      <c r="U837" s="3" t="s">
        <v>5274</v>
      </c>
      <c r="V837" s="41" t="str">
        <f>HYPERLINK("http://ictvonline.org/taxonomy/p/taxonomy-history?taxnode_id=20180574","ICTVonline=20180574")</f>
        <v>ICTVonline=20180574</v>
      </c>
    </row>
    <row r="838" spans="1:22">
      <c r="A838" s="3">
        <v>837</v>
      </c>
      <c r="J838" s="1" t="s">
        <v>1338</v>
      </c>
      <c r="L838" s="1" t="s">
        <v>902</v>
      </c>
      <c r="M838" s="1" t="s">
        <v>1363</v>
      </c>
      <c r="N838" s="1" t="s">
        <v>4412</v>
      </c>
      <c r="P838" s="1" t="s">
        <v>4415</v>
      </c>
      <c r="Q838" s="3">
        <v>1</v>
      </c>
      <c r="R838" s="22" t="s">
        <v>2764</v>
      </c>
      <c r="S838" s="22" t="s">
        <v>5097</v>
      </c>
      <c r="T838" s="51">
        <v>31</v>
      </c>
      <c r="U838" s="3" t="s">
        <v>5274</v>
      </c>
      <c r="V838" s="41" t="str">
        <f>HYPERLINK("http://ictvonline.org/taxonomy/p/taxonomy-history?taxnode_id=20180575","ICTVonline=20180575")</f>
        <v>ICTVonline=20180575</v>
      </c>
    </row>
    <row r="839" spans="1:22">
      <c r="A839" s="3">
        <v>838</v>
      </c>
      <c r="J839" s="1" t="s">
        <v>1338</v>
      </c>
      <c r="L839" s="1" t="s">
        <v>902</v>
      </c>
      <c r="M839" s="1" t="s">
        <v>1363</v>
      </c>
      <c r="N839" s="1" t="s">
        <v>3036</v>
      </c>
      <c r="P839" s="1" t="s">
        <v>3037</v>
      </c>
      <c r="Q839" s="3">
        <v>0</v>
      </c>
      <c r="R839" s="22" t="s">
        <v>2764</v>
      </c>
      <c r="S839" s="22" t="s">
        <v>5098</v>
      </c>
      <c r="T839" s="51">
        <v>30</v>
      </c>
      <c r="U839" s="3" t="s">
        <v>5216</v>
      </c>
      <c r="V839" s="41" t="str">
        <f>HYPERLINK("http://ictvonline.org/taxonomy/p/taxonomy-history?taxnode_id=20180577","ICTVonline=20180577")</f>
        <v>ICTVonline=20180577</v>
      </c>
    </row>
    <row r="840" spans="1:22">
      <c r="A840" s="3">
        <v>839</v>
      </c>
      <c r="J840" s="1" t="s">
        <v>1338</v>
      </c>
      <c r="L840" s="1" t="s">
        <v>902</v>
      </c>
      <c r="M840" s="1" t="s">
        <v>1363</v>
      </c>
      <c r="N840" s="1" t="s">
        <v>3036</v>
      </c>
      <c r="P840" s="1" t="s">
        <v>3038</v>
      </c>
      <c r="Q840" s="3">
        <v>0</v>
      </c>
      <c r="R840" s="22" t="s">
        <v>2764</v>
      </c>
      <c r="S840" s="22" t="s">
        <v>5098</v>
      </c>
      <c r="T840" s="51">
        <v>30</v>
      </c>
      <c r="U840" s="3" t="s">
        <v>5216</v>
      </c>
      <c r="V840" s="41" t="str">
        <f>HYPERLINK("http://ictvonline.org/taxonomy/p/taxonomy-history?taxnode_id=20180578","ICTVonline=20180578")</f>
        <v>ICTVonline=20180578</v>
      </c>
    </row>
    <row r="841" spans="1:22">
      <c r="A841" s="3">
        <v>840</v>
      </c>
      <c r="J841" s="1" t="s">
        <v>1338</v>
      </c>
      <c r="L841" s="1" t="s">
        <v>902</v>
      </c>
      <c r="M841" s="1" t="s">
        <v>1363</v>
      </c>
      <c r="N841" s="1" t="s">
        <v>3036</v>
      </c>
      <c r="P841" s="1" t="s">
        <v>3039</v>
      </c>
      <c r="Q841" s="3">
        <v>0</v>
      </c>
      <c r="R841" s="22" t="s">
        <v>2764</v>
      </c>
      <c r="S841" s="22" t="s">
        <v>5098</v>
      </c>
      <c r="T841" s="51">
        <v>30</v>
      </c>
      <c r="U841" s="3" t="s">
        <v>5216</v>
      </c>
      <c r="V841" s="41" t="str">
        <f>HYPERLINK("http://ictvonline.org/taxonomy/p/taxonomy-history?taxnode_id=20180579","ICTVonline=20180579")</f>
        <v>ICTVonline=20180579</v>
      </c>
    </row>
    <row r="842" spans="1:22">
      <c r="A842" s="3">
        <v>841</v>
      </c>
      <c r="J842" s="1" t="s">
        <v>1338</v>
      </c>
      <c r="L842" s="1" t="s">
        <v>902</v>
      </c>
      <c r="M842" s="1" t="s">
        <v>1363</v>
      </c>
      <c r="N842" s="1" t="s">
        <v>3036</v>
      </c>
      <c r="P842" s="1" t="s">
        <v>3040</v>
      </c>
      <c r="Q842" s="3">
        <v>0</v>
      </c>
      <c r="R842" s="22" t="s">
        <v>2764</v>
      </c>
      <c r="S842" s="22" t="s">
        <v>5098</v>
      </c>
      <c r="T842" s="51">
        <v>30</v>
      </c>
      <c r="U842" s="3" t="s">
        <v>5216</v>
      </c>
      <c r="V842" s="41" t="str">
        <f>HYPERLINK("http://ictvonline.org/taxonomy/p/taxonomy-history?taxnode_id=20180580","ICTVonline=20180580")</f>
        <v>ICTVonline=20180580</v>
      </c>
    </row>
    <row r="843" spans="1:22">
      <c r="A843" s="3">
        <v>842</v>
      </c>
      <c r="J843" s="1" t="s">
        <v>1338</v>
      </c>
      <c r="L843" s="1" t="s">
        <v>902</v>
      </c>
      <c r="M843" s="1" t="s">
        <v>1363</v>
      </c>
      <c r="N843" s="1" t="s">
        <v>3036</v>
      </c>
      <c r="P843" s="1" t="s">
        <v>3041</v>
      </c>
      <c r="Q843" s="3">
        <v>1</v>
      </c>
      <c r="R843" s="22" t="s">
        <v>2764</v>
      </c>
      <c r="S843" s="22" t="s">
        <v>5098</v>
      </c>
      <c r="T843" s="51">
        <v>30</v>
      </c>
      <c r="U843" s="3" t="s">
        <v>5216</v>
      </c>
      <c r="V843" s="41" t="str">
        <f>HYPERLINK("http://ictvonline.org/taxonomy/p/taxonomy-history?taxnode_id=20180581","ICTVonline=20180581")</f>
        <v>ICTVonline=20180581</v>
      </c>
    </row>
    <row r="844" spans="1:22">
      <c r="A844" s="3">
        <v>843</v>
      </c>
      <c r="J844" s="1" t="s">
        <v>1338</v>
      </c>
      <c r="L844" s="1" t="s">
        <v>902</v>
      </c>
      <c r="M844" s="1" t="s">
        <v>1363</v>
      </c>
      <c r="N844" s="1" t="s">
        <v>3042</v>
      </c>
      <c r="P844" s="1" t="s">
        <v>3043</v>
      </c>
      <c r="Q844" s="3">
        <v>1</v>
      </c>
      <c r="R844" s="22" t="s">
        <v>2764</v>
      </c>
      <c r="S844" s="22" t="s">
        <v>5098</v>
      </c>
      <c r="T844" s="51">
        <v>30</v>
      </c>
      <c r="U844" s="3" t="s">
        <v>5216</v>
      </c>
      <c r="V844" s="41" t="str">
        <f>HYPERLINK("http://ictvonline.org/taxonomy/p/taxonomy-history?taxnode_id=20180583","ICTVonline=20180583")</f>
        <v>ICTVonline=20180583</v>
      </c>
    </row>
    <row r="845" spans="1:22">
      <c r="A845" s="3">
        <v>844</v>
      </c>
      <c r="J845" s="1" t="s">
        <v>1338</v>
      </c>
      <c r="L845" s="1" t="s">
        <v>902</v>
      </c>
      <c r="M845" s="1" t="s">
        <v>1363</v>
      </c>
      <c r="N845" s="1" t="s">
        <v>3042</v>
      </c>
      <c r="P845" s="1" t="s">
        <v>3044</v>
      </c>
      <c r="Q845" s="3">
        <v>0</v>
      </c>
      <c r="R845" s="22" t="s">
        <v>2764</v>
      </c>
      <c r="S845" s="22" t="s">
        <v>5098</v>
      </c>
      <c r="T845" s="51">
        <v>30</v>
      </c>
      <c r="U845" s="3" t="s">
        <v>5216</v>
      </c>
      <c r="V845" s="41" t="str">
        <f>HYPERLINK("http://ictvonline.org/taxonomy/p/taxonomy-history?taxnode_id=20180584","ICTVonline=20180584")</f>
        <v>ICTVonline=20180584</v>
      </c>
    </row>
    <row r="846" spans="1:22">
      <c r="A846" s="3">
        <v>845</v>
      </c>
      <c r="J846" s="1" t="s">
        <v>1338</v>
      </c>
      <c r="L846" s="1" t="s">
        <v>902</v>
      </c>
      <c r="M846" s="1" t="s">
        <v>1363</v>
      </c>
      <c r="N846" s="1" t="s">
        <v>3042</v>
      </c>
      <c r="P846" s="1" t="s">
        <v>3045</v>
      </c>
      <c r="Q846" s="3">
        <v>0</v>
      </c>
      <c r="R846" s="22" t="s">
        <v>2764</v>
      </c>
      <c r="S846" s="22" t="s">
        <v>5098</v>
      </c>
      <c r="T846" s="51">
        <v>30</v>
      </c>
      <c r="U846" s="3" t="s">
        <v>5216</v>
      </c>
      <c r="V846" s="41" t="str">
        <f>HYPERLINK("http://ictvonline.org/taxonomy/p/taxonomy-history?taxnode_id=20180585","ICTVonline=20180585")</f>
        <v>ICTVonline=20180585</v>
      </c>
    </row>
    <row r="847" spans="1:22">
      <c r="A847" s="3">
        <v>846</v>
      </c>
      <c r="J847" s="1" t="s">
        <v>1338</v>
      </c>
      <c r="L847" s="1" t="s">
        <v>902</v>
      </c>
      <c r="M847" s="1" t="s">
        <v>1363</v>
      </c>
      <c r="P847" s="1" t="s">
        <v>3046</v>
      </c>
      <c r="Q847" s="3">
        <v>0</v>
      </c>
      <c r="R847" s="22" t="s">
        <v>2764</v>
      </c>
      <c r="S847" s="22" t="s">
        <v>5100</v>
      </c>
      <c r="T847" s="51">
        <v>30</v>
      </c>
      <c r="U847" s="3" t="s">
        <v>5216</v>
      </c>
      <c r="V847" s="41" t="str">
        <f>HYPERLINK("http://ictvonline.org/taxonomy/p/taxonomy-history?taxnode_id=20180587","ICTVonline=20180587")</f>
        <v>ICTVonline=20180587</v>
      </c>
    </row>
    <row r="848" spans="1:22">
      <c r="A848" s="3">
        <v>847</v>
      </c>
      <c r="J848" s="1" t="s">
        <v>1338</v>
      </c>
      <c r="L848" s="1" t="s">
        <v>902</v>
      </c>
      <c r="M848" s="1" t="s">
        <v>1363</v>
      </c>
      <c r="P848" s="1" t="s">
        <v>3047</v>
      </c>
      <c r="Q848" s="3">
        <v>0</v>
      </c>
      <c r="R848" s="22" t="s">
        <v>2764</v>
      </c>
      <c r="S848" s="22" t="s">
        <v>5100</v>
      </c>
      <c r="T848" s="51">
        <v>30</v>
      </c>
      <c r="U848" s="3" t="s">
        <v>5216</v>
      </c>
      <c r="V848" s="41" t="str">
        <f>HYPERLINK("http://ictvonline.org/taxonomy/p/taxonomy-history?taxnode_id=20180588","ICTVonline=20180588")</f>
        <v>ICTVonline=20180588</v>
      </c>
    </row>
    <row r="849" spans="1:22">
      <c r="A849" s="3">
        <v>848</v>
      </c>
      <c r="J849" s="1" t="s">
        <v>1338</v>
      </c>
      <c r="L849" s="1" t="s">
        <v>902</v>
      </c>
      <c r="M849" s="1" t="s">
        <v>1363</v>
      </c>
      <c r="P849" s="1" t="s">
        <v>3048</v>
      </c>
      <c r="Q849" s="3">
        <v>0</v>
      </c>
      <c r="R849" s="22" t="s">
        <v>2764</v>
      </c>
      <c r="S849" s="22" t="s">
        <v>5100</v>
      </c>
      <c r="T849" s="51">
        <v>30</v>
      </c>
      <c r="U849" s="3" t="s">
        <v>5216</v>
      </c>
      <c r="V849" s="41" t="str">
        <f>HYPERLINK("http://ictvonline.org/taxonomy/p/taxonomy-history?taxnode_id=20180589","ICTVonline=20180589")</f>
        <v>ICTVonline=20180589</v>
      </c>
    </row>
    <row r="850" spans="1:22">
      <c r="A850" s="3">
        <v>849</v>
      </c>
      <c r="J850" s="1" t="s">
        <v>1338</v>
      </c>
      <c r="L850" s="1" t="s">
        <v>902</v>
      </c>
      <c r="M850" s="1" t="s">
        <v>662</v>
      </c>
      <c r="N850" s="1" t="s">
        <v>4235</v>
      </c>
      <c r="P850" s="1" t="s">
        <v>3059</v>
      </c>
      <c r="Q850" s="3">
        <v>1</v>
      </c>
      <c r="R850" s="22" t="s">
        <v>2764</v>
      </c>
      <c r="S850" s="22" t="s">
        <v>5099</v>
      </c>
      <c r="T850" s="51">
        <v>31</v>
      </c>
      <c r="U850" s="3" t="s">
        <v>5275</v>
      </c>
      <c r="V850" s="41" t="str">
        <f>HYPERLINK("http://ictvonline.org/taxonomy/p/taxonomy-history?taxnode_id=20180592","ICTVonline=20180592")</f>
        <v>ICTVonline=20180592</v>
      </c>
    </row>
    <row r="851" spans="1:22">
      <c r="A851" s="3">
        <v>850</v>
      </c>
      <c r="J851" s="1" t="s">
        <v>1338</v>
      </c>
      <c r="L851" s="1" t="s">
        <v>902</v>
      </c>
      <c r="M851" s="1" t="s">
        <v>662</v>
      </c>
      <c r="N851" s="1" t="s">
        <v>4235</v>
      </c>
      <c r="P851" s="1" t="s">
        <v>4416</v>
      </c>
      <c r="Q851" s="3">
        <v>0</v>
      </c>
      <c r="R851" s="22" t="s">
        <v>2764</v>
      </c>
      <c r="S851" s="22" t="s">
        <v>5097</v>
      </c>
      <c r="T851" s="51">
        <v>31</v>
      </c>
      <c r="U851" s="3" t="s">
        <v>5275</v>
      </c>
      <c r="V851" s="41" t="str">
        <f>HYPERLINK("http://ictvonline.org/taxonomy/p/taxonomy-history?taxnode_id=20180593","ICTVonline=20180593")</f>
        <v>ICTVonline=20180593</v>
      </c>
    </row>
    <row r="852" spans="1:22">
      <c r="A852" s="3">
        <v>851</v>
      </c>
      <c r="J852" s="1" t="s">
        <v>1338</v>
      </c>
      <c r="L852" s="1" t="s">
        <v>902</v>
      </c>
      <c r="M852" s="1" t="s">
        <v>662</v>
      </c>
      <c r="N852" s="1" t="s">
        <v>3049</v>
      </c>
      <c r="P852" s="1" t="s">
        <v>3050</v>
      </c>
      <c r="Q852" s="3">
        <v>1</v>
      </c>
      <c r="R852" s="22" t="s">
        <v>2764</v>
      </c>
      <c r="S852" s="22" t="s">
        <v>5098</v>
      </c>
      <c r="T852" s="51">
        <v>30</v>
      </c>
      <c r="U852" s="3" t="s">
        <v>5216</v>
      </c>
      <c r="V852" s="41" t="str">
        <f>HYPERLINK("http://ictvonline.org/taxonomy/p/taxonomy-history?taxnode_id=20180595","ICTVonline=20180595")</f>
        <v>ICTVonline=20180595</v>
      </c>
    </row>
    <row r="853" spans="1:22">
      <c r="A853" s="3">
        <v>852</v>
      </c>
      <c r="J853" s="1" t="s">
        <v>1338</v>
      </c>
      <c r="L853" s="1" t="s">
        <v>902</v>
      </c>
      <c r="M853" s="1" t="s">
        <v>662</v>
      </c>
      <c r="N853" s="1" t="s">
        <v>3049</v>
      </c>
      <c r="P853" s="1" t="s">
        <v>3051</v>
      </c>
      <c r="Q853" s="3">
        <v>0</v>
      </c>
      <c r="R853" s="22" t="s">
        <v>2764</v>
      </c>
      <c r="S853" s="22" t="s">
        <v>5098</v>
      </c>
      <c r="T853" s="51">
        <v>30</v>
      </c>
      <c r="U853" s="3" t="s">
        <v>5216</v>
      </c>
      <c r="V853" s="41" t="str">
        <f>HYPERLINK("http://ictvonline.org/taxonomy/p/taxonomy-history?taxnode_id=20180596","ICTVonline=20180596")</f>
        <v>ICTVonline=20180596</v>
      </c>
    </row>
    <row r="854" spans="1:22">
      <c r="A854" s="3">
        <v>853</v>
      </c>
      <c r="J854" s="1" t="s">
        <v>1338</v>
      </c>
      <c r="L854" s="1" t="s">
        <v>902</v>
      </c>
      <c r="M854" s="1" t="s">
        <v>662</v>
      </c>
      <c r="N854" s="1" t="s">
        <v>3052</v>
      </c>
      <c r="P854" s="1" t="s">
        <v>3053</v>
      </c>
      <c r="Q854" s="3">
        <v>0</v>
      </c>
      <c r="R854" s="22" t="s">
        <v>2764</v>
      </c>
      <c r="S854" s="22" t="s">
        <v>5098</v>
      </c>
      <c r="T854" s="51">
        <v>30</v>
      </c>
      <c r="U854" s="3" t="s">
        <v>5216</v>
      </c>
      <c r="V854" s="41" t="str">
        <f>HYPERLINK("http://ictvonline.org/taxonomy/p/taxonomy-history?taxnode_id=20180598","ICTVonline=20180598")</f>
        <v>ICTVonline=20180598</v>
      </c>
    </row>
    <row r="855" spans="1:22">
      <c r="A855" s="3">
        <v>854</v>
      </c>
      <c r="J855" s="1" t="s">
        <v>1338</v>
      </c>
      <c r="L855" s="1" t="s">
        <v>902</v>
      </c>
      <c r="M855" s="1" t="s">
        <v>662</v>
      </c>
      <c r="N855" s="1" t="s">
        <v>3052</v>
      </c>
      <c r="P855" s="1" t="s">
        <v>3054</v>
      </c>
      <c r="Q855" s="3">
        <v>0</v>
      </c>
      <c r="R855" s="22" t="s">
        <v>2764</v>
      </c>
      <c r="S855" s="22" t="s">
        <v>5098</v>
      </c>
      <c r="T855" s="51">
        <v>30</v>
      </c>
      <c r="U855" s="3" t="s">
        <v>5216</v>
      </c>
      <c r="V855" s="41" t="str">
        <f>HYPERLINK("http://ictvonline.org/taxonomy/p/taxonomy-history?taxnode_id=20180599","ICTVonline=20180599")</f>
        <v>ICTVonline=20180599</v>
      </c>
    </row>
    <row r="856" spans="1:22">
      <c r="A856" s="3">
        <v>855</v>
      </c>
      <c r="J856" s="1" t="s">
        <v>1338</v>
      </c>
      <c r="L856" s="1" t="s">
        <v>902</v>
      </c>
      <c r="M856" s="1" t="s">
        <v>662</v>
      </c>
      <c r="N856" s="1" t="s">
        <v>3052</v>
      </c>
      <c r="P856" s="1" t="s">
        <v>3055</v>
      </c>
      <c r="Q856" s="3">
        <v>1</v>
      </c>
      <c r="R856" s="22" t="s">
        <v>2764</v>
      </c>
      <c r="S856" s="22" t="s">
        <v>5098</v>
      </c>
      <c r="T856" s="51">
        <v>30</v>
      </c>
      <c r="U856" s="3" t="s">
        <v>5216</v>
      </c>
      <c r="V856" s="41" t="str">
        <f>HYPERLINK("http://ictvonline.org/taxonomy/p/taxonomy-history?taxnode_id=20180600","ICTVonline=20180600")</f>
        <v>ICTVonline=20180600</v>
      </c>
    </row>
    <row r="857" spans="1:22">
      <c r="A857" s="3">
        <v>856</v>
      </c>
      <c r="J857" s="1" t="s">
        <v>1338</v>
      </c>
      <c r="L857" s="1" t="s">
        <v>902</v>
      </c>
      <c r="M857" s="1" t="s">
        <v>662</v>
      </c>
      <c r="N857" s="1" t="s">
        <v>3052</v>
      </c>
      <c r="P857" s="1" t="s">
        <v>3056</v>
      </c>
      <c r="Q857" s="3">
        <v>0</v>
      </c>
      <c r="R857" s="22" t="s">
        <v>2764</v>
      </c>
      <c r="S857" s="22" t="s">
        <v>5098</v>
      </c>
      <c r="T857" s="51">
        <v>30</v>
      </c>
      <c r="U857" s="3" t="s">
        <v>5216</v>
      </c>
      <c r="V857" s="41" t="str">
        <f>HYPERLINK("http://ictvonline.org/taxonomy/p/taxonomy-history?taxnode_id=20180601","ICTVonline=20180601")</f>
        <v>ICTVonline=20180601</v>
      </c>
    </row>
    <row r="858" spans="1:22">
      <c r="A858" s="3">
        <v>857</v>
      </c>
      <c r="J858" s="1" t="s">
        <v>1338</v>
      </c>
      <c r="L858" s="1" t="s">
        <v>902</v>
      </c>
      <c r="M858" s="1" t="s">
        <v>662</v>
      </c>
      <c r="P858" s="1" t="s">
        <v>3057</v>
      </c>
      <c r="Q858" s="3">
        <v>0</v>
      </c>
      <c r="R858" s="22" t="s">
        <v>2764</v>
      </c>
      <c r="S858" s="22" t="s">
        <v>5100</v>
      </c>
      <c r="T858" s="51">
        <v>30</v>
      </c>
      <c r="U858" s="3" t="s">
        <v>5216</v>
      </c>
      <c r="V858" s="41" t="str">
        <f>HYPERLINK("http://ictvonline.org/taxonomy/p/taxonomy-history?taxnode_id=20180603","ICTVonline=20180603")</f>
        <v>ICTVonline=20180603</v>
      </c>
    </row>
    <row r="859" spans="1:22">
      <c r="A859" s="3">
        <v>858</v>
      </c>
      <c r="J859" s="1" t="s">
        <v>1338</v>
      </c>
      <c r="L859" s="1" t="s">
        <v>902</v>
      </c>
      <c r="M859" s="1" t="s">
        <v>662</v>
      </c>
      <c r="P859" s="1" t="s">
        <v>3058</v>
      </c>
      <c r="Q859" s="3">
        <v>0</v>
      </c>
      <c r="R859" s="22" t="s">
        <v>2764</v>
      </c>
      <c r="S859" s="22" t="s">
        <v>5100</v>
      </c>
      <c r="T859" s="51">
        <v>30</v>
      </c>
      <c r="U859" s="3" t="s">
        <v>5216</v>
      </c>
      <c r="V859" s="41" t="str">
        <f>HYPERLINK("http://ictvonline.org/taxonomy/p/taxonomy-history?taxnode_id=20180604","ICTVonline=20180604")</f>
        <v>ICTVonline=20180604</v>
      </c>
    </row>
    <row r="860" spans="1:22">
      <c r="A860" s="3">
        <v>859</v>
      </c>
      <c r="J860" s="1" t="s">
        <v>1338</v>
      </c>
      <c r="L860" s="1" t="s">
        <v>902</v>
      </c>
      <c r="M860" s="1" t="s">
        <v>4417</v>
      </c>
      <c r="N860" s="1" t="s">
        <v>4418</v>
      </c>
      <c r="P860" s="1" t="s">
        <v>4419</v>
      </c>
      <c r="Q860" s="3">
        <v>0</v>
      </c>
      <c r="R860" s="22" t="s">
        <v>2764</v>
      </c>
      <c r="S860" s="22" t="s">
        <v>5097</v>
      </c>
      <c r="T860" s="51">
        <v>31</v>
      </c>
      <c r="U860" s="3" t="s">
        <v>5276</v>
      </c>
      <c r="V860" s="41" t="str">
        <f>HYPERLINK("http://ictvonline.org/taxonomy/p/taxonomy-history?taxnode_id=20180607","ICTVonline=20180607")</f>
        <v>ICTVonline=20180607</v>
      </c>
    </row>
    <row r="861" spans="1:22">
      <c r="A861" s="3">
        <v>860</v>
      </c>
      <c r="J861" s="1" t="s">
        <v>1338</v>
      </c>
      <c r="L861" s="1" t="s">
        <v>902</v>
      </c>
      <c r="M861" s="1" t="s">
        <v>4417</v>
      </c>
      <c r="N861" s="1" t="s">
        <v>4418</v>
      </c>
      <c r="P861" s="1" t="s">
        <v>4420</v>
      </c>
      <c r="Q861" s="3">
        <v>1</v>
      </c>
      <c r="R861" s="22" t="s">
        <v>2764</v>
      </c>
      <c r="S861" s="22" t="s">
        <v>5097</v>
      </c>
      <c r="T861" s="51">
        <v>31</v>
      </c>
      <c r="U861" s="3" t="s">
        <v>5276</v>
      </c>
      <c r="V861" s="41" t="str">
        <f>HYPERLINK("http://ictvonline.org/taxonomy/p/taxonomy-history?taxnode_id=20180608","ICTVonline=20180608")</f>
        <v>ICTVonline=20180608</v>
      </c>
    </row>
    <row r="862" spans="1:22">
      <c r="A862" s="3">
        <v>861</v>
      </c>
      <c r="J862" s="1" t="s">
        <v>1338</v>
      </c>
      <c r="L862" s="1" t="s">
        <v>902</v>
      </c>
      <c r="M862" s="1" t="s">
        <v>4417</v>
      </c>
      <c r="N862" s="1" t="s">
        <v>4418</v>
      </c>
      <c r="P862" s="1" t="s">
        <v>4421</v>
      </c>
      <c r="Q862" s="3">
        <v>0</v>
      </c>
      <c r="R862" s="22" t="s">
        <v>2764</v>
      </c>
      <c r="S862" s="22" t="s">
        <v>5097</v>
      </c>
      <c r="T862" s="51">
        <v>31</v>
      </c>
      <c r="U862" s="3" t="s">
        <v>5276</v>
      </c>
      <c r="V862" s="41" t="str">
        <f>HYPERLINK("http://ictvonline.org/taxonomy/p/taxonomy-history?taxnode_id=20180609","ICTVonline=20180609")</f>
        <v>ICTVonline=20180609</v>
      </c>
    </row>
    <row r="863" spans="1:22">
      <c r="A863" s="3">
        <v>862</v>
      </c>
      <c r="J863" s="1" t="s">
        <v>1338</v>
      </c>
      <c r="L863" s="1" t="s">
        <v>902</v>
      </c>
      <c r="M863" s="1" t="s">
        <v>4417</v>
      </c>
      <c r="N863" s="1" t="s">
        <v>4418</v>
      </c>
      <c r="P863" s="1" t="s">
        <v>4422</v>
      </c>
      <c r="Q863" s="3">
        <v>0</v>
      </c>
      <c r="R863" s="22" t="s">
        <v>2764</v>
      </c>
      <c r="S863" s="22" t="s">
        <v>5097</v>
      </c>
      <c r="T863" s="51">
        <v>31</v>
      </c>
      <c r="U863" s="3" t="s">
        <v>5276</v>
      </c>
      <c r="V863" s="41" t="str">
        <f>HYPERLINK("http://ictvonline.org/taxonomy/p/taxonomy-history?taxnode_id=20180610","ICTVonline=20180610")</f>
        <v>ICTVonline=20180610</v>
      </c>
    </row>
    <row r="864" spans="1:22">
      <c r="A864" s="3">
        <v>863</v>
      </c>
      <c r="J864" s="1" t="s">
        <v>1338</v>
      </c>
      <c r="L864" s="1" t="s">
        <v>902</v>
      </c>
      <c r="M864" s="1" t="s">
        <v>4417</v>
      </c>
      <c r="N864" s="1" t="s">
        <v>4418</v>
      </c>
      <c r="P864" s="1" t="s">
        <v>4423</v>
      </c>
      <c r="Q864" s="3">
        <v>0</v>
      </c>
      <c r="R864" s="22" t="s">
        <v>2764</v>
      </c>
      <c r="S864" s="22" t="s">
        <v>5097</v>
      </c>
      <c r="T864" s="51">
        <v>31</v>
      </c>
      <c r="U864" s="3" t="s">
        <v>5276</v>
      </c>
      <c r="V864" s="41" t="str">
        <f>HYPERLINK("http://ictvonline.org/taxonomy/p/taxonomy-history?taxnode_id=20180611","ICTVonline=20180611")</f>
        <v>ICTVonline=20180611</v>
      </c>
    </row>
    <row r="865" spans="1:22">
      <c r="A865" s="3">
        <v>864</v>
      </c>
      <c r="J865" s="1" t="s">
        <v>1338</v>
      </c>
      <c r="L865" s="1" t="s">
        <v>902</v>
      </c>
      <c r="M865" s="1" t="s">
        <v>4417</v>
      </c>
      <c r="N865" s="1" t="s">
        <v>4424</v>
      </c>
      <c r="P865" s="1" t="s">
        <v>4425</v>
      </c>
      <c r="Q865" s="3">
        <v>0</v>
      </c>
      <c r="R865" s="22" t="s">
        <v>2764</v>
      </c>
      <c r="S865" s="22" t="s">
        <v>5097</v>
      </c>
      <c r="T865" s="51">
        <v>31</v>
      </c>
      <c r="U865" s="3" t="s">
        <v>5276</v>
      </c>
      <c r="V865" s="41" t="str">
        <f>HYPERLINK("http://ictvonline.org/taxonomy/p/taxonomy-history?taxnode_id=20180613","ICTVonline=20180613")</f>
        <v>ICTVonline=20180613</v>
      </c>
    </row>
    <row r="866" spans="1:22">
      <c r="A866" s="3">
        <v>865</v>
      </c>
      <c r="J866" s="1" t="s">
        <v>1338</v>
      </c>
      <c r="L866" s="1" t="s">
        <v>902</v>
      </c>
      <c r="M866" s="1" t="s">
        <v>4417</v>
      </c>
      <c r="N866" s="1" t="s">
        <v>4424</v>
      </c>
      <c r="P866" s="1" t="s">
        <v>4426</v>
      </c>
      <c r="Q866" s="3">
        <v>1</v>
      </c>
      <c r="R866" s="22" t="s">
        <v>2764</v>
      </c>
      <c r="S866" s="22" t="s">
        <v>5097</v>
      </c>
      <c r="T866" s="51">
        <v>31</v>
      </c>
      <c r="U866" s="3" t="s">
        <v>5276</v>
      </c>
      <c r="V866" s="41" t="str">
        <f>HYPERLINK("http://ictvonline.org/taxonomy/p/taxonomy-history?taxnode_id=20180614","ICTVonline=20180614")</f>
        <v>ICTVonline=20180614</v>
      </c>
    </row>
    <row r="867" spans="1:22">
      <c r="A867" s="3">
        <v>866</v>
      </c>
      <c r="J867" s="1" t="s">
        <v>1338</v>
      </c>
      <c r="L867" s="1" t="s">
        <v>902</v>
      </c>
      <c r="M867" s="1" t="s">
        <v>4417</v>
      </c>
      <c r="N867" s="1" t="s">
        <v>4427</v>
      </c>
      <c r="P867" s="1" t="s">
        <v>4428</v>
      </c>
      <c r="Q867" s="3">
        <v>0</v>
      </c>
      <c r="R867" s="22" t="s">
        <v>2764</v>
      </c>
      <c r="S867" s="22" t="s">
        <v>5097</v>
      </c>
      <c r="T867" s="51">
        <v>31</v>
      </c>
      <c r="U867" s="3" t="s">
        <v>5276</v>
      </c>
      <c r="V867" s="41" t="str">
        <f>HYPERLINK("http://ictvonline.org/taxonomy/p/taxonomy-history?taxnode_id=20180616","ICTVonline=20180616")</f>
        <v>ICTVonline=20180616</v>
      </c>
    </row>
    <row r="868" spans="1:22">
      <c r="A868" s="3">
        <v>867</v>
      </c>
      <c r="J868" s="1" t="s">
        <v>1338</v>
      </c>
      <c r="L868" s="1" t="s">
        <v>902</v>
      </c>
      <c r="M868" s="1" t="s">
        <v>4417</v>
      </c>
      <c r="N868" s="1" t="s">
        <v>4427</v>
      </c>
      <c r="P868" s="1" t="s">
        <v>4429</v>
      </c>
      <c r="Q868" s="3">
        <v>0</v>
      </c>
      <c r="R868" s="22" t="s">
        <v>2764</v>
      </c>
      <c r="S868" s="22" t="s">
        <v>5097</v>
      </c>
      <c r="T868" s="51">
        <v>31</v>
      </c>
      <c r="U868" s="3" t="s">
        <v>5276</v>
      </c>
      <c r="V868" s="41" t="str">
        <f>HYPERLINK("http://ictvonline.org/taxonomy/p/taxonomy-history?taxnode_id=20180617","ICTVonline=20180617")</f>
        <v>ICTVonline=20180617</v>
      </c>
    </row>
    <row r="869" spans="1:22">
      <c r="A869" s="3">
        <v>868</v>
      </c>
      <c r="J869" s="1" t="s">
        <v>1338</v>
      </c>
      <c r="L869" s="1" t="s">
        <v>902</v>
      </c>
      <c r="M869" s="1" t="s">
        <v>4417</v>
      </c>
      <c r="N869" s="1" t="s">
        <v>4427</v>
      </c>
      <c r="P869" s="1" t="s">
        <v>4430</v>
      </c>
      <c r="Q869" s="3">
        <v>1</v>
      </c>
      <c r="R869" s="22" t="s">
        <v>2764</v>
      </c>
      <c r="S869" s="22" t="s">
        <v>5097</v>
      </c>
      <c r="T869" s="51">
        <v>31</v>
      </c>
      <c r="U869" s="3" t="s">
        <v>5276</v>
      </c>
      <c r="V869" s="41" t="str">
        <f>HYPERLINK("http://ictvonline.org/taxonomy/p/taxonomy-history?taxnode_id=20180618","ICTVonline=20180618")</f>
        <v>ICTVonline=20180618</v>
      </c>
    </row>
    <row r="870" spans="1:22">
      <c r="A870" s="3">
        <v>869</v>
      </c>
      <c r="J870" s="1" t="s">
        <v>1338</v>
      </c>
      <c r="L870" s="1" t="s">
        <v>902</v>
      </c>
      <c r="M870" s="1" t="s">
        <v>4417</v>
      </c>
      <c r="N870" s="1" t="s">
        <v>4427</v>
      </c>
      <c r="P870" s="1" t="s">
        <v>4431</v>
      </c>
      <c r="Q870" s="3">
        <v>0</v>
      </c>
      <c r="R870" s="22" t="s">
        <v>2764</v>
      </c>
      <c r="S870" s="22" t="s">
        <v>5097</v>
      </c>
      <c r="T870" s="51">
        <v>31</v>
      </c>
      <c r="U870" s="3" t="s">
        <v>5276</v>
      </c>
      <c r="V870" s="41" t="str">
        <f>HYPERLINK("http://ictvonline.org/taxonomy/p/taxonomy-history?taxnode_id=20180619","ICTVonline=20180619")</f>
        <v>ICTVonline=20180619</v>
      </c>
    </row>
    <row r="871" spans="1:22">
      <c r="A871" s="3">
        <v>870</v>
      </c>
      <c r="J871" s="1" t="s">
        <v>1338</v>
      </c>
      <c r="L871" s="1" t="s">
        <v>902</v>
      </c>
      <c r="N871" s="1" t="s">
        <v>4211</v>
      </c>
      <c r="P871" s="1" t="s">
        <v>3060</v>
      </c>
      <c r="Q871" s="3">
        <v>1</v>
      </c>
      <c r="R871" s="22" t="s">
        <v>2764</v>
      </c>
      <c r="S871" s="22" t="s">
        <v>5099</v>
      </c>
      <c r="T871" s="51">
        <v>31</v>
      </c>
      <c r="U871" s="3" t="s">
        <v>5219</v>
      </c>
      <c r="V871" s="41" t="str">
        <f>HYPERLINK("http://ictvonline.org/taxonomy/p/taxonomy-history?taxnode_id=20180622","ICTVonline=20180622")</f>
        <v>ICTVonline=20180622</v>
      </c>
    </row>
    <row r="872" spans="1:22">
      <c r="A872" s="3">
        <v>871</v>
      </c>
      <c r="J872" s="1" t="s">
        <v>1338</v>
      </c>
      <c r="L872" s="1" t="s">
        <v>902</v>
      </c>
      <c r="N872" s="1" t="s">
        <v>4211</v>
      </c>
      <c r="P872" s="1" t="s">
        <v>3061</v>
      </c>
      <c r="Q872" s="3">
        <v>0</v>
      </c>
      <c r="R872" s="22" t="s">
        <v>2764</v>
      </c>
      <c r="S872" s="22" t="s">
        <v>5099</v>
      </c>
      <c r="T872" s="51">
        <v>31</v>
      </c>
      <c r="U872" s="3" t="s">
        <v>5219</v>
      </c>
      <c r="V872" s="41" t="str">
        <f>HYPERLINK("http://ictvonline.org/taxonomy/p/taxonomy-history?taxnode_id=20180623","ICTVonline=20180623")</f>
        <v>ICTVonline=20180623</v>
      </c>
    </row>
    <row r="873" spans="1:22">
      <c r="A873" s="3">
        <v>872</v>
      </c>
      <c r="J873" s="1" t="s">
        <v>1338</v>
      </c>
      <c r="L873" s="1" t="s">
        <v>902</v>
      </c>
      <c r="N873" s="1" t="s">
        <v>4211</v>
      </c>
      <c r="P873" s="1" t="s">
        <v>3062</v>
      </c>
      <c r="Q873" s="3">
        <v>0</v>
      </c>
      <c r="R873" s="22" t="s">
        <v>2764</v>
      </c>
      <c r="S873" s="22" t="s">
        <v>5099</v>
      </c>
      <c r="T873" s="51">
        <v>31</v>
      </c>
      <c r="U873" s="3" t="s">
        <v>5219</v>
      </c>
      <c r="V873" s="41" t="str">
        <f>HYPERLINK("http://ictvonline.org/taxonomy/p/taxonomy-history?taxnode_id=20180624","ICTVonline=20180624")</f>
        <v>ICTVonline=20180624</v>
      </c>
    </row>
    <row r="874" spans="1:22">
      <c r="A874" s="3">
        <v>873</v>
      </c>
      <c r="J874" s="1" t="s">
        <v>1338</v>
      </c>
      <c r="L874" s="1" t="s">
        <v>902</v>
      </c>
      <c r="N874" s="1" t="s">
        <v>4211</v>
      </c>
      <c r="P874" s="1" t="s">
        <v>3063</v>
      </c>
      <c r="Q874" s="3">
        <v>0</v>
      </c>
      <c r="R874" s="22" t="s">
        <v>2764</v>
      </c>
      <c r="S874" s="22" t="s">
        <v>5099</v>
      </c>
      <c r="T874" s="51">
        <v>31</v>
      </c>
      <c r="U874" s="3" t="s">
        <v>5219</v>
      </c>
      <c r="V874" s="41" t="str">
        <f>HYPERLINK("http://ictvonline.org/taxonomy/p/taxonomy-history?taxnode_id=20180625","ICTVonline=20180625")</f>
        <v>ICTVonline=20180625</v>
      </c>
    </row>
    <row r="875" spans="1:22">
      <c r="A875" s="3">
        <v>874</v>
      </c>
      <c r="J875" s="1" t="s">
        <v>1338</v>
      </c>
      <c r="L875" s="1" t="s">
        <v>902</v>
      </c>
      <c r="N875" s="1" t="s">
        <v>3064</v>
      </c>
      <c r="P875" s="1" t="s">
        <v>3065</v>
      </c>
      <c r="Q875" s="3">
        <v>1</v>
      </c>
      <c r="R875" s="22" t="s">
        <v>2764</v>
      </c>
      <c r="S875" s="22" t="s">
        <v>5098</v>
      </c>
      <c r="T875" s="51">
        <v>30</v>
      </c>
      <c r="U875" s="3" t="s">
        <v>5216</v>
      </c>
      <c r="V875" s="41" t="str">
        <f>HYPERLINK("http://ictvonline.org/taxonomy/p/taxonomy-history?taxnode_id=20180627","ICTVonline=20180627")</f>
        <v>ICTVonline=20180627</v>
      </c>
    </row>
    <row r="876" spans="1:22">
      <c r="A876" s="3">
        <v>875</v>
      </c>
      <c r="J876" s="1" t="s">
        <v>1338</v>
      </c>
      <c r="L876" s="1" t="s">
        <v>902</v>
      </c>
      <c r="N876" s="1" t="s">
        <v>3064</v>
      </c>
      <c r="P876" s="1" t="s">
        <v>3066</v>
      </c>
      <c r="Q876" s="3">
        <v>0</v>
      </c>
      <c r="R876" s="22" t="s">
        <v>2764</v>
      </c>
      <c r="S876" s="22" t="s">
        <v>5098</v>
      </c>
      <c r="T876" s="51">
        <v>30</v>
      </c>
      <c r="U876" s="3" t="s">
        <v>5216</v>
      </c>
      <c r="V876" s="41" t="str">
        <f>HYPERLINK("http://ictvonline.org/taxonomy/p/taxonomy-history?taxnode_id=20180628","ICTVonline=20180628")</f>
        <v>ICTVonline=20180628</v>
      </c>
    </row>
    <row r="877" spans="1:22">
      <c r="A877" s="3">
        <v>876</v>
      </c>
      <c r="J877" s="1" t="s">
        <v>1338</v>
      </c>
      <c r="L877" s="1" t="s">
        <v>902</v>
      </c>
      <c r="N877" s="1" t="s">
        <v>3067</v>
      </c>
      <c r="P877" s="1" t="s">
        <v>3068</v>
      </c>
      <c r="Q877" s="3">
        <v>1</v>
      </c>
      <c r="R877" s="22" t="s">
        <v>2764</v>
      </c>
      <c r="S877" s="22" t="s">
        <v>5097</v>
      </c>
      <c r="T877" s="51">
        <v>30</v>
      </c>
      <c r="U877" s="3" t="s">
        <v>5277</v>
      </c>
      <c r="V877" s="41" t="str">
        <f>HYPERLINK("http://ictvonline.org/taxonomy/p/taxonomy-history?taxnode_id=20180630","ICTVonline=20180630")</f>
        <v>ICTVonline=20180630</v>
      </c>
    </row>
    <row r="878" spans="1:22">
      <c r="A878" s="3">
        <v>877</v>
      </c>
      <c r="J878" s="1" t="s">
        <v>1338</v>
      </c>
      <c r="L878" s="1" t="s">
        <v>902</v>
      </c>
      <c r="N878" s="1" t="s">
        <v>3067</v>
      </c>
      <c r="P878" s="1" t="s">
        <v>3069</v>
      </c>
      <c r="Q878" s="3">
        <v>0</v>
      </c>
      <c r="R878" s="22" t="s">
        <v>2764</v>
      </c>
      <c r="S878" s="22" t="s">
        <v>5097</v>
      </c>
      <c r="T878" s="51">
        <v>30</v>
      </c>
      <c r="U878" s="3" t="s">
        <v>5277</v>
      </c>
      <c r="V878" s="41" t="str">
        <f>HYPERLINK("http://ictvonline.org/taxonomy/p/taxonomy-history?taxnode_id=20180631","ICTVonline=20180631")</f>
        <v>ICTVonline=20180631</v>
      </c>
    </row>
    <row r="879" spans="1:22">
      <c r="A879" s="3">
        <v>878</v>
      </c>
      <c r="J879" s="1" t="s">
        <v>1338</v>
      </c>
      <c r="L879" s="1" t="s">
        <v>902</v>
      </c>
      <c r="N879" s="1" t="s">
        <v>5278</v>
      </c>
      <c r="P879" s="1" t="s">
        <v>5279</v>
      </c>
      <c r="Q879" s="3">
        <v>1</v>
      </c>
      <c r="R879" s="22" t="s">
        <v>2764</v>
      </c>
      <c r="S879" s="22" t="s">
        <v>5097</v>
      </c>
      <c r="T879" s="51">
        <v>32</v>
      </c>
      <c r="U879" s="3" t="s">
        <v>5280</v>
      </c>
      <c r="V879" s="41" t="str">
        <f>HYPERLINK("http://ictvonline.org/taxonomy/p/taxonomy-history?taxnode_id=20185488","ICTVonline=20185488")</f>
        <v>ICTVonline=20185488</v>
      </c>
    </row>
    <row r="880" spans="1:22">
      <c r="A880" s="3">
        <v>879</v>
      </c>
      <c r="J880" s="1" t="s">
        <v>1338</v>
      </c>
      <c r="L880" s="1" t="s">
        <v>902</v>
      </c>
      <c r="N880" s="1" t="s">
        <v>4432</v>
      </c>
      <c r="P880" s="1" t="s">
        <v>4433</v>
      </c>
      <c r="Q880" s="3">
        <v>1</v>
      </c>
      <c r="R880" s="22" t="s">
        <v>2764</v>
      </c>
      <c r="S880" s="22" t="s">
        <v>5097</v>
      </c>
      <c r="T880" s="51">
        <v>31</v>
      </c>
      <c r="U880" s="3" t="s">
        <v>5281</v>
      </c>
      <c r="V880" s="41" t="str">
        <f>HYPERLINK("http://ictvonline.org/taxonomy/p/taxonomy-history?taxnode_id=20180633","ICTVonline=20180633")</f>
        <v>ICTVonline=20180633</v>
      </c>
    </row>
    <row r="881" spans="1:22">
      <c r="A881" s="3">
        <v>880</v>
      </c>
      <c r="J881" s="1" t="s">
        <v>1338</v>
      </c>
      <c r="L881" s="1" t="s">
        <v>902</v>
      </c>
      <c r="N881" s="1" t="s">
        <v>4432</v>
      </c>
      <c r="P881" s="1" t="s">
        <v>4434</v>
      </c>
      <c r="Q881" s="3">
        <v>0</v>
      </c>
      <c r="R881" s="22" t="s">
        <v>2764</v>
      </c>
      <c r="S881" s="22" t="s">
        <v>5097</v>
      </c>
      <c r="T881" s="51">
        <v>31</v>
      </c>
      <c r="U881" s="3" t="s">
        <v>5281</v>
      </c>
      <c r="V881" s="41" t="str">
        <f>HYPERLINK("http://ictvonline.org/taxonomy/p/taxonomy-history?taxnode_id=20180634","ICTVonline=20180634")</f>
        <v>ICTVonline=20180634</v>
      </c>
    </row>
    <row r="882" spans="1:22">
      <c r="A882" s="3">
        <v>881</v>
      </c>
      <c r="J882" s="1" t="s">
        <v>1338</v>
      </c>
      <c r="L882" s="1" t="s">
        <v>902</v>
      </c>
      <c r="N882" s="1" t="s">
        <v>3070</v>
      </c>
      <c r="P882" s="1" t="s">
        <v>3071</v>
      </c>
      <c r="Q882" s="3">
        <v>0</v>
      </c>
      <c r="R882" s="22" t="s">
        <v>2764</v>
      </c>
      <c r="S882" s="22" t="s">
        <v>5098</v>
      </c>
      <c r="T882" s="51">
        <v>30</v>
      </c>
      <c r="U882" s="3" t="s">
        <v>5216</v>
      </c>
      <c r="V882" s="41" t="str">
        <f>HYPERLINK("http://ictvonline.org/taxonomy/p/taxonomy-history?taxnode_id=20180636","ICTVonline=20180636")</f>
        <v>ICTVonline=20180636</v>
      </c>
    </row>
    <row r="883" spans="1:22">
      <c r="A883" s="3">
        <v>882</v>
      </c>
      <c r="J883" s="1" t="s">
        <v>1338</v>
      </c>
      <c r="L883" s="1" t="s">
        <v>902</v>
      </c>
      <c r="N883" s="1" t="s">
        <v>3070</v>
      </c>
      <c r="P883" s="1" t="s">
        <v>3072</v>
      </c>
      <c r="Q883" s="3">
        <v>1</v>
      </c>
      <c r="R883" s="22" t="s">
        <v>2764</v>
      </c>
      <c r="S883" s="22" t="s">
        <v>5098</v>
      </c>
      <c r="T883" s="51">
        <v>30</v>
      </c>
      <c r="U883" s="3" t="s">
        <v>5216</v>
      </c>
      <c r="V883" s="41" t="str">
        <f>HYPERLINK("http://ictvonline.org/taxonomy/p/taxonomy-history?taxnode_id=20180637","ICTVonline=20180637")</f>
        <v>ICTVonline=20180637</v>
      </c>
    </row>
    <row r="884" spans="1:22">
      <c r="A884" s="3">
        <v>883</v>
      </c>
      <c r="J884" s="1" t="s">
        <v>1338</v>
      </c>
      <c r="L884" s="1" t="s">
        <v>902</v>
      </c>
      <c r="N884" s="1" t="s">
        <v>3070</v>
      </c>
      <c r="P884" s="1" t="s">
        <v>4435</v>
      </c>
      <c r="Q884" s="3">
        <v>0</v>
      </c>
      <c r="R884" s="22" t="s">
        <v>2764</v>
      </c>
      <c r="S884" s="22" t="s">
        <v>5097</v>
      </c>
      <c r="T884" s="51">
        <v>31</v>
      </c>
      <c r="U884" s="3" t="s">
        <v>5282</v>
      </c>
      <c r="V884" s="41" t="str">
        <f>HYPERLINK("http://ictvonline.org/taxonomy/p/taxonomy-history?taxnode_id=20180638","ICTVonline=20180638")</f>
        <v>ICTVonline=20180638</v>
      </c>
    </row>
    <row r="885" spans="1:22">
      <c r="A885" s="3">
        <v>884</v>
      </c>
      <c r="J885" s="1" t="s">
        <v>1338</v>
      </c>
      <c r="L885" s="1" t="s">
        <v>902</v>
      </c>
      <c r="N885" s="1" t="s">
        <v>3073</v>
      </c>
      <c r="P885" s="1" t="s">
        <v>3074</v>
      </c>
      <c r="Q885" s="3">
        <v>1</v>
      </c>
      <c r="R885" s="22" t="s">
        <v>2764</v>
      </c>
      <c r="S885" s="22" t="s">
        <v>5098</v>
      </c>
      <c r="T885" s="51">
        <v>30</v>
      </c>
      <c r="U885" s="3" t="s">
        <v>5216</v>
      </c>
      <c r="V885" s="41" t="str">
        <f>HYPERLINK("http://ictvonline.org/taxonomy/p/taxonomy-history?taxnode_id=20180640","ICTVonline=20180640")</f>
        <v>ICTVonline=20180640</v>
      </c>
    </row>
    <row r="886" spans="1:22">
      <c r="A886" s="3">
        <v>885</v>
      </c>
      <c r="J886" s="1" t="s">
        <v>1338</v>
      </c>
      <c r="L886" s="1" t="s">
        <v>902</v>
      </c>
      <c r="N886" s="1" t="s">
        <v>3073</v>
      </c>
      <c r="P886" s="1" t="s">
        <v>3075</v>
      </c>
      <c r="Q886" s="3">
        <v>0</v>
      </c>
      <c r="R886" s="22" t="s">
        <v>2764</v>
      </c>
      <c r="S886" s="22" t="s">
        <v>5098</v>
      </c>
      <c r="T886" s="51">
        <v>30</v>
      </c>
      <c r="U886" s="3" t="s">
        <v>5216</v>
      </c>
      <c r="V886" s="41" t="str">
        <f>HYPERLINK("http://ictvonline.org/taxonomy/p/taxonomy-history?taxnode_id=20180641","ICTVonline=20180641")</f>
        <v>ICTVonline=20180641</v>
      </c>
    </row>
    <row r="887" spans="1:22">
      <c r="A887" s="3">
        <v>886</v>
      </c>
      <c r="J887" s="1" t="s">
        <v>1338</v>
      </c>
      <c r="L887" s="1" t="s">
        <v>902</v>
      </c>
      <c r="N887" s="1" t="s">
        <v>3079</v>
      </c>
      <c r="P887" s="1" t="s">
        <v>3080</v>
      </c>
      <c r="Q887" s="3">
        <v>0</v>
      </c>
      <c r="R887" s="22" t="s">
        <v>2764</v>
      </c>
      <c r="S887" s="22" t="s">
        <v>5097</v>
      </c>
      <c r="T887" s="51">
        <v>30</v>
      </c>
      <c r="U887" s="3" t="s">
        <v>5283</v>
      </c>
      <c r="V887" s="41" t="str">
        <f>HYPERLINK("http://ictvonline.org/taxonomy/p/taxonomy-history?taxnode_id=20180643","ICTVonline=20180643")</f>
        <v>ICTVonline=20180643</v>
      </c>
    </row>
    <row r="888" spans="1:22">
      <c r="A888" s="3">
        <v>887</v>
      </c>
      <c r="J888" s="1" t="s">
        <v>1338</v>
      </c>
      <c r="L888" s="1" t="s">
        <v>902</v>
      </c>
      <c r="N888" s="1" t="s">
        <v>3079</v>
      </c>
      <c r="P888" s="1" t="s">
        <v>3081</v>
      </c>
      <c r="Q888" s="3">
        <v>0</v>
      </c>
      <c r="R888" s="22" t="s">
        <v>2764</v>
      </c>
      <c r="S888" s="22" t="s">
        <v>5097</v>
      </c>
      <c r="T888" s="51">
        <v>30</v>
      </c>
      <c r="U888" s="3" t="s">
        <v>5283</v>
      </c>
      <c r="V888" s="41" t="str">
        <f>HYPERLINK("http://ictvonline.org/taxonomy/p/taxonomy-history?taxnode_id=20180644","ICTVonline=20180644")</f>
        <v>ICTVonline=20180644</v>
      </c>
    </row>
    <row r="889" spans="1:22">
      <c r="A889" s="3">
        <v>888</v>
      </c>
      <c r="J889" s="1" t="s">
        <v>1338</v>
      </c>
      <c r="L889" s="1" t="s">
        <v>902</v>
      </c>
      <c r="N889" s="1" t="s">
        <v>3079</v>
      </c>
      <c r="P889" s="1" t="s">
        <v>3082</v>
      </c>
      <c r="Q889" s="3">
        <v>0</v>
      </c>
      <c r="R889" s="22" t="s">
        <v>2764</v>
      </c>
      <c r="S889" s="22" t="s">
        <v>5097</v>
      </c>
      <c r="T889" s="51">
        <v>30</v>
      </c>
      <c r="U889" s="3" t="s">
        <v>5283</v>
      </c>
      <c r="V889" s="41" t="str">
        <f>HYPERLINK("http://ictvonline.org/taxonomy/p/taxonomy-history?taxnode_id=20180645","ICTVonline=20180645")</f>
        <v>ICTVonline=20180645</v>
      </c>
    </row>
    <row r="890" spans="1:22">
      <c r="A890" s="3">
        <v>889</v>
      </c>
      <c r="J890" s="1" t="s">
        <v>1338</v>
      </c>
      <c r="L890" s="1" t="s">
        <v>902</v>
      </c>
      <c r="N890" s="1" t="s">
        <v>3079</v>
      </c>
      <c r="P890" s="1" t="s">
        <v>3083</v>
      </c>
      <c r="Q890" s="3">
        <v>0</v>
      </c>
      <c r="R890" s="22" t="s">
        <v>2764</v>
      </c>
      <c r="S890" s="22" t="s">
        <v>5097</v>
      </c>
      <c r="T890" s="51">
        <v>30</v>
      </c>
      <c r="U890" s="3" t="s">
        <v>5283</v>
      </c>
      <c r="V890" s="41" t="str">
        <f>HYPERLINK("http://ictvonline.org/taxonomy/p/taxonomy-history?taxnode_id=20180646","ICTVonline=20180646")</f>
        <v>ICTVonline=20180646</v>
      </c>
    </row>
    <row r="891" spans="1:22">
      <c r="A891" s="3">
        <v>890</v>
      </c>
      <c r="J891" s="1" t="s">
        <v>1338</v>
      </c>
      <c r="L891" s="1" t="s">
        <v>902</v>
      </c>
      <c r="N891" s="1" t="s">
        <v>3079</v>
      </c>
      <c r="P891" s="1" t="s">
        <v>3084</v>
      </c>
      <c r="Q891" s="3">
        <v>0</v>
      </c>
      <c r="R891" s="22" t="s">
        <v>2764</v>
      </c>
      <c r="S891" s="22" t="s">
        <v>5097</v>
      </c>
      <c r="T891" s="51">
        <v>30</v>
      </c>
      <c r="U891" s="3" t="s">
        <v>5283</v>
      </c>
      <c r="V891" s="41" t="str">
        <f>HYPERLINK("http://ictvonline.org/taxonomy/p/taxonomy-history?taxnode_id=20180647","ICTVonline=20180647")</f>
        <v>ICTVonline=20180647</v>
      </c>
    </row>
    <row r="892" spans="1:22">
      <c r="A892" s="3">
        <v>891</v>
      </c>
      <c r="J892" s="1" t="s">
        <v>1338</v>
      </c>
      <c r="L892" s="1" t="s">
        <v>902</v>
      </c>
      <c r="N892" s="1" t="s">
        <v>3079</v>
      </c>
      <c r="P892" s="1" t="s">
        <v>3085</v>
      </c>
      <c r="Q892" s="3">
        <v>1</v>
      </c>
      <c r="R892" s="22" t="s">
        <v>2764</v>
      </c>
      <c r="S892" s="22" t="s">
        <v>5097</v>
      </c>
      <c r="T892" s="51">
        <v>30</v>
      </c>
      <c r="U892" s="3" t="s">
        <v>5283</v>
      </c>
      <c r="V892" s="41" t="str">
        <f>HYPERLINK("http://ictvonline.org/taxonomy/p/taxonomy-history?taxnode_id=20180648","ICTVonline=20180648")</f>
        <v>ICTVonline=20180648</v>
      </c>
    </row>
    <row r="893" spans="1:22">
      <c r="A893" s="3">
        <v>892</v>
      </c>
      <c r="J893" s="1" t="s">
        <v>1338</v>
      </c>
      <c r="L893" s="1" t="s">
        <v>902</v>
      </c>
      <c r="N893" s="1" t="s">
        <v>3079</v>
      </c>
      <c r="P893" s="1" t="s">
        <v>3086</v>
      </c>
      <c r="Q893" s="3">
        <v>0</v>
      </c>
      <c r="R893" s="22" t="s">
        <v>2764</v>
      </c>
      <c r="S893" s="22" t="s">
        <v>5097</v>
      </c>
      <c r="T893" s="51">
        <v>30</v>
      </c>
      <c r="U893" s="3" t="s">
        <v>5283</v>
      </c>
      <c r="V893" s="41" t="str">
        <f>HYPERLINK("http://ictvonline.org/taxonomy/p/taxonomy-history?taxnode_id=20180649","ICTVonline=20180649")</f>
        <v>ICTVonline=20180649</v>
      </c>
    </row>
    <row r="894" spans="1:22">
      <c r="A894" s="3">
        <v>893</v>
      </c>
      <c r="J894" s="1" t="s">
        <v>1338</v>
      </c>
      <c r="L894" s="1" t="s">
        <v>902</v>
      </c>
      <c r="N894" s="1" t="s">
        <v>3079</v>
      </c>
      <c r="P894" s="1" t="s">
        <v>3087</v>
      </c>
      <c r="Q894" s="3">
        <v>0</v>
      </c>
      <c r="R894" s="22" t="s">
        <v>2764</v>
      </c>
      <c r="S894" s="22" t="s">
        <v>5097</v>
      </c>
      <c r="T894" s="51">
        <v>30</v>
      </c>
      <c r="U894" s="3" t="s">
        <v>5283</v>
      </c>
      <c r="V894" s="41" t="str">
        <f>HYPERLINK("http://ictvonline.org/taxonomy/p/taxonomy-history?taxnode_id=20180650","ICTVonline=20180650")</f>
        <v>ICTVonline=20180650</v>
      </c>
    </row>
    <row r="895" spans="1:22">
      <c r="A895" s="3">
        <v>894</v>
      </c>
      <c r="J895" s="1" t="s">
        <v>1338</v>
      </c>
      <c r="L895" s="1" t="s">
        <v>902</v>
      </c>
      <c r="N895" s="1" t="s">
        <v>5284</v>
      </c>
      <c r="P895" s="1" t="s">
        <v>5285</v>
      </c>
      <c r="Q895" s="3">
        <v>0</v>
      </c>
      <c r="R895" s="22" t="s">
        <v>2764</v>
      </c>
      <c r="S895" s="22" t="s">
        <v>5097</v>
      </c>
      <c r="T895" s="51">
        <v>32</v>
      </c>
      <c r="U895" s="3" t="s">
        <v>5286</v>
      </c>
      <c r="V895" s="41" t="str">
        <f>HYPERLINK("http://ictvonline.org/taxonomy/p/taxonomy-history?taxnode_id=20185490","ICTVonline=20185490")</f>
        <v>ICTVonline=20185490</v>
      </c>
    </row>
    <row r="896" spans="1:22">
      <c r="A896" s="3">
        <v>895</v>
      </c>
      <c r="J896" s="1" t="s">
        <v>1338</v>
      </c>
      <c r="L896" s="1" t="s">
        <v>902</v>
      </c>
      <c r="N896" s="1" t="s">
        <v>5284</v>
      </c>
      <c r="P896" s="1" t="s">
        <v>5287</v>
      </c>
      <c r="Q896" s="3">
        <v>1</v>
      </c>
      <c r="R896" s="22" t="s">
        <v>2764</v>
      </c>
      <c r="S896" s="22" t="s">
        <v>5097</v>
      </c>
      <c r="T896" s="51">
        <v>32</v>
      </c>
      <c r="U896" s="3" t="s">
        <v>5286</v>
      </c>
      <c r="V896" s="41" t="str">
        <f>HYPERLINK("http://ictvonline.org/taxonomy/p/taxonomy-history?taxnode_id=20185491","ICTVonline=20185491")</f>
        <v>ICTVonline=20185491</v>
      </c>
    </row>
    <row r="897" spans="1:22">
      <c r="A897" s="3">
        <v>896</v>
      </c>
      <c r="J897" s="1" t="s">
        <v>1338</v>
      </c>
      <c r="L897" s="1" t="s">
        <v>902</v>
      </c>
      <c r="N897" s="1" t="s">
        <v>4436</v>
      </c>
      <c r="P897" s="1" t="s">
        <v>4437</v>
      </c>
      <c r="Q897" s="3">
        <v>1</v>
      </c>
      <c r="R897" s="22" t="s">
        <v>2764</v>
      </c>
      <c r="S897" s="22" t="s">
        <v>5097</v>
      </c>
      <c r="T897" s="51">
        <v>31</v>
      </c>
      <c r="U897" s="3" t="s">
        <v>5288</v>
      </c>
      <c r="V897" s="41" t="str">
        <f>HYPERLINK("http://ictvonline.org/taxonomy/p/taxonomy-history?taxnode_id=20180652","ICTVonline=20180652")</f>
        <v>ICTVonline=20180652</v>
      </c>
    </row>
    <row r="898" spans="1:22">
      <c r="A898" s="3">
        <v>897</v>
      </c>
      <c r="J898" s="1" t="s">
        <v>1338</v>
      </c>
      <c r="L898" s="1" t="s">
        <v>902</v>
      </c>
      <c r="N898" s="1" t="s">
        <v>4438</v>
      </c>
      <c r="P898" s="1" t="s">
        <v>4439</v>
      </c>
      <c r="Q898" s="3">
        <v>1</v>
      </c>
      <c r="R898" s="22" t="s">
        <v>2764</v>
      </c>
      <c r="S898" s="22" t="s">
        <v>5097</v>
      </c>
      <c r="T898" s="51">
        <v>31</v>
      </c>
      <c r="U898" s="3" t="s">
        <v>5289</v>
      </c>
      <c r="V898" s="41" t="str">
        <f>HYPERLINK("http://ictvonline.org/taxonomy/p/taxonomy-history?taxnode_id=20180654","ICTVonline=20180654")</f>
        <v>ICTVonline=20180654</v>
      </c>
    </row>
    <row r="899" spans="1:22">
      <c r="A899" s="3">
        <v>898</v>
      </c>
      <c r="J899" s="1" t="s">
        <v>1338</v>
      </c>
      <c r="L899" s="1" t="s">
        <v>902</v>
      </c>
      <c r="N899" s="1" t="s">
        <v>4438</v>
      </c>
      <c r="P899" s="1" t="s">
        <v>4440</v>
      </c>
      <c r="Q899" s="3">
        <v>0</v>
      </c>
      <c r="R899" s="22" t="s">
        <v>2764</v>
      </c>
      <c r="S899" s="22" t="s">
        <v>5097</v>
      </c>
      <c r="T899" s="51">
        <v>31</v>
      </c>
      <c r="U899" s="3" t="s">
        <v>5289</v>
      </c>
      <c r="V899" s="41" t="str">
        <f>HYPERLINK("http://ictvonline.org/taxonomy/p/taxonomy-history?taxnode_id=20180655","ICTVonline=20180655")</f>
        <v>ICTVonline=20180655</v>
      </c>
    </row>
    <row r="900" spans="1:22">
      <c r="A900" s="3">
        <v>899</v>
      </c>
      <c r="J900" s="1" t="s">
        <v>1338</v>
      </c>
      <c r="L900" s="1" t="s">
        <v>902</v>
      </c>
      <c r="N900" s="1" t="s">
        <v>3088</v>
      </c>
      <c r="P900" s="1" t="s">
        <v>3089</v>
      </c>
      <c r="Q900" s="3">
        <v>0</v>
      </c>
      <c r="R900" s="22" t="s">
        <v>2764</v>
      </c>
      <c r="S900" s="22" t="s">
        <v>5097</v>
      </c>
      <c r="T900" s="51">
        <v>30</v>
      </c>
      <c r="U900" s="3" t="s">
        <v>5290</v>
      </c>
      <c r="V900" s="41" t="str">
        <f>HYPERLINK("http://ictvonline.org/taxonomy/p/taxonomy-history?taxnode_id=20180657","ICTVonline=20180657")</f>
        <v>ICTVonline=20180657</v>
      </c>
    </row>
    <row r="901" spans="1:22">
      <c r="A901" s="3">
        <v>900</v>
      </c>
      <c r="J901" s="1" t="s">
        <v>1338</v>
      </c>
      <c r="L901" s="1" t="s">
        <v>902</v>
      </c>
      <c r="N901" s="1" t="s">
        <v>3088</v>
      </c>
      <c r="P901" s="1" t="s">
        <v>3090</v>
      </c>
      <c r="Q901" s="3">
        <v>1</v>
      </c>
      <c r="R901" s="22" t="s">
        <v>2764</v>
      </c>
      <c r="S901" s="22" t="s">
        <v>5097</v>
      </c>
      <c r="T901" s="51">
        <v>30</v>
      </c>
      <c r="U901" s="3" t="s">
        <v>5290</v>
      </c>
      <c r="V901" s="41" t="str">
        <f>HYPERLINK("http://ictvonline.org/taxonomy/p/taxonomy-history?taxnode_id=20180658","ICTVonline=20180658")</f>
        <v>ICTVonline=20180658</v>
      </c>
    </row>
    <row r="902" spans="1:22">
      <c r="A902" s="3">
        <v>901</v>
      </c>
      <c r="J902" s="1" t="s">
        <v>1338</v>
      </c>
      <c r="L902" s="1" t="s">
        <v>902</v>
      </c>
      <c r="N902" s="1" t="s">
        <v>3088</v>
      </c>
      <c r="P902" s="1" t="s">
        <v>3091</v>
      </c>
      <c r="Q902" s="3">
        <v>0</v>
      </c>
      <c r="R902" s="22" t="s">
        <v>2764</v>
      </c>
      <c r="S902" s="22" t="s">
        <v>5097</v>
      </c>
      <c r="T902" s="51">
        <v>30</v>
      </c>
      <c r="U902" s="3" t="s">
        <v>5290</v>
      </c>
      <c r="V902" s="41" t="str">
        <f>HYPERLINK("http://ictvonline.org/taxonomy/p/taxonomy-history?taxnode_id=20180659","ICTVonline=20180659")</f>
        <v>ICTVonline=20180659</v>
      </c>
    </row>
    <row r="903" spans="1:22">
      <c r="A903" s="3">
        <v>902</v>
      </c>
      <c r="J903" s="1" t="s">
        <v>1338</v>
      </c>
      <c r="L903" s="1" t="s">
        <v>902</v>
      </c>
      <c r="N903" s="1" t="s">
        <v>3092</v>
      </c>
      <c r="P903" s="1" t="s">
        <v>3093</v>
      </c>
      <c r="Q903" s="3">
        <v>0</v>
      </c>
      <c r="R903" s="22" t="s">
        <v>2764</v>
      </c>
      <c r="S903" s="22" t="s">
        <v>5097</v>
      </c>
      <c r="T903" s="51">
        <v>30</v>
      </c>
      <c r="U903" s="3" t="s">
        <v>5291</v>
      </c>
      <c r="V903" s="41" t="str">
        <f>HYPERLINK("http://ictvonline.org/taxonomy/p/taxonomy-history?taxnode_id=20180661","ICTVonline=20180661")</f>
        <v>ICTVonline=20180661</v>
      </c>
    </row>
    <row r="904" spans="1:22">
      <c r="A904" s="3">
        <v>903</v>
      </c>
      <c r="J904" s="1" t="s">
        <v>1338</v>
      </c>
      <c r="L904" s="1" t="s">
        <v>902</v>
      </c>
      <c r="N904" s="1" t="s">
        <v>3092</v>
      </c>
      <c r="P904" s="1" t="s">
        <v>3094</v>
      </c>
      <c r="Q904" s="3">
        <v>0</v>
      </c>
      <c r="R904" s="22" t="s">
        <v>2764</v>
      </c>
      <c r="S904" s="22" t="s">
        <v>5097</v>
      </c>
      <c r="T904" s="51">
        <v>30</v>
      </c>
      <c r="U904" s="3" t="s">
        <v>5291</v>
      </c>
      <c r="V904" s="41" t="str">
        <f>HYPERLINK("http://ictvonline.org/taxonomy/p/taxonomy-history?taxnode_id=20180662","ICTVonline=20180662")</f>
        <v>ICTVonline=20180662</v>
      </c>
    </row>
    <row r="905" spans="1:22">
      <c r="A905" s="3">
        <v>904</v>
      </c>
      <c r="J905" s="1" t="s">
        <v>1338</v>
      </c>
      <c r="L905" s="1" t="s">
        <v>902</v>
      </c>
      <c r="N905" s="1" t="s">
        <v>3092</v>
      </c>
      <c r="P905" s="1" t="s">
        <v>3095</v>
      </c>
      <c r="Q905" s="3">
        <v>1</v>
      </c>
      <c r="R905" s="22" t="s">
        <v>2764</v>
      </c>
      <c r="S905" s="22" t="s">
        <v>5098</v>
      </c>
      <c r="T905" s="51">
        <v>30</v>
      </c>
      <c r="U905" s="3" t="s">
        <v>5216</v>
      </c>
      <c r="V905" s="41" t="str">
        <f>HYPERLINK("http://ictvonline.org/taxonomy/p/taxonomy-history?taxnode_id=20180663","ICTVonline=20180663")</f>
        <v>ICTVonline=20180663</v>
      </c>
    </row>
    <row r="906" spans="1:22">
      <c r="A906" s="3">
        <v>905</v>
      </c>
      <c r="J906" s="1" t="s">
        <v>1338</v>
      </c>
      <c r="L906" s="1" t="s">
        <v>902</v>
      </c>
      <c r="N906" s="1" t="s">
        <v>3092</v>
      </c>
      <c r="P906" s="1" t="s">
        <v>3096</v>
      </c>
      <c r="Q906" s="3">
        <v>0</v>
      </c>
      <c r="R906" s="22" t="s">
        <v>2764</v>
      </c>
      <c r="S906" s="22" t="s">
        <v>5097</v>
      </c>
      <c r="T906" s="51">
        <v>30</v>
      </c>
      <c r="U906" s="3" t="s">
        <v>5291</v>
      </c>
      <c r="V906" s="41" t="str">
        <f>HYPERLINK("http://ictvonline.org/taxonomy/p/taxonomy-history?taxnode_id=20180664","ICTVonline=20180664")</f>
        <v>ICTVonline=20180664</v>
      </c>
    </row>
    <row r="907" spans="1:22">
      <c r="A907" s="3">
        <v>906</v>
      </c>
      <c r="J907" s="1" t="s">
        <v>1338</v>
      </c>
      <c r="L907" s="1" t="s">
        <v>902</v>
      </c>
      <c r="N907" s="1" t="s">
        <v>3092</v>
      </c>
      <c r="P907" s="1" t="s">
        <v>3097</v>
      </c>
      <c r="Q907" s="3">
        <v>0</v>
      </c>
      <c r="R907" s="22" t="s">
        <v>2764</v>
      </c>
      <c r="S907" s="22" t="s">
        <v>5098</v>
      </c>
      <c r="T907" s="51">
        <v>30</v>
      </c>
      <c r="U907" s="3" t="s">
        <v>5216</v>
      </c>
      <c r="V907" s="41" t="str">
        <f>HYPERLINK("http://ictvonline.org/taxonomy/p/taxonomy-history?taxnode_id=20180665","ICTVonline=20180665")</f>
        <v>ICTVonline=20180665</v>
      </c>
    </row>
    <row r="908" spans="1:22">
      <c r="A908" s="3">
        <v>907</v>
      </c>
      <c r="J908" s="1" t="s">
        <v>1338</v>
      </c>
      <c r="L908" s="1" t="s">
        <v>902</v>
      </c>
      <c r="N908" s="1" t="s">
        <v>3092</v>
      </c>
      <c r="P908" s="1" t="s">
        <v>3098</v>
      </c>
      <c r="Q908" s="3">
        <v>0</v>
      </c>
      <c r="R908" s="22" t="s">
        <v>2764</v>
      </c>
      <c r="S908" s="22" t="s">
        <v>5097</v>
      </c>
      <c r="T908" s="51">
        <v>30</v>
      </c>
      <c r="U908" s="3" t="s">
        <v>5291</v>
      </c>
      <c r="V908" s="41" t="str">
        <f>HYPERLINK("http://ictvonline.org/taxonomy/p/taxonomy-history?taxnode_id=20180666","ICTVonline=20180666")</f>
        <v>ICTVonline=20180666</v>
      </c>
    </row>
    <row r="909" spans="1:22">
      <c r="A909" s="3">
        <v>908</v>
      </c>
      <c r="J909" s="1" t="s">
        <v>1338</v>
      </c>
      <c r="L909" s="1" t="s">
        <v>902</v>
      </c>
      <c r="N909" s="1" t="s">
        <v>3092</v>
      </c>
      <c r="P909" s="1" t="s">
        <v>3099</v>
      </c>
      <c r="Q909" s="3">
        <v>0</v>
      </c>
      <c r="R909" s="22" t="s">
        <v>2764</v>
      </c>
      <c r="S909" s="22" t="s">
        <v>5097</v>
      </c>
      <c r="T909" s="51">
        <v>30</v>
      </c>
      <c r="U909" s="3" t="s">
        <v>5291</v>
      </c>
      <c r="V909" s="41" t="str">
        <f>HYPERLINK("http://ictvonline.org/taxonomy/p/taxonomy-history?taxnode_id=20180667","ICTVonline=20180667")</f>
        <v>ICTVonline=20180667</v>
      </c>
    </row>
    <row r="910" spans="1:22">
      <c r="A910" s="3">
        <v>909</v>
      </c>
      <c r="J910" s="1" t="s">
        <v>1338</v>
      </c>
      <c r="L910" s="1" t="s">
        <v>902</v>
      </c>
      <c r="N910" s="1" t="s">
        <v>4441</v>
      </c>
      <c r="P910" s="1" t="s">
        <v>4442</v>
      </c>
      <c r="Q910" s="3">
        <v>0</v>
      </c>
      <c r="R910" s="22" t="s">
        <v>2764</v>
      </c>
      <c r="S910" s="22" t="s">
        <v>5097</v>
      </c>
      <c r="T910" s="51">
        <v>31</v>
      </c>
      <c r="U910" s="3" t="s">
        <v>5292</v>
      </c>
      <c r="V910" s="41" t="str">
        <f>HYPERLINK("http://ictvonline.org/taxonomy/p/taxonomy-history?taxnode_id=20180669","ICTVonline=20180669")</f>
        <v>ICTVonline=20180669</v>
      </c>
    </row>
    <row r="911" spans="1:22">
      <c r="A911" s="3">
        <v>910</v>
      </c>
      <c r="J911" s="1" t="s">
        <v>1338</v>
      </c>
      <c r="L911" s="1" t="s">
        <v>902</v>
      </c>
      <c r="N911" s="1" t="s">
        <v>4441</v>
      </c>
      <c r="P911" s="1" t="s">
        <v>4443</v>
      </c>
      <c r="Q911" s="3">
        <v>1</v>
      </c>
      <c r="R911" s="22" t="s">
        <v>2764</v>
      </c>
      <c r="S911" s="22" t="s">
        <v>5097</v>
      </c>
      <c r="T911" s="51">
        <v>31</v>
      </c>
      <c r="U911" s="3" t="s">
        <v>5292</v>
      </c>
      <c r="V911" s="41" t="str">
        <f>HYPERLINK("http://ictvonline.org/taxonomy/p/taxonomy-history?taxnode_id=20180670","ICTVonline=20180670")</f>
        <v>ICTVonline=20180670</v>
      </c>
    </row>
    <row r="912" spans="1:22">
      <c r="A912" s="3">
        <v>911</v>
      </c>
      <c r="J912" s="1" t="s">
        <v>1338</v>
      </c>
      <c r="L912" s="1" t="s">
        <v>902</v>
      </c>
      <c r="N912" s="1" t="s">
        <v>3100</v>
      </c>
      <c r="P912" s="1" t="s">
        <v>3101</v>
      </c>
      <c r="Q912" s="3">
        <v>1</v>
      </c>
      <c r="R912" s="22" t="s">
        <v>2764</v>
      </c>
      <c r="S912" s="22" t="s">
        <v>5098</v>
      </c>
      <c r="T912" s="51">
        <v>30</v>
      </c>
      <c r="U912" s="3" t="s">
        <v>5216</v>
      </c>
      <c r="V912" s="41" t="str">
        <f>HYPERLINK("http://ictvonline.org/taxonomy/p/taxonomy-history?taxnode_id=20180672","ICTVonline=20180672")</f>
        <v>ICTVonline=20180672</v>
      </c>
    </row>
    <row r="913" spans="1:22">
      <c r="A913" s="3">
        <v>912</v>
      </c>
      <c r="J913" s="1" t="s">
        <v>1338</v>
      </c>
      <c r="L913" s="1" t="s">
        <v>902</v>
      </c>
      <c r="N913" s="1" t="s">
        <v>3102</v>
      </c>
      <c r="P913" s="1" t="s">
        <v>3103</v>
      </c>
      <c r="Q913" s="3">
        <v>1</v>
      </c>
      <c r="R913" s="22" t="s">
        <v>2764</v>
      </c>
      <c r="S913" s="22" t="s">
        <v>5097</v>
      </c>
      <c r="T913" s="51">
        <v>30</v>
      </c>
      <c r="U913" s="3" t="s">
        <v>5293</v>
      </c>
      <c r="V913" s="41" t="str">
        <f>HYPERLINK("http://ictvonline.org/taxonomy/p/taxonomy-history?taxnode_id=20180674","ICTVonline=20180674")</f>
        <v>ICTVonline=20180674</v>
      </c>
    </row>
    <row r="914" spans="1:22">
      <c r="A914" s="3">
        <v>913</v>
      </c>
      <c r="J914" s="1" t="s">
        <v>1338</v>
      </c>
      <c r="L914" s="1" t="s">
        <v>902</v>
      </c>
      <c r="N914" s="1" t="s">
        <v>3102</v>
      </c>
      <c r="P914" s="1" t="s">
        <v>3104</v>
      </c>
      <c r="Q914" s="3">
        <v>0</v>
      </c>
      <c r="R914" s="22" t="s">
        <v>2764</v>
      </c>
      <c r="S914" s="22" t="s">
        <v>5097</v>
      </c>
      <c r="T914" s="51">
        <v>30</v>
      </c>
      <c r="U914" s="3" t="s">
        <v>5293</v>
      </c>
      <c r="V914" s="41" t="str">
        <f>HYPERLINK("http://ictvonline.org/taxonomy/p/taxonomy-history?taxnode_id=20180675","ICTVonline=20180675")</f>
        <v>ICTVonline=20180675</v>
      </c>
    </row>
    <row r="915" spans="1:22">
      <c r="A915" s="3">
        <v>914</v>
      </c>
      <c r="J915" s="1" t="s">
        <v>1338</v>
      </c>
      <c r="L915" s="1" t="s">
        <v>902</v>
      </c>
      <c r="N915" s="1" t="s">
        <v>3105</v>
      </c>
      <c r="P915" s="1" t="s">
        <v>5294</v>
      </c>
      <c r="Q915" s="3">
        <v>0</v>
      </c>
      <c r="R915" s="22" t="s">
        <v>2764</v>
      </c>
      <c r="S915" s="22" t="s">
        <v>5097</v>
      </c>
      <c r="T915" s="51">
        <v>32</v>
      </c>
      <c r="U915" s="3" t="s">
        <v>5295</v>
      </c>
      <c r="V915" s="41" t="str">
        <f>HYPERLINK("http://ictvonline.org/taxonomy/p/taxonomy-history?taxnode_id=20185493","ICTVonline=20185493")</f>
        <v>ICTVonline=20185493</v>
      </c>
    </row>
    <row r="916" spans="1:22">
      <c r="A916" s="3">
        <v>915</v>
      </c>
      <c r="J916" s="1" t="s">
        <v>1338</v>
      </c>
      <c r="L916" s="1" t="s">
        <v>902</v>
      </c>
      <c r="N916" s="1" t="s">
        <v>3105</v>
      </c>
      <c r="P916" s="1" t="s">
        <v>3106</v>
      </c>
      <c r="Q916" s="3">
        <v>0</v>
      </c>
      <c r="R916" s="22" t="s">
        <v>2764</v>
      </c>
      <c r="S916" s="22" t="s">
        <v>5098</v>
      </c>
      <c r="T916" s="51">
        <v>30</v>
      </c>
      <c r="U916" s="3" t="s">
        <v>5216</v>
      </c>
      <c r="V916" s="41" t="str">
        <f>HYPERLINK("http://ictvonline.org/taxonomy/p/taxonomy-history?taxnode_id=20180677","ICTVonline=20180677")</f>
        <v>ICTVonline=20180677</v>
      </c>
    </row>
    <row r="917" spans="1:22">
      <c r="A917" s="3">
        <v>916</v>
      </c>
      <c r="J917" s="1" t="s">
        <v>1338</v>
      </c>
      <c r="L917" s="1" t="s">
        <v>902</v>
      </c>
      <c r="N917" s="1" t="s">
        <v>3105</v>
      </c>
      <c r="P917" s="1" t="s">
        <v>3107</v>
      </c>
      <c r="Q917" s="3">
        <v>1</v>
      </c>
      <c r="R917" s="22" t="s">
        <v>2764</v>
      </c>
      <c r="S917" s="22" t="s">
        <v>5098</v>
      </c>
      <c r="T917" s="51">
        <v>30</v>
      </c>
      <c r="U917" s="3" t="s">
        <v>5216</v>
      </c>
      <c r="V917" s="41" t="str">
        <f>HYPERLINK("http://ictvonline.org/taxonomy/p/taxonomy-history?taxnode_id=20180678","ICTVonline=20180678")</f>
        <v>ICTVonline=20180678</v>
      </c>
    </row>
    <row r="918" spans="1:22">
      <c r="A918" s="3">
        <v>917</v>
      </c>
      <c r="J918" s="1" t="s">
        <v>1338</v>
      </c>
      <c r="L918" s="1" t="s">
        <v>902</v>
      </c>
      <c r="N918" s="1" t="s">
        <v>3105</v>
      </c>
      <c r="P918" s="1" t="s">
        <v>3108</v>
      </c>
      <c r="Q918" s="3">
        <v>0</v>
      </c>
      <c r="R918" s="22" t="s">
        <v>2764</v>
      </c>
      <c r="S918" s="22" t="s">
        <v>5098</v>
      </c>
      <c r="T918" s="51">
        <v>30</v>
      </c>
      <c r="U918" s="3" t="s">
        <v>5216</v>
      </c>
      <c r="V918" s="41" t="str">
        <f>HYPERLINK("http://ictvonline.org/taxonomy/p/taxonomy-history?taxnode_id=20180679","ICTVonline=20180679")</f>
        <v>ICTVonline=20180679</v>
      </c>
    </row>
    <row r="919" spans="1:22">
      <c r="A919" s="3">
        <v>918</v>
      </c>
      <c r="J919" s="1" t="s">
        <v>1338</v>
      </c>
      <c r="L919" s="1" t="s">
        <v>902</v>
      </c>
      <c r="N919" s="1" t="s">
        <v>3105</v>
      </c>
      <c r="P919" s="1" t="s">
        <v>3109</v>
      </c>
      <c r="Q919" s="3">
        <v>0</v>
      </c>
      <c r="R919" s="22" t="s">
        <v>2764</v>
      </c>
      <c r="S919" s="22" t="s">
        <v>5098</v>
      </c>
      <c r="T919" s="51">
        <v>30</v>
      </c>
      <c r="U919" s="3" t="s">
        <v>5216</v>
      </c>
      <c r="V919" s="41" t="str">
        <f>HYPERLINK("http://ictvonline.org/taxonomy/p/taxonomy-history?taxnode_id=20180680","ICTVonline=20180680")</f>
        <v>ICTVonline=20180680</v>
      </c>
    </row>
    <row r="920" spans="1:22">
      <c r="A920" s="3">
        <v>919</v>
      </c>
      <c r="J920" s="1" t="s">
        <v>1338</v>
      </c>
      <c r="L920" s="1" t="s">
        <v>902</v>
      </c>
      <c r="N920" s="1" t="s">
        <v>3110</v>
      </c>
      <c r="P920" s="1" t="s">
        <v>3111</v>
      </c>
      <c r="Q920" s="3">
        <v>1</v>
      </c>
      <c r="R920" s="22" t="s">
        <v>2764</v>
      </c>
      <c r="S920" s="22" t="s">
        <v>5097</v>
      </c>
      <c r="T920" s="51">
        <v>30</v>
      </c>
      <c r="U920" s="3" t="s">
        <v>5296</v>
      </c>
      <c r="V920" s="41" t="str">
        <f>HYPERLINK("http://ictvonline.org/taxonomy/p/taxonomy-history?taxnode_id=20180682","ICTVonline=20180682")</f>
        <v>ICTVonline=20180682</v>
      </c>
    </row>
    <row r="921" spans="1:22">
      <c r="A921" s="3">
        <v>920</v>
      </c>
      <c r="J921" s="1" t="s">
        <v>1338</v>
      </c>
      <c r="L921" s="1" t="s">
        <v>902</v>
      </c>
      <c r="N921" s="1" t="s">
        <v>3110</v>
      </c>
      <c r="P921" s="1" t="s">
        <v>3112</v>
      </c>
      <c r="Q921" s="3">
        <v>0</v>
      </c>
      <c r="R921" s="22" t="s">
        <v>2764</v>
      </c>
      <c r="S921" s="22" t="s">
        <v>5097</v>
      </c>
      <c r="T921" s="51">
        <v>30</v>
      </c>
      <c r="U921" s="3" t="s">
        <v>5296</v>
      </c>
      <c r="V921" s="41" t="str">
        <f>HYPERLINK("http://ictvonline.org/taxonomy/p/taxonomy-history?taxnode_id=20180683","ICTVonline=20180683")</f>
        <v>ICTVonline=20180683</v>
      </c>
    </row>
    <row r="922" spans="1:22">
      <c r="A922" s="3">
        <v>921</v>
      </c>
      <c r="J922" s="1" t="s">
        <v>1338</v>
      </c>
      <c r="L922" s="1" t="s">
        <v>902</v>
      </c>
      <c r="N922" s="1" t="s">
        <v>3110</v>
      </c>
      <c r="P922" s="1" t="s">
        <v>3113</v>
      </c>
      <c r="Q922" s="3">
        <v>0</v>
      </c>
      <c r="R922" s="22" t="s">
        <v>2764</v>
      </c>
      <c r="S922" s="22" t="s">
        <v>5097</v>
      </c>
      <c r="T922" s="51">
        <v>30</v>
      </c>
      <c r="U922" s="3" t="s">
        <v>5296</v>
      </c>
      <c r="V922" s="41" t="str">
        <f>HYPERLINK("http://ictvonline.org/taxonomy/p/taxonomy-history?taxnode_id=20180684","ICTVonline=20180684")</f>
        <v>ICTVonline=20180684</v>
      </c>
    </row>
    <row r="923" spans="1:22">
      <c r="A923" s="3">
        <v>922</v>
      </c>
      <c r="J923" s="1" t="s">
        <v>1338</v>
      </c>
      <c r="L923" s="1" t="s">
        <v>902</v>
      </c>
      <c r="N923" s="1" t="s">
        <v>3110</v>
      </c>
      <c r="P923" s="1" t="s">
        <v>3114</v>
      </c>
      <c r="Q923" s="3">
        <v>0</v>
      </c>
      <c r="R923" s="22" t="s">
        <v>2764</v>
      </c>
      <c r="S923" s="22" t="s">
        <v>5097</v>
      </c>
      <c r="T923" s="51">
        <v>30</v>
      </c>
      <c r="U923" s="3" t="s">
        <v>5296</v>
      </c>
      <c r="V923" s="41" t="str">
        <f>HYPERLINK("http://ictvonline.org/taxonomy/p/taxonomy-history?taxnode_id=20180685","ICTVonline=20180685")</f>
        <v>ICTVonline=20180685</v>
      </c>
    </row>
    <row r="924" spans="1:22">
      <c r="A924" s="3">
        <v>923</v>
      </c>
      <c r="J924" s="1" t="s">
        <v>1338</v>
      </c>
      <c r="L924" s="1" t="s">
        <v>902</v>
      </c>
      <c r="N924" s="1" t="s">
        <v>3110</v>
      </c>
      <c r="P924" s="1" t="s">
        <v>3115</v>
      </c>
      <c r="Q924" s="3">
        <v>0</v>
      </c>
      <c r="R924" s="22" t="s">
        <v>2764</v>
      </c>
      <c r="S924" s="22" t="s">
        <v>5097</v>
      </c>
      <c r="T924" s="51">
        <v>30</v>
      </c>
      <c r="U924" s="3" t="s">
        <v>5296</v>
      </c>
      <c r="V924" s="41" t="str">
        <f>HYPERLINK("http://ictvonline.org/taxonomy/p/taxonomy-history?taxnode_id=20180686","ICTVonline=20180686")</f>
        <v>ICTVonline=20180686</v>
      </c>
    </row>
    <row r="925" spans="1:22">
      <c r="A925" s="3">
        <v>924</v>
      </c>
      <c r="J925" s="1" t="s">
        <v>1338</v>
      </c>
      <c r="L925" s="1" t="s">
        <v>902</v>
      </c>
      <c r="N925" s="1" t="s">
        <v>3116</v>
      </c>
      <c r="P925" s="1" t="s">
        <v>4444</v>
      </c>
      <c r="Q925" s="3">
        <v>0</v>
      </c>
      <c r="R925" s="22" t="s">
        <v>2764</v>
      </c>
      <c r="S925" s="22" t="s">
        <v>5097</v>
      </c>
      <c r="T925" s="51">
        <v>31</v>
      </c>
      <c r="U925" s="3" t="s">
        <v>5217</v>
      </c>
      <c r="V925" s="41" t="str">
        <f>HYPERLINK("http://ictvonline.org/taxonomy/p/taxonomy-history?taxnode_id=20180688","ICTVonline=20180688")</f>
        <v>ICTVonline=20180688</v>
      </c>
    </row>
    <row r="926" spans="1:22">
      <c r="A926" s="3">
        <v>925</v>
      </c>
      <c r="J926" s="1" t="s">
        <v>1338</v>
      </c>
      <c r="L926" s="1" t="s">
        <v>902</v>
      </c>
      <c r="N926" s="1" t="s">
        <v>3116</v>
      </c>
      <c r="P926" s="1" t="s">
        <v>3117</v>
      </c>
      <c r="Q926" s="3">
        <v>0</v>
      </c>
      <c r="R926" s="22" t="s">
        <v>2764</v>
      </c>
      <c r="S926" s="22" t="s">
        <v>5097</v>
      </c>
      <c r="T926" s="51">
        <v>30</v>
      </c>
      <c r="U926" s="3" t="s">
        <v>5297</v>
      </c>
      <c r="V926" s="41" t="str">
        <f>HYPERLINK("http://ictvonline.org/taxonomy/p/taxonomy-history?taxnode_id=20180689","ICTVonline=20180689")</f>
        <v>ICTVonline=20180689</v>
      </c>
    </row>
    <row r="927" spans="1:22">
      <c r="A927" s="3">
        <v>926</v>
      </c>
      <c r="J927" s="1" t="s">
        <v>1338</v>
      </c>
      <c r="L927" s="1" t="s">
        <v>902</v>
      </c>
      <c r="N927" s="1" t="s">
        <v>3116</v>
      </c>
      <c r="P927" s="1" t="s">
        <v>3118</v>
      </c>
      <c r="Q927" s="3">
        <v>0</v>
      </c>
      <c r="R927" s="22" t="s">
        <v>2764</v>
      </c>
      <c r="S927" s="22" t="s">
        <v>5097</v>
      </c>
      <c r="T927" s="51">
        <v>30</v>
      </c>
      <c r="U927" s="3" t="s">
        <v>5297</v>
      </c>
      <c r="V927" s="41" t="str">
        <f>HYPERLINK("http://ictvonline.org/taxonomy/p/taxonomy-history?taxnode_id=20180690","ICTVonline=20180690")</f>
        <v>ICTVonline=20180690</v>
      </c>
    </row>
    <row r="928" spans="1:22">
      <c r="A928" s="3">
        <v>927</v>
      </c>
      <c r="J928" s="1" t="s">
        <v>1338</v>
      </c>
      <c r="L928" s="1" t="s">
        <v>902</v>
      </c>
      <c r="N928" s="1" t="s">
        <v>3116</v>
      </c>
      <c r="P928" s="1" t="s">
        <v>3119</v>
      </c>
      <c r="Q928" s="3">
        <v>1</v>
      </c>
      <c r="R928" s="22" t="s">
        <v>2764</v>
      </c>
      <c r="S928" s="22" t="s">
        <v>5098</v>
      </c>
      <c r="T928" s="51">
        <v>30</v>
      </c>
      <c r="U928" s="3" t="s">
        <v>5216</v>
      </c>
      <c r="V928" s="41" t="str">
        <f>HYPERLINK("http://ictvonline.org/taxonomy/p/taxonomy-history?taxnode_id=20180691","ICTVonline=20180691")</f>
        <v>ICTVonline=20180691</v>
      </c>
    </row>
    <row r="929" spans="1:22">
      <c r="A929" s="3">
        <v>928</v>
      </c>
      <c r="J929" s="1" t="s">
        <v>1338</v>
      </c>
      <c r="L929" s="1" t="s">
        <v>902</v>
      </c>
      <c r="N929" s="1" t="s">
        <v>3116</v>
      </c>
      <c r="P929" s="1" t="s">
        <v>3120</v>
      </c>
      <c r="Q929" s="3">
        <v>0</v>
      </c>
      <c r="R929" s="22" t="s">
        <v>2764</v>
      </c>
      <c r="S929" s="22" t="s">
        <v>5097</v>
      </c>
      <c r="T929" s="51">
        <v>30</v>
      </c>
      <c r="U929" s="3" t="s">
        <v>5297</v>
      </c>
      <c r="V929" s="41" t="str">
        <f>HYPERLINK("http://ictvonline.org/taxonomy/p/taxonomy-history?taxnode_id=20180692","ICTVonline=20180692")</f>
        <v>ICTVonline=20180692</v>
      </c>
    </row>
    <row r="930" spans="1:22">
      <c r="A930" s="3">
        <v>929</v>
      </c>
      <c r="J930" s="1" t="s">
        <v>1338</v>
      </c>
      <c r="L930" s="1" t="s">
        <v>902</v>
      </c>
      <c r="N930" s="1" t="s">
        <v>3116</v>
      </c>
      <c r="P930" s="1" t="s">
        <v>3121</v>
      </c>
      <c r="Q930" s="3">
        <v>0</v>
      </c>
      <c r="R930" s="22" t="s">
        <v>2764</v>
      </c>
      <c r="S930" s="22" t="s">
        <v>5097</v>
      </c>
      <c r="T930" s="51">
        <v>30</v>
      </c>
      <c r="U930" s="3" t="s">
        <v>5297</v>
      </c>
      <c r="V930" s="41" t="str">
        <f>HYPERLINK("http://ictvonline.org/taxonomy/p/taxonomy-history?taxnode_id=20180693","ICTVonline=20180693")</f>
        <v>ICTVonline=20180693</v>
      </c>
    </row>
    <row r="931" spans="1:22">
      <c r="A931" s="3">
        <v>930</v>
      </c>
      <c r="J931" s="1" t="s">
        <v>1338</v>
      </c>
      <c r="L931" s="1" t="s">
        <v>902</v>
      </c>
      <c r="N931" s="1" t="s">
        <v>4445</v>
      </c>
      <c r="P931" s="1" t="s">
        <v>4446</v>
      </c>
      <c r="Q931" s="3">
        <v>1</v>
      </c>
      <c r="R931" s="22" t="s">
        <v>2764</v>
      </c>
      <c r="S931" s="22" t="s">
        <v>5097</v>
      </c>
      <c r="T931" s="51">
        <v>31</v>
      </c>
      <c r="U931" s="3" t="s">
        <v>5298</v>
      </c>
      <c r="V931" s="41" t="str">
        <f>HYPERLINK("http://ictvonline.org/taxonomy/p/taxonomy-history?taxnode_id=20180695","ICTVonline=20180695")</f>
        <v>ICTVonline=20180695</v>
      </c>
    </row>
    <row r="932" spans="1:22">
      <c r="A932" s="3">
        <v>931</v>
      </c>
      <c r="J932" s="1" t="s">
        <v>1338</v>
      </c>
      <c r="L932" s="1" t="s">
        <v>902</v>
      </c>
      <c r="N932" s="1" t="s">
        <v>4445</v>
      </c>
      <c r="P932" s="1" t="s">
        <v>4447</v>
      </c>
      <c r="Q932" s="3">
        <v>0</v>
      </c>
      <c r="R932" s="22" t="s">
        <v>2764</v>
      </c>
      <c r="S932" s="22" t="s">
        <v>5097</v>
      </c>
      <c r="T932" s="51">
        <v>31</v>
      </c>
      <c r="U932" s="3" t="s">
        <v>5298</v>
      </c>
      <c r="V932" s="41" t="str">
        <f>HYPERLINK("http://ictvonline.org/taxonomy/p/taxonomy-history?taxnode_id=20180696","ICTVonline=20180696")</f>
        <v>ICTVonline=20180696</v>
      </c>
    </row>
    <row r="933" spans="1:22">
      <c r="A933" s="3">
        <v>932</v>
      </c>
      <c r="J933" s="1" t="s">
        <v>1338</v>
      </c>
      <c r="L933" s="1" t="s">
        <v>902</v>
      </c>
      <c r="N933" s="1" t="s">
        <v>5299</v>
      </c>
      <c r="P933" s="1" t="s">
        <v>5300</v>
      </c>
      <c r="Q933" s="3">
        <v>0</v>
      </c>
      <c r="R933" s="22" t="s">
        <v>2764</v>
      </c>
      <c r="S933" s="22" t="s">
        <v>5097</v>
      </c>
      <c r="T933" s="51">
        <v>32</v>
      </c>
      <c r="U933" s="3" t="s">
        <v>5301</v>
      </c>
      <c r="V933" s="41" t="str">
        <f>HYPERLINK("http://ictvonline.org/taxonomy/p/taxonomy-history?taxnode_id=20185494","ICTVonline=20185494")</f>
        <v>ICTVonline=20185494</v>
      </c>
    </row>
    <row r="934" spans="1:22">
      <c r="A934" s="3">
        <v>933</v>
      </c>
      <c r="J934" s="1" t="s">
        <v>1338</v>
      </c>
      <c r="L934" s="1" t="s">
        <v>902</v>
      </c>
      <c r="N934" s="1" t="s">
        <v>5299</v>
      </c>
      <c r="P934" s="1" t="s">
        <v>5302</v>
      </c>
      <c r="Q934" s="3">
        <v>1</v>
      </c>
      <c r="R934" s="22" t="s">
        <v>2764</v>
      </c>
      <c r="S934" s="22" t="s">
        <v>5097</v>
      </c>
      <c r="T934" s="51">
        <v>32</v>
      </c>
      <c r="U934" s="3" t="s">
        <v>5301</v>
      </c>
      <c r="V934" s="41" t="str">
        <f>HYPERLINK("http://ictvonline.org/taxonomy/p/taxonomy-history?taxnode_id=20185495","ICTVonline=20185495")</f>
        <v>ICTVonline=20185495</v>
      </c>
    </row>
    <row r="935" spans="1:22">
      <c r="A935" s="3">
        <v>934</v>
      </c>
      <c r="J935" s="1" t="s">
        <v>1338</v>
      </c>
      <c r="L935" s="1" t="s">
        <v>902</v>
      </c>
      <c r="N935" s="1" t="s">
        <v>5299</v>
      </c>
      <c r="P935" s="1" t="s">
        <v>5303</v>
      </c>
      <c r="Q935" s="3">
        <v>0</v>
      </c>
      <c r="R935" s="22" t="s">
        <v>2764</v>
      </c>
      <c r="S935" s="22" t="s">
        <v>5097</v>
      </c>
      <c r="T935" s="51">
        <v>32</v>
      </c>
      <c r="U935" s="3" t="s">
        <v>5301</v>
      </c>
      <c r="V935" s="41" t="str">
        <f>HYPERLINK("http://ictvonline.org/taxonomy/p/taxonomy-history?taxnode_id=20185496","ICTVonline=20185496")</f>
        <v>ICTVonline=20185496</v>
      </c>
    </row>
    <row r="936" spans="1:22">
      <c r="A936" s="3">
        <v>935</v>
      </c>
      <c r="J936" s="1" t="s">
        <v>1338</v>
      </c>
      <c r="L936" s="1" t="s">
        <v>902</v>
      </c>
      <c r="N936" s="1" t="s">
        <v>4448</v>
      </c>
      <c r="P936" s="1" t="s">
        <v>4449</v>
      </c>
      <c r="Q936" s="3">
        <v>1</v>
      </c>
      <c r="R936" s="22" t="s">
        <v>2764</v>
      </c>
      <c r="S936" s="22" t="s">
        <v>5097</v>
      </c>
      <c r="T936" s="51">
        <v>31</v>
      </c>
      <c r="U936" s="3" t="s">
        <v>5304</v>
      </c>
      <c r="V936" s="41" t="str">
        <f>HYPERLINK("http://ictvonline.org/taxonomy/p/taxonomy-history?taxnode_id=20180698","ICTVonline=20180698")</f>
        <v>ICTVonline=20180698</v>
      </c>
    </row>
    <row r="937" spans="1:22">
      <c r="A937" s="3">
        <v>936</v>
      </c>
      <c r="J937" s="1" t="s">
        <v>1338</v>
      </c>
      <c r="L937" s="1" t="s">
        <v>902</v>
      </c>
      <c r="N937" s="1" t="s">
        <v>4448</v>
      </c>
      <c r="P937" s="1" t="s">
        <v>4450</v>
      </c>
      <c r="Q937" s="3">
        <v>0</v>
      </c>
      <c r="R937" s="22" t="s">
        <v>2764</v>
      </c>
      <c r="S937" s="22" t="s">
        <v>5097</v>
      </c>
      <c r="T937" s="51">
        <v>31</v>
      </c>
      <c r="U937" s="3" t="s">
        <v>5304</v>
      </c>
      <c r="V937" s="41" t="str">
        <f>HYPERLINK("http://ictvonline.org/taxonomy/p/taxonomy-history?taxnode_id=20180699","ICTVonline=20180699")</f>
        <v>ICTVonline=20180699</v>
      </c>
    </row>
    <row r="938" spans="1:22">
      <c r="A938" s="3">
        <v>937</v>
      </c>
      <c r="J938" s="1" t="s">
        <v>1338</v>
      </c>
      <c r="L938" s="1" t="s">
        <v>902</v>
      </c>
      <c r="N938" s="1" t="s">
        <v>4448</v>
      </c>
      <c r="P938" s="1" t="s">
        <v>4451</v>
      </c>
      <c r="Q938" s="3">
        <v>0</v>
      </c>
      <c r="R938" s="22" t="s">
        <v>2764</v>
      </c>
      <c r="S938" s="22" t="s">
        <v>5097</v>
      </c>
      <c r="T938" s="51">
        <v>31</v>
      </c>
      <c r="U938" s="3" t="s">
        <v>5304</v>
      </c>
      <c r="V938" s="41" t="str">
        <f>HYPERLINK("http://ictvonline.org/taxonomy/p/taxonomy-history?taxnode_id=20180700","ICTVonline=20180700")</f>
        <v>ICTVonline=20180700</v>
      </c>
    </row>
    <row r="939" spans="1:22">
      <c r="A939" s="3">
        <v>938</v>
      </c>
      <c r="J939" s="1" t="s">
        <v>1338</v>
      </c>
      <c r="L939" s="1" t="s">
        <v>902</v>
      </c>
      <c r="N939" s="1" t="s">
        <v>3129</v>
      </c>
      <c r="P939" s="1" t="s">
        <v>3130</v>
      </c>
      <c r="Q939" s="3">
        <v>0</v>
      </c>
      <c r="R939" s="22" t="s">
        <v>2764</v>
      </c>
      <c r="S939" s="22" t="s">
        <v>5097</v>
      </c>
      <c r="T939" s="51">
        <v>30</v>
      </c>
      <c r="U939" s="3" t="s">
        <v>5305</v>
      </c>
      <c r="V939" s="41" t="str">
        <f>HYPERLINK("http://ictvonline.org/taxonomy/p/taxonomy-history?taxnode_id=20180710","ICTVonline=20180710")</f>
        <v>ICTVonline=20180710</v>
      </c>
    </row>
    <row r="940" spans="1:22">
      <c r="A940" s="3">
        <v>939</v>
      </c>
      <c r="J940" s="1" t="s">
        <v>1338</v>
      </c>
      <c r="L940" s="1" t="s">
        <v>902</v>
      </c>
      <c r="N940" s="1" t="s">
        <v>3129</v>
      </c>
      <c r="P940" s="1" t="s">
        <v>3131</v>
      </c>
      <c r="Q940" s="3">
        <v>0</v>
      </c>
      <c r="R940" s="22" t="s">
        <v>2764</v>
      </c>
      <c r="S940" s="22" t="s">
        <v>5097</v>
      </c>
      <c r="T940" s="51">
        <v>30</v>
      </c>
      <c r="U940" s="3" t="s">
        <v>5305</v>
      </c>
      <c r="V940" s="41" t="str">
        <f>HYPERLINK("http://ictvonline.org/taxonomy/p/taxonomy-history?taxnode_id=20180711","ICTVonline=20180711")</f>
        <v>ICTVonline=20180711</v>
      </c>
    </row>
    <row r="941" spans="1:22">
      <c r="A941" s="3">
        <v>940</v>
      </c>
      <c r="J941" s="1" t="s">
        <v>1338</v>
      </c>
      <c r="L941" s="1" t="s">
        <v>902</v>
      </c>
      <c r="N941" s="1" t="s">
        <v>3129</v>
      </c>
      <c r="P941" s="1" t="s">
        <v>3132</v>
      </c>
      <c r="Q941" s="3">
        <v>1</v>
      </c>
      <c r="R941" s="22" t="s">
        <v>2764</v>
      </c>
      <c r="S941" s="22" t="s">
        <v>5097</v>
      </c>
      <c r="T941" s="51">
        <v>30</v>
      </c>
      <c r="U941" s="3" t="s">
        <v>5305</v>
      </c>
      <c r="V941" s="41" t="str">
        <f>HYPERLINK("http://ictvonline.org/taxonomy/p/taxonomy-history?taxnode_id=20180712","ICTVonline=20180712")</f>
        <v>ICTVonline=20180712</v>
      </c>
    </row>
    <row r="942" spans="1:22">
      <c r="A942" s="3">
        <v>941</v>
      </c>
      <c r="J942" s="1" t="s">
        <v>1338</v>
      </c>
      <c r="L942" s="1" t="s">
        <v>902</v>
      </c>
      <c r="P942" s="1" t="s">
        <v>3122</v>
      </c>
      <c r="Q942" s="3">
        <v>0</v>
      </c>
      <c r="R942" s="22" t="s">
        <v>2764</v>
      </c>
      <c r="S942" s="22" t="s">
        <v>5100</v>
      </c>
      <c r="T942" s="51">
        <v>30</v>
      </c>
      <c r="U942" s="3" t="s">
        <v>5216</v>
      </c>
      <c r="V942" s="41" t="str">
        <f>HYPERLINK("http://ictvonline.org/taxonomy/p/taxonomy-history?taxnode_id=20180702","ICTVonline=20180702")</f>
        <v>ICTVonline=20180702</v>
      </c>
    </row>
    <row r="943" spans="1:22">
      <c r="A943" s="3">
        <v>942</v>
      </c>
      <c r="J943" s="1" t="s">
        <v>1338</v>
      </c>
      <c r="L943" s="1" t="s">
        <v>902</v>
      </c>
      <c r="P943" s="1" t="s">
        <v>3123</v>
      </c>
      <c r="Q943" s="3">
        <v>0</v>
      </c>
      <c r="R943" s="22" t="s">
        <v>2764</v>
      </c>
      <c r="S943" s="22" t="s">
        <v>5100</v>
      </c>
      <c r="T943" s="51">
        <v>30</v>
      </c>
      <c r="U943" s="3" t="s">
        <v>5216</v>
      </c>
      <c r="V943" s="41" t="str">
        <f>HYPERLINK("http://ictvonline.org/taxonomy/p/taxonomy-history?taxnode_id=20180703","ICTVonline=20180703")</f>
        <v>ICTVonline=20180703</v>
      </c>
    </row>
    <row r="944" spans="1:22">
      <c r="A944" s="3">
        <v>943</v>
      </c>
      <c r="J944" s="1" t="s">
        <v>1338</v>
      </c>
      <c r="L944" s="1" t="s">
        <v>902</v>
      </c>
      <c r="P944" s="1" t="s">
        <v>3124</v>
      </c>
      <c r="Q944" s="3">
        <v>0</v>
      </c>
      <c r="R944" s="22" t="s">
        <v>2764</v>
      </c>
      <c r="S944" s="22" t="s">
        <v>5100</v>
      </c>
      <c r="T944" s="51">
        <v>30</v>
      </c>
      <c r="U944" s="3" t="s">
        <v>5216</v>
      </c>
      <c r="V944" s="41" t="str">
        <f>HYPERLINK("http://ictvonline.org/taxonomy/p/taxonomy-history?taxnode_id=20180704","ICTVonline=20180704")</f>
        <v>ICTVonline=20180704</v>
      </c>
    </row>
    <row r="945" spans="1:22">
      <c r="A945" s="3">
        <v>944</v>
      </c>
      <c r="J945" s="1" t="s">
        <v>1338</v>
      </c>
      <c r="L945" s="1" t="s">
        <v>902</v>
      </c>
      <c r="P945" s="1" t="s">
        <v>3125</v>
      </c>
      <c r="Q945" s="3">
        <v>0</v>
      </c>
      <c r="R945" s="22" t="s">
        <v>2764</v>
      </c>
      <c r="S945" s="22" t="s">
        <v>5100</v>
      </c>
      <c r="T945" s="51">
        <v>30</v>
      </c>
      <c r="U945" s="3" t="s">
        <v>5216</v>
      </c>
      <c r="V945" s="41" t="str">
        <f>HYPERLINK("http://ictvonline.org/taxonomy/p/taxonomy-history?taxnode_id=20180705","ICTVonline=20180705")</f>
        <v>ICTVonline=20180705</v>
      </c>
    </row>
    <row r="946" spans="1:22">
      <c r="A946" s="3">
        <v>945</v>
      </c>
      <c r="J946" s="1" t="s">
        <v>1338</v>
      </c>
      <c r="L946" s="1" t="s">
        <v>902</v>
      </c>
      <c r="P946" s="1" t="s">
        <v>3126</v>
      </c>
      <c r="Q946" s="3">
        <v>0</v>
      </c>
      <c r="R946" s="22" t="s">
        <v>2764</v>
      </c>
      <c r="S946" s="22" t="s">
        <v>5100</v>
      </c>
      <c r="T946" s="51">
        <v>30</v>
      </c>
      <c r="U946" s="3" t="s">
        <v>5216</v>
      </c>
      <c r="V946" s="41" t="str">
        <f>HYPERLINK("http://ictvonline.org/taxonomy/p/taxonomy-history?taxnode_id=20180706","ICTVonline=20180706")</f>
        <v>ICTVonline=20180706</v>
      </c>
    </row>
    <row r="947" spans="1:22">
      <c r="A947" s="3">
        <v>946</v>
      </c>
      <c r="J947" s="1" t="s">
        <v>1338</v>
      </c>
      <c r="L947" s="1" t="s">
        <v>902</v>
      </c>
      <c r="P947" s="1" t="s">
        <v>3127</v>
      </c>
      <c r="Q947" s="3">
        <v>0</v>
      </c>
      <c r="R947" s="22" t="s">
        <v>2764</v>
      </c>
      <c r="S947" s="22" t="s">
        <v>5100</v>
      </c>
      <c r="T947" s="51">
        <v>30</v>
      </c>
      <c r="U947" s="3" t="s">
        <v>5216</v>
      </c>
      <c r="V947" s="41" t="str">
        <f>HYPERLINK("http://ictvonline.org/taxonomy/p/taxonomy-history?taxnode_id=20180707","ICTVonline=20180707")</f>
        <v>ICTVonline=20180707</v>
      </c>
    </row>
    <row r="948" spans="1:22">
      <c r="A948" s="3">
        <v>947</v>
      </c>
      <c r="J948" s="1" t="s">
        <v>1338</v>
      </c>
      <c r="L948" s="1" t="s">
        <v>902</v>
      </c>
      <c r="P948" s="1" t="s">
        <v>3128</v>
      </c>
      <c r="Q948" s="3">
        <v>0</v>
      </c>
      <c r="R948" s="22" t="s">
        <v>2764</v>
      </c>
      <c r="S948" s="22" t="s">
        <v>5100</v>
      </c>
      <c r="T948" s="51">
        <v>30</v>
      </c>
      <c r="U948" s="3" t="s">
        <v>5216</v>
      </c>
      <c r="V948" s="41" t="str">
        <f>HYPERLINK("http://ictvonline.org/taxonomy/p/taxonomy-history?taxnode_id=20180708","ICTVonline=20180708")</f>
        <v>ICTVonline=20180708</v>
      </c>
    </row>
    <row r="949" spans="1:22">
      <c r="A949" s="3">
        <v>948</v>
      </c>
      <c r="J949" s="1" t="s">
        <v>1338</v>
      </c>
      <c r="L949" s="1" t="s">
        <v>903</v>
      </c>
      <c r="M949" s="1" t="s">
        <v>4452</v>
      </c>
      <c r="N949" s="1" t="s">
        <v>4453</v>
      </c>
      <c r="P949" s="1" t="s">
        <v>4454</v>
      </c>
      <c r="Q949" s="3">
        <v>0</v>
      </c>
      <c r="R949" s="22" t="s">
        <v>2764</v>
      </c>
      <c r="S949" s="22" t="s">
        <v>5097</v>
      </c>
      <c r="T949" s="51">
        <v>31</v>
      </c>
      <c r="U949" s="3" t="s">
        <v>5306</v>
      </c>
      <c r="V949" s="41" t="str">
        <f>HYPERLINK("http://ictvonline.org/taxonomy/p/taxonomy-history?taxnode_id=20180716","ICTVonline=20180716")</f>
        <v>ICTVonline=20180716</v>
      </c>
    </row>
    <row r="950" spans="1:22">
      <c r="A950" s="3">
        <v>949</v>
      </c>
      <c r="J950" s="1" t="s">
        <v>1338</v>
      </c>
      <c r="L950" s="1" t="s">
        <v>903</v>
      </c>
      <c r="M950" s="1" t="s">
        <v>4452</v>
      </c>
      <c r="N950" s="1" t="s">
        <v>4453</v>
      </c>
      <c r="P950" s="1" t="s">
        <v>4455</v>
      </c>
      <c r="Q950" s="3">
        <v>1</v>
      </c>
      <c r="R950" s="22" t="s">
        <v>2764</v>
      </c>
      <c r="S950" s="22" t="s">
        <v>5097</v>
      </c>
      <c r="T950" s="51">
        <v>31</v>
      </c>
      <c r="U950" s="3" t="s">
        <v>5306</v>
      </c>
      <c r="V950" s="41" t="str">
        <f>HYPERLINK("http://ictvonline.org/taxonomy/p/taxonomy-history?taxnode_id=20180717","ICTVonline=20180717")</f>
        <v>ICTVonline=20180717</v>
      </c>
    </row>
    <row r="951" spans="1:22">
      <c r="A951" s="3">
        <v>950</v>
      </c>
      <c r="J951" s="1" t="s">
        <v>1338</v>
      </c>
      <c r="L951" s="1" t="s">
        <v>903</v>
      </c>
      <c r="M951" s="1" t="s">
        <v>4452</v>
      </c>
      <c r="N951" s="1" t="s">
        <v>4456</v>
      </c>
      <c r="P951" s="1" t="s">
        <v>4457</v>
      </c>
      <c r="Q951" s="3">
        <v>0</v>
      </c>
      <c r="R951" s="22" t="s">
        <v>2764</v>
      </c>
      <c r="S951" s="22" t="s">
        <v>5097</v>
      </c>
      <c r="T951" s="51">
        <v>31</v>
      </c>
      <c r="U951" s="3" t="s">
        <v>5306</v>
      </c>
      <c r="V951" s="41" t="str">
        <f>HYPERLINK("http://ictvonline.org/taxonomy/p/taxonomy-history?taxnode_id=20180719","ICTVonline=20180719")</f>
        <v>ICTVonline=20180719</v>
      </c>
    </row>
    <row r="952" spans="1:22">
      <c r="A952" s="3">
        <v>951</v>
      </c>
      <c r="J952" s="1" t="s">
        <v>1338</v>
      </c>
      <c r="L952" s="1" t="s">
        <v>903</v>
      </c>
      <c r="M952" s="1" t="s">
        <v>4452</v>
      </c>
      <c r="N952" s="1" t="s">
        <v>4456</v>
      </c>
      <c r="P952" s="1" t="s">
        <v>4458</v>
      </c>
      <c r="Q952" s="3">
        <v>0</v>
      </c>
      <c r="R952" s="22" t="s">
        <v>2764</v>
      </c>
      <c r="S952" s="22" t="s">
        <v>5097</v>
      </c>
      <c r="T952" s="51">
        <v>31</v>
      </c>
      <c r="U952" s="3" t="s">
        <v>5306</v>
      </c>
      <c r="V952" s="41" t="str">
        <f>HYPERLINK("http://ictvonline.org/taxonomy/p/taxonomy-history?taxnode_id=20180720","ICTVonline=20180720")</f>
        <v>ICTVonline=20180720</v>
      </c>
    </row>
    <row r="953" spans="1:22">
      <c r="A953" s="3">
        <v>952</v>
      </c>
      <c r="J953" s="1" t="s">
        <v>1338</v>
      </c>
      <c r="L953" s="1" t="s">
        <v>903</v>
      </c>
      <c r="M953" s="1" t="s">
        <v>4452</v>
      </c>
      <c r="N953" s="1" t="s">
        <v>4456</v>
      </c>
      <c r="P953" s="1" t="s">
        <v>4459</v>
      </c>
      <c r="Q953" s="3">
        <v>0</v>
      </c>
      <c r="R953" s="22" t="s">
        <v>2764</v>
      </c>
      <c r="S953" s="22" t="s">
        <v>5097</v>
      </c>
      <c r="T953" s="51">
        <v>31</v>
      </c>
      <c r="U953" s="3" t="s">
        <v>5306</v>
      </c>
      <c r="V953" s="41" t="str">
        <f>HYPERLINK("http://ictvonline.org/taxonomy/p/taxonomy-history?taxnode_id=20180721","ICTVonline=20180721")</f>
        <v>ICTVonline=20180721</v>
      </c>
    </row>
    <row r="954" spans="1:22">
      <c r="A954" s="3">
        <v>953</v>
      </c>
      <c r="J954" s="1" t="s">
        <v>1338</v>
      </c>
      <c r="L954" s="1" t="s">
        <v>903</v>
      </c>
      <c r="M954" s="1" t="s">
        <v>4452</v>
      </c>
      <c r="N954" s="1" t="s">
        <v>4456</v>
      </c>
      <c r="P954" s="1" t="s">
        <v>4460</v>
      </c>
      <c r="Q954" s="3">
        <v>0</v>
      </c>
      <c r="R954" s="22" t="s">
        <v>2764</v>
      </c>
      <c r="S954" s="22" t="s">
        <v>5097</v>
      </c>
      <c r="T954" s="51">
        <v>31</v>
      </c>
      <c r="U954" s="3" t="s">
        <v>5306</v>
      </c>
      <c r="V954" s="41" t="str">
        <f>HYPERLINK("http://ictvonline.org/taxonomy/p/taxonomy-history?taxnode_id=20180722","ICTVonline=20180722")</f>
        <v>ICTVonline=20180722</v>
      </c>
    </row>
    <row r="955" spans="1:22">
      <c r="A955" s="3">
        <v>954</v>
      </c>
      <c r="J955" s="1" t="s">
        <v>1338</v>
      </c>
      <c r="L955" s="1" t="s">
        <v>903</v>
      </c>
      <c r="M955" s="1" t="s">
        <v>4452</v>
      </c>
      <c r="N955" s="1" t="s">
        <v>4456</v>
      </c>
      <c r="P955" s="1" t="s">
        <v>4461</v>
      </c>
      <c r="Q955" s="3">
        <v>0</v>
      </c>
      <c r="R955" s="22" t="s">
        <v>2764</v>
      </c>
      <c r="S955" s="22" t="s">
        <v>5097</v>
      </c>
      <c r="T955" s="51">
        <v>31</v>
      </c>
      <c r="U955" s="3" t="s">
        <v>5306</v>
      </c>
      <c r="V955" s="41" t="str">
        <f>HYPERLINK("http://ictvonline.org/taxonomy/p/taxonomy-history?taxnode_id=20180723","ICTVonline=20180723")</f>
        <v>ICTVonline=20180723</v>
      </c>
    </row>
    <row r="956" spans="1:22">
      <c r="A956" s="3">
        <v>955</v>
      </c>
      <c r="J956" s="1" t="s">
        <v>1338</v>
      </c>
      <c r="L956" s="1" t="s">
        <v>903</v>
      </c>
      <c r="M956" s="1" t="s">
        <v>4452</v>
      </c>
      <c r="N956" s="1" t="s">
        <v>4456</v>
      </c>
      <c r="P956" s="1" t="s">
        <v>4462</v>
      </c>
      <c r="Q956" s="3">
        <v>0</v>
      </c>
      <c r="R956" s="22" t="s">
        <v>2764</v>
      </c>
      <c r="S956" s="22" t="s">
        <v>5097</v>
      </c>
      <c r="T956" s="51">
        <v>31</v>
      </c>
      <c r="U956" s="3" t="s">
        <v>5306</v>
      </c>
      <c r="V956" s="41" t="str">
        <f>HYPERLINK("http://ictvonline.org/taxonomy/p/taxonomy-history?taxnode_id=20180724","ICTVonline=20180724")</f>
        <v>ICTVonline=20180724</v>
      </c>
    </row>
    <row r="957" spans="1:22">
      <c r="A957" s="3">
        <v>956</v>
      </c>
      <c r="J957" s="1" t="s">
        <v>1338</v>
      </c>
      <c r="L957" s="1" t="s">
        <v>903</v>
      </c>
      <c r="M957" s="1" t="s">
        <v>4452</v>
      </c>
      <c r="N957" s="1" t="s">
        <v>4456</v>
      </c>
      <c r="P957" s="1" t="s">
        <v>4463</v>
      </c>
      <c r="Q957" s="3">
        <v>1</v>
      </c>
      <c r="R957" s="22" t="s">
        <v>2764</v>
      </c>
      <c r="S957" s="22" t="s">
        <v>5097</v>
      </c>
      <c r="T957" s="51">
        <v>31</v>
      </c>
      <c r="U957" s="3" t="s">
        <v>5306</v>
      </c>
      <c r="V957" s="41" t="str">
        <f>HYPERLINK("http://ictvonline.org/taxonomy/p/taxonomy-history?taxnode_id=20180725","ICTVonline=20180725")</f>
        <v>ICTVonline=20180725</v>
      </c>
    </row>
    <row r="958" spans="1:22">
      <c r="A958" s="3">
        <v>957</v>
      </c>
      <c r="J958" s="1" t="s">
        <v>1338</v>
      </c>
      <c r="L958" s="1" t="s">
        <v>903</v>
      </c>
      <c r="M958" s="1" t="s">
        <v>4452</v>
      </c>
      <c r="N958" s="1" t="s">
        <v>4456</v>
      </c>
      <c r="P958" s="1" t="s">
        <v>4464</v>
      </c>
      <c r="Q958" s="3">
        <v>0</v>
      </c>
      <c r="R958" s="22" t="s">
        <v>2764</v>
      </c>
      <c r="S958" s="22" t="s">
        <v>5097</v>
      </c>
      <c r="T958" s="51">
        <v>31</v>
      </c>
      <c r="U958" s="3" t="s">
        <v>5306</v>
      </c>
      <c r="V958" s="41" t="str">
        <f>HYPERLINK("http://ictvonline.org/taxonomy/p/taxonomy-history?taxnode_id=20180726","ICTVonline=20180726")</f>
        <v>ICTVonline=20180726</v>
      </c>
    </row>
    <row r="959" spans="1:22">
      <c r="A959" s="3">
        <v>958</v>
      </c>
      <c r="J959" s="1" t="s">
        <v>1338</v>
      </c>
      <c r="L959" s="1" t="s">
        <v>903</v>
      </c>
      <c r="M959" s="1" t="s">
        <v>4452</v>
      </c>
      <c r="N959" s="1" t="s">
        <v>4456</v>
      </c>
      <c r="P959" s="1" t="s">
        <v>4465</v>
      </c>
      <c r="Q959" s="3">
        <v>0</v>
      </c>
      <c r="R959" s="22" t="s">
        <v>2764</v>
      </c>
      <c r="S959" s="22" t="s">
        <v>5097</v>
      </c>
      <c r="T959" s="51">
        <v>31</v>
      </c>
      <c r="U959" s="3" t="s">
        <v>5306</v>
      </c>
      <c r="V959" s="41" t="str">
        <f>HYPERLINK("http://ictvonline.org/taxonomy/p/taxonomy-history?taxnode_id=20180727","ICTVonline=20180727")</f>
        <v>ICTVonline=20180727</v>
      </c>
    </row>
    <row r="960" spans="1:22">
      <c r="A960" s="3">
        <v>959</v>
      </c>
      <c r="J960" s="1" t="s">
        <v>1338</v>
      </c>
      <c r="L960" s="1" t="s">
        <v>903</v>
      </c>
      <c r="M960" s="1" t="s">
        <v>4452</v>
      </c>
      <c r="N960" s="1" t="s">
        <v>4466</v>
      </c>
      <c r="P960" s="1" t="s">
        <v>4467</v>
      </c>
      <c r="Q960" s="3">
        <v>0</v>
      </c>
      <c r="R960" s="22" t="s">
        <v>2764</v>
      </c>
      <c r="S960" s="22" t="s">
        <v>5097</v>
      </c>
      <c r="T960" s="51">
        <v>31</v>
      </c>
      <c r="U960" s="3" t="s">
        <v>5306</v>
      </c>
      <c r="V960" s="41" t="str">
        <f>HYPERLINK("http://ictvonline.org/taxonomy/p/taxonomy-history?taxnode_id=20180729","ICTVonline=20180729")</f>
        <v>ICTVonline=20180729</v>
      </c>
    </row>
    <row r="961" spans="1:22">
      <c r="A961" s="3">
        <v>960</v>
      </c>
      <c r="J961" s="1" t="s">
        <v>1338</v>
      </c>
      <c r="L961" s="1" t="s">
        <v>903</v>
      </c>
      <c r="M961" s="1" t="s">
        <v>4452</v>
      </c>
      <c r="N961" s="1" t="s">
        <v>4466</v>
      </c>
      <c r="P961" s="1" t="s">
        <v>4468</v>
      </c>
      <c r="Q961" s="3">
        <v>1</v>
      </c>
      <c r="R961" s="22" t="s">
        <v>2764</v>
      </c>
      <c r="S961" s="22" t="s">
        <v>5097</v>
      </c>
      <c r="T961" s="51">
        <v>31</v>
      </c>
      <c r="U961" s="3" t="s">
        <v>5306</v>
      </c>
      <c r="V961" s="41" t="str">
        <f>HYPERLINK("http://ictvonline.org/taxonomy/p/taxonomy-history?taxnode_id=20180730","ICTVonline=20180730")</f>
        <v>ICTVonline=20180730</v>
      </c>
    </row>
    <row r="962" spans="1:22">
      <c r="A962" s="3">
        <v>961</v>
      </c>
      <c r="J962" s="1" t="s">
        <v>1338</v>
      </c>
      <c r="L962" s="1" t="s">
        <v>903</v>
      </c>
      <c r="M962" s="1" t="s">
        <v>4452</v>
      </c>
      <c r="P962" s="1" t="s">
        <v>4469</v>
      </c>
      <c r="Q962" s="3">
        <v>0</v>
      </c>
      <c r="R962" s="22" t="s">
        <v>2764</v>
      </c>
      <c r="S962" s="22" t="s">
        <v>5097</v>
      </c>
      <c r="T962" s="51">
        <v>31</v>
      </c>
      <c r="U962" s="3" t="s">
        <v>5306</v>
      </c>
      <c r="V962" s="41" t="str">
        <f>HYPERLINK("http://ictvonline.org/taxonomy/p/taxonomy-history?taxnode_id=20180732","ICTVonline=20180732")</f>
        <v>ICTVonline=20180732</v>
      </c>
    </row>
    <row r="963" spans="1:22">
      <c r="A963" s="3">
        <v>962</v>
      </c>
      <c r="J963" s="1" t="s">
        <v>1338</v>
      </c>
      <c r="L963" s="1" t="s">
        <v>903</v>
      </c>
      <c r="M963" s="1" t="s">
        <v>4236</v>
      </c>
      <c r="N963" s="1" t="s">
        <v>4237</v>
      </c>
      <c r="P963" s="1" t="s">
        <v>3393</v>
      </c>
      <c r="Q963" s="3">
        <v>1</v>
      </c>
      <c r="R963" s="22" t="s">
        <v>2764</v>
      </c>
      <c r="S963" s="22" t="s">
        <v>5099</v>
      </c>
      <c r="T963" s="51">
        <v>31</v>
      </c>
      <c r="U963" s="3" t="s">
        <v>5307</v>
      </c>
      <c r="V963" s="41" t="str">
        <f>HYPERLINK("http://ictvonline.org/taxonomy/p/taxonomy-history?taxnode_id=20180735","ICTVonline=20180735")</f>
        <v>ICTVonline=20180735</v>
      </c>
    </row>
    <row r="964" spans="1:22">
      <c r="A964" s="3">
        <v>963</v>
      </c>
      <c r="J964" s="1" t="s">
        <v>1338</v>
      </c>
      <c r="L964" s="1" t="s">
        <v>903</v>
      </c>
      <c r="M964" s="1" t="s">
        <v>4236</v>
      </c>
      <c r="N964" s="1" t="s">
        <v>4237</v>
      </c>
      <c r="P964" s="1" t="s">
        <v>4470</v>
      </c>
      <c r="Q964" s="3">
        <v>0</v>
      </c>
      <c r="R964" s="22" t="s">
        <v>2764</v>
      </c>
      <c r="S964" s="22" t="s">
        <v>5097</v>
      </c>
      <c r="T964" s="51">
        <v>31</v>
      </c>
      <c r="U964" s="3" t="s">
        <v>5307</v>
      </c>
      <c r="V964" s="41" t="str">
        <f>HYPERLINK("http://ictvonline.org/taxonomy/p/taxonomy-history?taxnode_id=20180736","ICTVonline=20180736")</f>
        <v>ICTVonline=20180736</v>
      </c>
    </row>
    <row r="965" spans="1:22">
      <c r="A965" s="3">
        <v>964</v>
      </c>
      <c r="J965" s="1" t="s">
        <v>1338</v>
      </c>
      <c r="L965" s="1" t="s">
        <v>903</v>
      </c>
      <c r="M965" s="1" t="s">
        <v>4236</v>
      </c>
      <c r="N965" s="1" t="s">
        <v>4237</v>
      </c>
      <c r="P965" s="1" t="s">
        <v>4471</v>
      </c>
      <c r="Q965" s="3">
        <v>0</v>
      </c>
      <c r="R965" s="22" t="s">
        <v>2764</v>
      </c>
      <c r="S965" s="22" t="s">
        <v>5097</v>
      </c>
      <c r="T965" s="51">
        <v>31</v>
      </c>
      <c r="U965" s="3" t="s">
        <v>5307</v>
      </c>
      <c r="V965" s="41" t="str">
        <f>HYPERLINK("http://ictvonline.org/taxonomy/p/taxonomy-history?taxnode_id=20180737","ICTVonline=20180737")</f>
        <v>ICTVonline=20180737</v>
      </c>
    </row>
    <row r="966" spans="1:22">
      <c r="A966" s="3">
        <v>965</v>
      </c>
      <c r="J966" s="1" t="s">
        <v>1338</v>
      </c>
      <c r="L966" s="1" t="s">
        <v>903</v>
      </c>
      <c r="M966" s="1" t="s">
        <v>4236</v>
      </c>
      <c r="N966" s="1" t="s">
        <v>4238</v>
      </c>
      <c r="P966" s="1" t="s">
        <v>4472</v>
      </c>
      <c r="Q966" s="3">
        <v>0</v>
      </c>
      <c r="R966" s="22" t="s">
        <v>2764</v>
      </c>
      <c r="S966" s="22" t="s">
        <v>5097</v>
      </c>
      <c r="T966" s="51">
        <v>31</v>
      </c>
      <c r="U966" s="3" t="s">
        <v>5307</v>
      </c>
      <c r="V966" s="41" t="str">
        <f>HYPERLINK("http://ictvonline.org/taxonomy/p/taxonomy-history?taxnode_id=20180739","ICTVonline=20180739")</f>
        <v>ICTVonline=20180739</v>
      </c>
    </row>
    <row r="967" spans="1:22">
      <c r="A967" s="3">
        <v>966</v>
      </c>
      <c r="J967" s="1" t="s">
        <v>1338</v>
      </c>
      <c r="L967" s="1" t="s">
        <v>903</v>
      </c>
      <c r="M967" s="1" t="s">
        <v>4236</v>
      </c>
      <c r="N967" s="1" t="s">
        <v>4238</v>
      </c>
      <c r="P967" s="1" t="s">
        <v>4473</v>
      </c>
      <c r="Q967" s="3">
        <v>0</v>
      </c>
      <c r="R967" s="22" t="s">
        <v>2764</v>
      </c>
      <c r="S967" s="22" t="s">
        <v>5097</v>
      </c>
      <c r="T967" s="51">
        <v>31</v>
      </c>
      <c r="U967" s="3" t="s">
        <v>5307</v>
      </c>
      <c r="V967" s="41" t="str">
        <f>HYPERLINK("http://ictvonline.org/taxonomy/p/taxonomy-history?taxnode_id=20180740","ICTVonline=20180740")</f>
        <v>ICTVonline=20180740</v>
      </c>
    </row>
    <row r="968" spans="1:22">
      <c r="A968" s="3">
        <v>967</v>
      </c>
      <c r="J968" s="1" t="s">
        <v>1338</v>
      </c>
      <c r="L968" s="1" t="s">
        <v>903</v>
      </c>
      <c r="M968" s="1" t="s">
        <v>4236</v>
      </c>
      <c r="N968" s="1" t="s">
        <v>4238</v>
      </c>
      <c r="P968" s="1" t="s">
        <v>4474</v>
      </c>
      <c r="Q968" s="3">
        <v>0</v>
      </c>
      <c r="R968" s="22" t="s">
        <v>2764</v>
      </c>
      <c r="S968" s="22" t="s">
        <v>5097</v>
      </c>
      <c r="T968" s="51">
        <v>31</v>
      </c>
      <c r="U968" s="3" t="s">
        <v>5307</v>
      </c>
      <c r="V968" s="41" t="str">
        <f>HYPERLINK("http://ictvonline.org/taxonomy/p/taxonomy-history?taxnode_id=20180741","ICTVonline=20180741")</f>
        <v>ICTVonline=20180741</v>
      </c>
    </row>
    <row r="969" spans="1:22">
      <c r="A969" s="3">
        <v>968</v>
      </c>
      <c r="J969" s="1" t="s">
        <v>1338</v>
      </c>
      <c r="L969" s="1" t="s">
        <v>903</v>
      </c>
      <c r="M969" s="1" t="s">
        <v>4236</v>
      </c>
      <c r="N969" s="1" t="s">
        <v>4238</v>
      </c>
      <c r="P969" s="1" t="s">
        <v>3395</v>
      </c>
      <c r="Q969" s="3">
        <v>0</v>
      </c>
      <c r="R969" s="22" t="s">
        <v>2764</v>
      </c>
      <c r="S969" s="22" t="s">
        <v>5099</v>
      </c>
      <c r="T969" s="51">
        <v>31</v>
      </c>
      <c r="U969" s="3" t="s">
        <v>5307</v>
      </c>
      <c r="V969" s="41" t="str">
        <f>HYPERLINK("http://ictvonline.org/taxonomy/p/taxonomy-history?taxnode_id=20180742","ICTVonline=20180742")</f>
        <v>ICTVonline=20180742</v>
      </c>
    </row>
    <row r="970" spans="1:22">
      <c r="A970" s="3">
        <v>969</v>
      </c>
      <c r="J970" s="1" t="s">
        <v>1338</v>
      </c>
      <c r="L970" s="1" t="s">
        <v>903</v>
      </c>
      <c r="M970" s="1" t="s">
        <v>4236</v>
      </c>
      <c r="N970" s="1" t="s">
        <v>4238</v>
      </c>
      <c r="P970" s="1" t="s">
        <v>3396</v>
      </c>
      <c r="Q970" s="3">
        <v>1</v>
      </c>
      <c r="R970" s="22" t="s">
        <v>2764</v>
      </c>
      <c r="S970" s="22" t="s">
        <v>5099</v>
      </c>
      <c r="T970" s="51">
        <v>31</v>
      </c>
      <c r="U970" s="3" t="s">
        <v>5307</v>
      </c>
      <c r="V970" s="41" t="str">
        <f>HYPERLINK("http://ictvonline.org/taxonomy/p/taxonomy-history?taxnode_id=20180743","ICTVonline=20180743")</f>
        <v>ICTVonline=20180743</v>
      </c>
    </row>
    <row r="971" spans="1:22">
      <c r="A971" s="3">
        <v>970</v>
      </c>
      <c r="J971" s="1" t="s">
        <v>1338</v>
      </c>
      <c r="L971" s="1" t="s">
        <v>903</v>
      </c>
      <c r="M971" s="1" t="s">
        <v>4236</v>
      </c>
      <c r="N971" s="1" t="s">
        <v>4238</v>
      </c>
      <c r="P971" s="1" t="s">
        <v>4475</v>
      </c>
      <c r="Q971" s="3">
        <v>0</v>
      </c>
      <c r="R971" s="22" t="s">
        <v>2764</v>
      </c>
      <c r="S971" s="22" t="s">
        <v>5097</v>
      </c>
      <c r="T971" s="51">
        <v>31</v>
      </c>
      <c r="U971" s="3" t="s">
        <v>5307</v>
      </c>
      <c r="V971" s="41" t="str">
        <f>HYPERLINK("http://ictvonline.org/taxonomy/p/taxonomy-history?taxnode_id=20180744","ICTVonline=20180744")</f>
        <v>ICTVonline=20180744</v>
      </c>
    </row>
    <row r="972" spans="1:22">
      <c r="A972" s="3">
        <v>971</v>
      </c>
      <c r="J972" s="1" t="s">
        <v>1338</v>
      </c>
      <c r="L972" s="1" t="s">
        <v>903</v>
      </c>
      <c r="M972" s="1" t="s">
        <v>4236</v>
      </c>
      <c r="N972" s="1" t="s">
        <v>4238</v>
      </c>
      <c r="P972" s="1" t="s">
        <v>3398</v>
      </c>
      <c r="Q972" s="3">
        <v>0</v>
      </c>
      <c r="R972" s="22" t="s">
        <v>2764</v>
      </c>
      <c r="S972" s="22" t="s">
        <v>5099</v>
      </c>
      <c r="T972" s="51">
        <v>31</v>
      </c>
      <c r="U972" s="3" t="s">
        <v>5307</v>
      </c>
      <c r="V972" s="41" t="str">
        <f>HYPERLINK("http://ictvonline.org/taxonomy/p/taxonomy-history?taxnode_id=20180745","ICTVonline=20180745")</f>
        <v>ICTVonline=20180745</v>
      </c>
    </row>
    <row r="973" spans="1:22">
      <c r="A973" s="3">
        <v>972</v>
      </c>
      <c r="J973" s="1" t="s">
        <v>1338</v>
      </c>
      <c r="L973" s="1" t="s">
        <v>903</v>
      </c>
      <c r="M973" s="1" t="s">
        <v>4236</v>
      </c>
      <c r="N973" s="1" t="s">
        <v>4238</v>
      </c>
      <c r="P973" s="1" t="s">
        <v>3403</v>
      </c>
      <c r="Q973" s="3">
        <v>0</v>
      </c>
      <c r="R973" s="22" t="s">
        <v>2764</v>
      </c>
      <c r="S973" s="22" t="s">
        <v>5099</v>
      </c>
      <c r="T973" s="51">
        <v>31</v>
      </c>
      <c r="U973" s="3" t="s">
        <v>5307</v>
      </c>
      <c r="V973" s="41" t="str">
        <f>HYPERLINK("http://ictvonline.org/taxonomy/p/taxonomy-history?taxnode_id=20180746","ICTVonline=20180746")</f>
        <v>ICTVonline=20180746</v>
      </c>
    </row>
    <row r="974" spans="1:22">
      <c r="A974" s="3">
        <v>973</v>
      </c>
      <c r="J974" s="1" t="s">
        <v>1338</v>
      </c>
      <c r="L974" s="1" t="s">
        <v>903</v>
      </c>
      <c r="M974" s="1" t="s">
        <v>4236</v>
      </c>
      <c r="N974" s="1" t="s">
        <v>4238</v>
      </c>
      <c r="P974" s="1" t="s">
        <v>4476</v>
      </c>
      <c r="Q974" s="3">
        <v>0</v>
      </c>
      <c r="R974" s="22" t="s">
        <v>2764</v>
      </c>
      <c r="S974" s="22" t="s">
        <v>5097</v>
      </c>
      <c r="T974" s="51">
        <v>31</v>
      </c>
      <c r="U974" s="3" t="s">
        <v>5307</v>
      </c>
      <c r="V974" s="41" t="str">
        <f>HYPERLINK("http://ictvonline.org/taxonomy/p/taxonomy-history?taxnode_id=20180747","ICTVonline=20180747")</f>
        <v>ICTVonline=20180747</v>
      </c>
    </row>
    <row r="975" spans="1:22">
      <c r="A975" s="3">
        <v>974</v>
      </c>
      <c r="J975" s="1" t="s">
        <v>1338</v>
      </c>
      <c r="L975" s="1" t="s">
        <v>903</v>
      </c>
      <c r="M975" s="1" t="s">
        <v>4236</v>
      </c>
      <c r="N975" s="1" t="s">
        <v>4238</v>
      </c>
      <c r="P975" s="1" t="s">
        <v>3404</v>
      </c>
      <c r="Q975" s="3">
        <v>0</v>
      </c>
      <c r="R975" s="22" t="s">
        <v>2764</v>
      </c>
      <c r="S975" s="22" t="s">
        <v>5099</v>
      </c>
      <c r="T975" s="51">
        <v>31</v>
      </c>
      <c r="U975" s="3" t="s">
        <v>5307</v>
      </c>
      <c r="V975" s="41" t="str">
        <f>HYPERLINK("http://ictvonline.org/taxonomy/p/taxonomy-history?taxnode_id=20180748","ICTVonline=20180748")</f>
        <v>ICTVonline=20180748</v>
      </c>
    </row>
    <row r="976" spans="1:22">
      <c r="A976" s="3">
        <v>975</v>
      </c>
      <c r="J976" s="1" t="s">
        <v>1338</v>
      </c>
      <c r="L976" s="1" t="s">
        <v>903</v>
      </c>
      <c r="M976" s="1" t="s">
        <v>4236</v>
      </c>
      <c r="N976" s="1" t="s">
        <v>3392</v>
      </c>
      <c r="P976" s="1" t="s">
        <v>4477</v>
      </c>
      <c r="Q976" s="3">
        <v>0</v>
      </c>
      <c r="R976" s="22" t="s">
        <v>2764</v>
      </c>
      <c r="S976" s="22" t="s">
        <v>5097</v>
      </c>
      <c r="T976" s="51">
        <v>31</v>
      </c>
      <c r="U976" s="3" t="s">
        <v>5307</v>
      </c>
      <c r="V976" s="41" t="str">
        <f>HYPERLINK("http://ictvonline.org/taxonomy/p/taxonomy-history?taxnode_id=20180750","ICTVonline=20180750")</f>
        <v>ICTVonline=20180750</v>
      </c>
    </row>
    <row r="977" spans="1:22">
      <c r="A977" s="3">
        <v>976</v>
      </c>
      <c r="J977" s="1" t="s">
        <v>1338</v>
      </c>
      <c r="L977" s="1" t="s">
        <v>903</v>
      </c>
      <c r="M977" s="1" t="s">
        <v>4236</v>
      </c>
      <c r="N977" s="1" t="s">
        <v>3392</v>
      </c>
      <c r="P977" s="1" t="s">
        <v>4478</v>
      </c>
      <c r="Q977" s="3">
        <v>0</v>
      </c>
      <c r="R977" s="22" t="s">
        <v>2764</v>
      </c>
      <c r="S977" s="22" t="s">
        <v>5097</v>
      </c>
      <c r="T977" s="51">
        <v>31</v>
      </c>
      <c r="U977" s="3" t="s">
        <v>5307</v>
      </c>
      <c r="V977" s="41" t="str">
        <f>HYPERLINK("http://ictvonline.org/taxonomy/p/taxonomy-history?taxnode_id=20180751","ICTVonline=20180751")</f>
        <v>ICTVonline=20180751</v>
      </c>
    </row>
    <row r="978" spans="1:22">
      <c r="A978" s="3">
        <v>977</v>
      </c>
      <c r="J978" s="1" t="s">
        <v>1338</v>
      </c>
      <c r="L978" s="1" t="s">
        <v>903</v>
      </c>
      <c r="M978" s="1" t="s">
        <v>4236</v>
      </c>
      <c r="N978" s="1" t="s">
        <v>3392</v>
      </c>
      <c r="P978" s="1" t="s">
        <v>3399</v>
      </c>
      <c r="Q978" s="3">
        <v>0</v>
      </c>
      <c r="R978" s="22" t="s">
        <v>2764</v>
      </c>
      <c r="S978" s="22" t="s">
        <v>5099</v>
      </c>
      <c r="T978" s="51">
        <v>31</v>
      </c>
      <c r="U978" s="3" t="s">
        <v>5307</v>
      </c>
      <c r="V978" s="41" t="str">
        <f>HYPERLINK("http://ictvonline.org/taxonomy/p/taxonomy-history?taxnode_id=20180752","ICTVonline=20180752")</f>
        <v>ICTVonline=20180752</v>
      </c>
    </row>
    <row r="979" spans="1:22">
      <c r="A979" s="3">
        <v>978</v>
      </c>
      <c r="J979" s="1" t="s">
        <v>1338</v>
      </c>
      <c r="L979" s="1" t="s">
        <v>903</v>
      </c>
      <c r="M979" s="1" t="s">
        <v>4236</v>
      </c>
      <c r="N979" s="1" t="s">
        <v>3392</v>
      </c>
      <c r="P979" s="1" t="s">
        <v>4479</v>
      </c>
      <c r="Q979" s="3">
        <v>0</v>
      </c>
      <c r="R979" s="22" t="s">
        <v>2764</v>
      </c>
      <c r="S979" s="22" t="s">
        <v>5097</v>
      </c>
      <c r="T979" s="51">
        <v>31</v>
      </c>
      <c r="U979" s="3" t="s">
        <v>5307</v>
      </c>
      <c r="V979" s="41" t="str">
        <f>HYPERLINK("http://ictvonline.org/taxonomy/p/taxonomy-history?taxnode_id=20180753","ICTVonline=20180753")</f>
        <v>ICTVonline=20180753</v>
      </c>
    </row>
    <row r="980" spans="1:22">
      <c r="A980" s="3">
        <v>979</v>
      </c>
      <c r="J980" s="1" t="s">
        <v>1338</v>
      </c>
      <c r="L980" s="1" t="s">
        <v>903</v>
      </c>
      <c r="M980" s="1" t="s">
        <v>4236</v>
      </c>
      <c r="N980" s="1" t="s">
        <v>3392</v>
      </c>
      <c r="P980" s="1" t="s">
        <v>3400</v>
      </c>
      <c r="Q980" s="3">
        <v>1</v>
      </c>
      <c r="R980" s="22" t="s">
        <v>2764</v>
      </c>
      <c r="S980" s="22" t="s">
        <v>5099</v>
      </c>
      <c r="T980" s="51">
        <v>31</v>
      </c>
      <c r="U980" s="3" t="s">
        <v>5307</v>
      </c>
      <c r="V980" s="41" t="str">
        <f>HYPERLINK("http://ictvonline.org/taxonomy/p/taxonomy-history?taxnode_id=20180754","ICTVonline=20180754")</f>
        <v>ICTVonline=20180754</v>
      </c>
    </row>
    <row r="981" spans="1:22">
      <c r="A981" s="3">
        <v>980</v>
      </c>
      <c r="J981" s="1" t="s">
        <v>1338</v>
      </c>
      <c r="L981" s="1" t="s">
        <v>903</v>
      </c>
      <c r="M981" s="1" t="s">
        <v>4236</v>
      </c>
      <c r="N981" s="1" t="s">
        <v>3392</v>
      </c>
      <c r="P981" s="1" t="s">
        <v>4480</v>
      </c>
      <c r="Q981" s="3">
        <v>0</v>
      </c>
      <c r="R981" s="22" t="s">
        <v>2764</v>
      </c>
      <c r="S981" s="22" t="s">
        <v>5097</v>
      </c>
      <c r="T981" s="51">
        <v>31</v>
      </c>
      <c r="U981" s="3" t="s">
        <v>5307</v>
      </c>
      <c r="V981" s="41" t="str">
        <f>HYPERLINK("http://ictvonline.org/taxonomy/p/taxonomy-history?taxnode_id=20180755","ICTVonline=20180755")</f>
        <v>ICTVonline=20180755</v>
      </c>
    </row>
    <row r="982" spans="1:22">
      <c r="A982" s="3">
        <v>981</v>
      </c>
      <c r="J982" s="1" t="s">
        <v>1338</v>
      </c>
      <c r="L982" s="1" t="s">
        <v>903</v>
      </c>
      <c r="M982" s="1" t="s">
        <v>4236</v>
      </c>
      <c r="N982" s="1" t="s">
        <v>3392</v>
      </c>
      <c r="P982" s="1" t="s">
        <v>4481</v>
      </c>
      <c r="Q982" s="3">
        <v>0</v>
      </c>
      <c r="R982" s="22" t="s">
        <v>2764</v>
      </c>
      <c r="S982" s="22" t="s">
        <v>5097</v>
      </c>
      <c r="T982" s="51">
        <v>31</v>
      </c>
      <c r="U982" s="3" t="s">
        <v>5307</v>
      </c>
      <c r="V982" s="41" t="str">
        <f>HYPERLINK("http://ictvonline.org/taxonomy/p/taxonomy-history?taxnode_id=20180756","ICTVonline=20180756")</f>
        <v>ICTVonline=20180756</v>
      </c>
    </row>
    <row r="983" spans="1:22">
      <c r="A983" s="3">
        <v>982</v>
      </c>
      <c r="J983" s="1" t="s">
        <v>1338</v>
      </c>
      <c r="L983" s="1" t="s">
        <v>903</v>
      </c>
      <c r="M983" s="1" t="s">
        <v>4236</v>
      </c>
      <c r="N983" s="1" t="s">
        <v>4239</v>
      </c>
      <c r="P983" s="1" t="s">
        <v>3394</v>
      </c>
      <c r="Q983" s="3">
        <v>0</v>
      </c>
      <c r="R983" s="22" t="s">
        <v>2764</v>
      </c>
      <c r="S983" s="22" t="s">
        <v>5099</v>
      </c>
      <c r="T983" s="51">
        <v>31</v>
      </c>
      <c r="U983" s="3" t="s">
        <v>5307</v>
      </c>
      <c r="V983" s="41" t="str">
        <f>HYPERLINK("http://ictvonline.org/taxonomy/p/taxonomy-history?taxnode_id=20180758","ICTVonline=20180758")</f>
        <v>ICTVonline=20180758</v>
      </c>
    </row>
    <row r="984" spans="1:22">
      <c r="A984" s="3">
        <v>983</v>
      </c>
      <c r="J984" s="1" t="s">
        <v>1338</v>
      </c>
      <c r="L984" s="1" t="s">
        <v>903</v>
      </c>
      <c r="M984" s="1" t="s">
        <v>4236</v>
      </c>
      <c r="N984" s="1" t="s">
        <v>4239</v>
      </c>
      <c r="P984" s="1" t="s">
        <v>4482</v>
      </c>
      <c r="Q984" s="3">
        <v>0</v>
      </c>
      <c r="R984" s="22" t="s">
        <v>2764</v>
      </c>
      <c r="S984" s="22" t="s">
        <v>5097</v>
      </c>
      <c r="T984" s="51">
        <v>31</v>
      </c>
      <c r="U984" s="3" t="s">
        <v>5307</v>
      </c>
      <c r="V984" s="41" t="str">
        <f>HYPERLINK("http://ictvonline.org/taxonomy/p/taxonomy-history?taxnode_id=20180759","ICTVonline=20180759")</f>
        <v>ICTVonline=20180759</v>
      </c>
    </row>
    <row r="985" spans="1:22">
      <c r="A985" s="3">
        <v>984</v>
      </c>
      <c r="J985" s="1" t="s">
        <v>1338</v>
      </c>
      <c r="L985" s="1" t="s">
        <v>903</v>
      </c>
      <c r="M985" s="1" t="s">
        <v>4236</v>
      </c>
      <c r="N985" s="1" t="s">
        <v>4239</v>
      </c>
      <c r="P985" s="1" t="s">
        <v>3397</v>
      </c>
      <c r="Q985" s="3">
        <v>0</v>
      </c>
      <c r="R985" s="22" t="s">
        <v>2764</v>
      </c>
      <c r="S985" s="22" t="s">
        <v>5099</v>
      </c>
      <c r="T985" s="51">
        <v>31</v>
      </c>
      <c r="U985" s="3" t="s">
        <v>5307</v>
      </c>
      <c r="V985" s="41" t="str">
        <f>HYPERLINK("http://ictvonline.org/taxonomy/p/taxonomy-history?taxnode_id=20180760","ICTVonline=20180760")</f>
        <v>ICTVonline=20180760</v>
      </c>
    </row>
    <row r="986" spans="1:22">
      <c r="A986" s="3">
        <v>985</v>
      </c>
      <c r="J986" s="1" t="s">
        <v>1338</v>
      </c>
      <c r="L986" s="1" t="s">
        <v>903</v>
      </c>
      <c r="M986" s="1" t="s">
        <v>4236</v>
      </c>
      <c r="N986" s="1" t="s">
        <v>4239</v>
      </c>
      <c r="P986" s="1" t="s">
        <v>3401</v>
      </c>
      <c r="Q986" s="3">
        <v>1</v>
      </c>
      <c r="R986" s="22" t="s">
        <v>2764</v>
      </c>
      <c r="S986" s="22" t="s">
        <v>5099</v>
      </c>
      <c r="T986" s="51">
        <v>31</v>
      </c>
      <c r="U986" s="3" t="s">
        <v>5307</v>
      </c>
      <c r="V986" s="41" t="str">
        <f>HYPERLINK("http://ictvonline.org/taxonomy/p/taxonomy-history?taxnode_id=20180761","ICTVonline=20180761")</f>
        <v>ICTVonline=20180761</v>
      </c>
    </row>
    <row r="987" spans="1:22">
      <c r="A987" s="3">
        <v>986</v>
      </c>
      <c r="J987" s="1" t="s">
        <v>1338</v>
      </c>
      <c r="L987" s="1" t="s">
        <v>903</v>
      </c>
      <c r="M987" s="1" t="s">
        <v>4236</v>
      </c>
      <c r="N987" s="1" t="s">
        <v>4240</v>
      </c>
      <c r="P987" s="1" t="s">
        <v>4483</v>
      </c>
      <c r="Q987" s="3">
        <v>0</v>
      </c>
      <c r="R987" s="22" t="s">
        <v>2764</v>
      </c>
      <c r="S987" s="22" t="s">
        <v>5097</v>
      </c>
      <c r="T987" s="51">
        <v>31</v>
      </c>
      <c r="U987" s="3" t="s">
        <v>5307</v>
      </c>
      <c r="V987" s="41" t="str">
        <f>HYPERLINK("http://ictvonline.org/taxonomy/p/taxonomy-history?taxnode_id=20180763","ICTVonline=20180763")</f>
        <v>ICTVonline=20180763</v>
      </c>
    </row>
    <row r="988" spans="1:22">
      <c r="A988" s="3">
        <v>987</v>
      </c>
      <c r="J988" s="1" t="s">
        <v>1338</v>
      </c>
      <c r="L988" s="1" t="s">
        <v>903</v>
      </c>
      <c r="M988" s="1" t="s">
        <v>4236</v>
      </c>
      <c r="N988" s="1" t="s">
        <v>4240</v>
      </c>
      <c r="P988" s="1" t="s">
        <v>3402</v>
      </c>
      <c r="Q988" s="3">
        <v>1</v>
      </c>
      <c r="R988" s="22" t="s">
        <v>2764</v>
      </c>
      <c r="S988" s="22" t="s">
        <v>5099</v>
      </c>
      <c r="T988" s="51">
        <v>31</v>
      </c>
      <c r="U988" s="3" t="s">
        <v>5307</v>
      </c>
      <c r="V988" s="41" t="str">
        <f>HYPERLINK("http://ictvonline.org/taxonomy/p/taxonomy-history?taxnode_id=20180764","ICTVonline=20180764")</f>
        <v>ICTVonline=20180764</v>
      </c>
    </row>
    <row r="989" spans="1:22">
      <c r="A989" s="3">
        <v>988</v>
      </c>
      <c r="J989" s="1" t="s">
        <v>1338</v>
      </c>
      <c r="L989" s="1" t="s">
        <v>903</v>
      </c>
      <c r="M989" s="1" t="s">
        <v>5308</v>
      </c>
      <c r="N989" s="1" t="s">
        <v>5309</v>
      </c>
      <c r="P989" s="1" t="s">
        <v>3253</v>
      </c>
      <c r="Q989" s="3">
        <v>0</v>
      </c>
      <c r="R989" s="22" t="s">
        <v>2764</v>
      </c>
      <c r="S989" s="22" t="s">
        <v>5099</v>
      </c>
      <c r="T989" s="51">
        <v>32</v>
      </c>
      <c r="U989" s="3" t="s">
        <v>5310</v>
      </c>
      <c r="V989" s="41" t="str">
        <f>HYPERLINK("http://ictvonline.org/taxonomy/p/taxonomy-history?taxnode_id=20180920","ICTVonline=20180920")</f>
        <v>ICTVonline=20180920</v>
      </c>
    </row>
    <row r="990" spans="1:22">
      <c r="A990" s="3">
        <v>989</v>
      </c>
      <c r="J990" s="1" t="s">
        <v>1338</v>
      </c>
      <c r="L990" s="1" t="s">
        <v>903</v>
      </c>
      <c r="M990" s="1" t="s">
        <v>5308</v>
      </c>
      <c r="N990" s="1" t="s">
        <v>5309</v>
      </c>
      <c r="P990" s="1" t="s">
        <v>3254</v>
      </c>
      <c r="Q990" s="3">
        <v>1</v>
      </c>
      <c r="R990" s="22" t="s">
        <v>2764</v>
      </c>
      <c r="S990" s="22" t="s">
        <v>5099</v>
      </c>
      <c r="T990" s="51">
        <v>32</v>
      </c>
      <c r="U990" s="3" t="s">
        <v>5310</v>
      </c>
      <c r="V990" s="41" t="str">
        <f>HYPERLINK("http://ictvonline.org/taxonomy/p/taxonomy-history?taxnode_id=20180921","ICTVonline=20180921")</f>
        <v>ICTVonline=20180921</v>
      </c>
    </row>
    <row r="991" spans="1:22">
      <c r="A991" s="3">
        <v>990</v>
      </c>
      <c r="J991" s="1" t="s">
        <v>1338</v>
      </c>
      <c r="L991" s="1" t="s">
        <v>903</v>
      </c>
      <c r="M991" s="1" t="s">
        <v>5308</v>
      </c>
      <c r="N991" s="1" t="s">
        <v>3252</v>
      </c>
      <c r="P991" s="1" t="s">
        <v>3255</v>
      </c>
      <c r="Q991" s="3">
        <v>1</v>
      </c>
      <c r="R991" s="22" t="s">
        <v>2764</v>
      </c>
      <c r="S991" s="22" t="s">
        <v>5099</v>
      </c>
      <c r="T991" s="51">
        <v>32</v>
      </c>
      <c r="U991" s="3" t="s">
        <v>5310</v>
      </c>
      <c r="V991" s="41" t="str">
        <f>HYPERLINK("http://ictvonline.org/taxonomy/p/taxonomy-history?taxnode_id=20180922","ICTVonline=20180922")</f>
        <v>ICTVonline=20180922</v>
      </c>
    </row>
    <row r="992" spans="1:22">
      <c r="A992" s="3">
        <v>991</v>
      </c>
      <c r="J992" s="1" t="s">
        <v>1338</v>
      </c>
      <c r="L992" s="1" t="s">
        <v>903</v>
      </c>
      <c r="M992" s="1" t="s">
        <v>5308</v>
      </c>
      <c r="N992" s="1" t="s">
        <v>3252</v>
      </c>
      <c r="P992" s="1" t="s">
        <v>5311</v>
      </c>
      <c r="Q992" s="3">
        <v>0</v>
      </c>
      <c r="R992" s="22" t="s">
        <v>2764</v>
      </c>
      <c r="S992" s="22" t="s">
        <v>5097</v>
      </c>
      <c r="T992" s="51">
        <v>32</v>
      </c>
      <c r="U992" s="3" t="s">
        <v>5310</v>
      </c>
      <c r="V992" s="41" t="str">
        <f>HYPERLINK("http://ictvonline.org/taxonomy/p/taxonomy-history?taxnode_id=20185506","ICTVonline=20185506")</f>
        <v>ICTVonline=20185506</v>
      </c>
    </row>
    <row r="993" spans="1:22">
      <c r="A993" s="3">
        <v>992</v>
      </c>
      <c r="J993" s="1" t="s">
        <v>1338</v>
      </c>
      <c r="L993" s="1" t="s">
        <v>903</v>
      </c>
      <c r="M993" s="1" t="s">
        <v>5312</v>
      </c>
      <c r="N993" s="1" t="s">
        <v>5313</v>
      </c>
      <c r="P993" s="1" t="s">
        <v>5314</v>
      </c>
      <c r="Q993" s="3">
        <v>1</v>
      </c>
      <c r="R993" s="22" t="s">
        <v>2764</v>
      </c>
      <c r="S993" s="22" t="s">
        <v>5097</v>
      </c>
      <c r="T993" s="51">
        <v>32</v>
      </c>
      <c r="U993" s="3" t="s">
        <v>5315</v>
      </c>
      <c r="V993" s="41" t="str">
        <f>HYPERLINK("http://ictvonline.org/taxonomy/p/taxonomy-history?taxnode_id=20185508","ICTVonline=20185508")</f>
        <v>ICTVonline=20185508</v>
      </c>
    </row>
    <row r="994" spans="1:22">
      <c r="A994" s="3">
        <v>993</v>
      </c>
      <c r="J994" s="1" t="s">
        <v>1338</v>
      </c>
      <c r="L994" s="1" t="s">
        <v>903</v>
      </c>
      <c r="M994" s="1" t="s">
        <v>5312</v>
      </c>
      <c r="N994" s="1" t="s">
        <v>5316</v>
      </c>
      <c r="P994" s="1" t="s">
        <v>5317</v>
      </c>
      <c r="Q994" s="3">
        <v>1</v>
      </c>
      <c r="R994" s="22" t="s">
        <v>2764</v>
      </c>
      <c r="S994" s="22" t="s">
        <v>5097</v>
      </c>
      <c r="T994" s="51">
        <v>32</v>
      </c>
      <c r="U994" s="3" t="s">
        <v>5315</v>
      </c>
      <c r="V994" s="41" t="str">
        <f>HYPERLINK("http://ictvonline.org/taxonomy/p/taxonomy-history?taxnode_id=20185510","ICTVonline=20185510")</f>
        <v>ICTVonline=20185510</v>
      </c>
    </row>
    <row r="995" spans="1:22">
      <c r="A995" s="3">
        <v>994</v>
      </c>
      <c r="J995" s="1" t="s">
        <v>1338</v>
      </c>
      <c r="L995" s="1" t="s">
        <v>903</v>
      </c>
      <c r="M995" s="1" t="s">
        <v>3133</v>
      </c>
      <c r="N995" s="1" t="s">
        <v>3134</v>
      </c>
      <c r="P995" s="1" t="s">
        <v>3135</v>
      </c>
      <c r="Q995" s="3">
        <v>0</v>
      </c>
      <c r="R995" s="22" t="s">
        <v>2764</v>
      </c>
      <c r="S995" s="22" t="s">
        <v>5097</v>
      </c>
      <c r="T995" s="51">
        <v>30</v>
      </c>
      <c r="U995" s="3" t="s">
        <v>5318</v>
      </c>
      <c r="V995" s="41" t="str">
        <f>HYPERLINK("http://ictvonline.org/taxonomy/p/taxonomy-history?taxnode_id=20180767","ICTVonline=20180767")</f>
        <v>ICTVonline=20180767</v>
      </c>
    </row>
    <row r="996" spans="1:22">
      <c r="A996" s="3">
        <v>995</v>
      </c>
      <c r="J996" s="1" t="s">
        <v>1338</v>
      </c>
      <c r="L996" s="1" t="s">
        <v>903</v>
      </c>
      <c r="M996" s="1" t="s">
        <v>3133</v>
      </c>
      <c r="N996" s="1" t="s">
        <v>3134</v>
      </c>
      <c r="P996" s="1" t="s">
        <v>3136</v>
      </c>
      <c r="Q996" s="3">
        <v>0</v>
      </c>
      <c r="R996" s="22" t="s">
        <v>2764</v>
      </c>
      <c r="S996" s="22" t="s">
        <v>5098</v>
      </c>
      <c r="T996" s="51">
        <v>30</v>
      </c>
      <c r="U996" s="3" t="s">
        <v>5319</v>
      </c>
      <c r="V996" s="41" t="str">
        <f>HYPERLINK("http://ictvonline.org/taxonomy/p/taxonomy-history?taxnode_id=20180768","ICTVonline=20180768")</f>
        <v>ICTVonline=20180768</v>
      </c>
    </row>
    <row r="997" spans="1:22">
      <c r="A997" s="3">
        <v>996</v>
      </c>
      <c r="J997" s="1" t="s">
        <v>1338</v>
      </c>
      <c r="L997" s="1" t="s">
        <v>903</v>
      </c>
      <c r="M997" s="1" t="s">
        <v>3133</v>
      </c>
      <c r="N997" s="1" t="s">
        <v>3134</v>
      </c>
      <c r="P997" s="1" t="s">
        <v>4241</v>
      </c>
      <c r="Q997" s="3">
        <v>0</v>
      </c>
      <c r="R997" s="22" t="s">
        <v>2764</v>
      </c>
      <c r="S997" s="22" t="s">
        <v>5097</v>
      </c>
      <c r="T997" s="51">
        <v>31</v>
      </c>
      <c r="U997" s="3" t="s">
        <v>5217</v>
      </c>
      <c r="V997" s="41" t="str">
        <f>HYPERLINK("http://ictvonline.org/taxonomy/p/taxonomy-history?taxnode_id=20180769","ICTVonline=20180769")</f>
        <v>ICTVonline=20180769</v>
      </c>
    </row>
    <row r="998" spans="1:22">
      <c r="A998" s="3">
        <v>997</v>
      </c>
      <c r="J998" s="1" t="s">
        <v>1338</v>
      </c>
      <c r="L998" s="1" t="s">
        <v>903</v>
      </c>
      <c r="M998" s="1" t="s">
        <v>3133</v>
      </c>
      <c r="N998" s="1" t="s">
        <v>3134</v>
      </c>
      <c r="P998" s="1" t="s">
        <v>3137</v>
      </c>
      <c r="Q998" s="3">
        <v>1</v>
      </c>
      <c r="R998" s="22" t="s">
        <v>2764</v>
      </c>
      <c r="S998" s="22" t="s">
        <v>5098</v>
      </c>
      <c r="T998" s="51">
        <v>30</v>
      </c>
      <c r="U998" s="3" t="s">
        <v>5319</v>
      </c>
      <c r="V998" s="41" t="str">
        <f>HYPERLINK("http://ictvonline.org/taxonomy/p/taxonomy-history?taxnode_id=20180770","ICTVonline=20180770")</f>
        <v>ICTVonline=20180770</v>
      </c>
    </row>
    <row r="999" spans="1:22">
      <c r="A999" s="3">
        <v>998</v>
      </c>
      <c r="J999" s="1" t="s">
        <v>1338</v>
      </c>
      <c r="L999" s="1" t="s">
        <v>903</v>
      </c>
      <c r="M999" s="1" t="s">
        <v>3133</v>
      </c>
      <c r="N999" s="1" t="s">
        <v>3134</v>
      </c>
      <c r="P999" s="1" t="s">
        <v>5113</v>
      </c>
      <c r="Q999" s="3">
        <v>0</v>
      </c>
      <c r="R999" s="22" t="s">
        <v>2764</v>
      </c>
      <c r="S999" s="22" t="s">
        <v>5100</v>
      </c>
      <c r="T999" s="51">
        <v>31</v>
      </c>
      <c r="U999" s="3" t="s">
        <v>5219</v>
      </c>
      <c r="V999" s="41" t="str">
        <f>HYPERLINK("http://ictvonline.org/taxonomy/p/taxonomy-history?taxnode_id=20180771","ICTVonline=20180771")</f>
        <v>ICTVonline=20180771</v>
      </c>
    </row>
    <row r="1000" spans="1:22">
      <c r="A1000" s="3">
        <v>999</v>
      </c>
      <c r="J1000" s="1" t="s">
        <v>1338</v>
      </c>
      <c r="L1000" s="1" t="s">
        <v>903</v>
      </c>
      <c r="M1000" s="1" t="s">
        <v>3133</v>
      </c>
      <c r="N1000" s="1" t="s">
        <v>3134</v>
      </c>
      <c r="P1000" s="1" t="s">
        <v>5114</v>
      </c>
      <c r="Q1000" s="3">
        <v>0</v>
      </c>
      <c r="R1000" s="22" t="s">
        <v>2764</v>
      </c>
      <c r="S1000" s="22" t="s">
        <v>5100</v>
      </c>
      <c r="T1000" s="51">
        <v>31</v>
      </c>
      <c r="U1000" s="3" t="s">
        <v>5219</v>
      </c>
      <c r="V1000" s="41" t="str">
        <f>HYPERLINK("http://ictvonline.org/taxonomy/p/taxonomy-history?taxnode_id=20180772","ICTVonline=20180772")</f>
        <v>ICTVonline=20180772</v>
      </c>
    </row>
    <row r="1001" spans="1:22">
      <c r="A1001" s="3">
        <v>1000</v>
      </c>
      <c r="J1001" s="1" t="s">
        <v>1338</v>
      </c>
      <c r="L1001" s="1" t="s">
        <v>903</v>
      </c>
      <c r="M1001" s="1" t="s">
        <v>3133</v>
      </c>
      <c r="N1001" s="1" t="s">
        <v>3134</v>
      </c>
      <c r="P1001" s="1" t="s">
        <v>3138</v>
      </c>
      <c r="Q1001" s="3">
        <v>0</v>
      </c>
      <c r="R1001" s="22" t="s">
        <v>2764</v>
      </c>
      <c r="S1001" s="22" t="s">
        <v>5098</v>
      </c>
      <c r="T1001" s="51">
        <v>30</v>
      </c>
      <c r="U1001" s="3" t="s">
        <v>5319</v>
      </c>
      <c r="V1001" s="41" t="str">
        <f>HYPERLINK("http://ictvonline.org/taxonomy/p/taxonomy-history?taxnode_id=20180773","ICTVonline=20180773")</f>
        <v>ICTVonline=20180773</v>
      </c>
    </row>
    <row r="1002" spans="1:22">
      <c r="A1002" s="3">
        <v>1001</v>
      </c>
      <c r="J1002" s="1" t="s">
        <v>1338</v>
      </c>
      <c r="L1002" s="1" t="s">
        <v>903</v>
      </c>
      <c r="M1002" s="1" t="s">
        <v>3133</v>
      </c>
      <c r="N1002" s="1" t="s">
        <v>3134</v>
      </c>
      <c r="P1002" s="1" t="s">
        <v>3139</v>
      </c>
      <c r="Q1002" s="3">
        <v>0</v>
      </c>
      <c r="R1002" s="22" t="s">
        <v>2764</v>
      </c>
      <c r="S1002" s="22" t="s">
        <v>5098</v>
      </c>
      <c r="T1002" s="51">
        <v>30</v>
      </c>
      <c r="U1002" s="3" t="s">
        <v>5319</v>
      </c>
      <c r="V1002" s="41" t="str">
        <f>HYPERLINK("http://ictvonline.org/taxonomy/p/taxonomy-history?taxnode_id=20180774","ICTVonline=20180774")</f>
        <v>ICTVonline=20180774</v>
      </c>
    </row>
    <row r="1003" spans="1:22">
      <c r="A1003" s="3">
        <v>1002</v>
      </c>
      <c r="J1003" s="1" t="s">
        <v>1338</v>
      </c>
      <c r="L1003" s="1" t="s">
        <v>903</v>
      </c>
      <c r="M1003" s="1" t="s">
        <v>3133</v>
      </c>
      <c r="N1003" s="1" t="s">
        <v>3134</v>
      </c>
      <c r="P1003" s="1" t="s">
        <v>3140</v>
      </c>
      <c r="Q1003" s="3">
        <v>0</v>
      </c>
      <c r="R1003" s="22" t="s">
        <v>2764</v>
      </c>
      <c r="S1003" s="22" t="s">
        <v>5097</v>
      </c>
      <c r="T1003" s="51">
        <v>30</v>
      </c>
      <c r="U1003" s="3" t="s">
        <v>5318</v>
      </c>
      <c r="V1003" s="41" t="str">
        <f>HYPERLINK("http://ictvonline.org/taxonomy/p/taxonomy-history?taxnode_id=20180775","ICTVonline=20180775")</f>
        <v>ICTVonline=20180775</v>
      </c>
    </row>
    <row r="1004" spans="1:22">
      <c r="A1004" s="3">
        <v>1003</v>
      </c>
      <c r="J1004" s="1" t="s">
        <v>1338</v>
      </c>
      <c r="L1004" s="1" t="s">
        <v>903</v>
      </c>
      <c r="M1004" s="1" t="s">
        <v>3133</v>
      </c>
      <c r="N1004" s="1" t="s">
        <v>3134</v>
      </c>
      <c r="P1004" s="1" t="s">
        <v>3141</v>
      </c>
      <c r="Q1004" s="3">
        <v>0</v>
      </c>
      <c r="R1004" s="22" t="s">
        <v>2764</v>
      </c>
      <c r="S1004" s="22" t="s">
        <v>5097</v>
      </c>
      <c r="T1004" s="51">
        <v>30</v>
      </c>
      <c r="U1004" s="3" t="s">
        <v>5318</v>
      </c>
      <c r="V1004" s="41" t="str">
        <f>HYPERLINK("http://ictvonline.org/taxonomy/p/taxonomy-history?taxnode_id=20180776","ICTVonline=20180776")</f>
        <v>ICTVonline=20180776</v>
      </c>
    </row>
    <row r="1005" spans="1:22">
      <c r="A1005" s="3">
        <v>1004</v>
      </c>
      <c r="J1005" s="1" t="s">
        <v>1338</v>
      </c>
      <c r="L1005" s="1" t="s">
        <v>903</v>
      </c>
      <c r="M1005" s="1" t="s">
        <v>3133</v>
      </c>
      <c r="N1005" s="1" t="s">
        <v>3134</v>
      </c>
      <c r="P1005" s="1" t="s">
        <v>3142</v>
      </c>
      <c r="Q1005" s="3">
        <v>0</v>
      </c>
      <c r="R1005" s="22" t="s">
        <v>2764</v>
      </c>
      <c r="S1005" s="22" t="s">
        <v>5097</v>
      </c>
      <c r="T1005" s="51">
        <v>30</v>
      </c>
      <c r="U1005" s="3" t="s">
        <v>5318</v>
      </c>
      <c r="V1005" s="41" t="str">
        <f>HYPERLINK("http://ictvonline.org/taxonomy/p/taxonomy-history?taxnode_id=20180777","ICTVonline=20180777")</f>
        <v>ICTVonline=20180777</v>
      </c>
    </row>
    <row r="1006" spans="1:22">
      <c r="A1006" s="3">
        <v>1005</v>
      </c>
      <c r="J1006" s="1" t="s">
        <v>1338</v>
      </c>
      <c r="L1006" s="1" t="s">
        <v>903</v>
      </c>
      <c r="M1006" s="1" t="s">
        <v>3133</v>
      </c>
      <c r="N1006" s="1" t="s">
        <v>3134</v>
      </c>
      <c r="P1006" s="1" t="s">
        <v>3143</v>
      </c>
      <c r="Q1006" s="3">
        <v>0</v>
      </c>
      <c r="R1006" s="22" t="s">
        <v>2764</v>
      </c>
      <c r="S1006" s="22" t="s">
        <v>5098</v>
      </c>
      <c r="T1006" s="51">
        <v>30</v>
      </c>
      <c r="U1006" s="3" t="s">
        <v>5319</v>
      </c>
      <c r="V1006" s="41" t="str">
        <f>HYPERLINK("http://ictvonline.org/taxonomy/p/taxonomy-history?taxnode_id=20180778","ICTVonline=20180778")</f>
        <v>ICTVonline=20180778</v>
      </c>
    </row>
    <row r="1007" spans="1:22">
      <c r="A1007" s="3">
        <v>1006</v>
      </c>
      <c r="J1007" s="1" t="s">
        <v>1338</v>
      </c>
      <c r="L1007" s="1" t="s">
        <v>903</v>
      </c>
      <c r="M1007" s="1" t="s">
        <v>3133</v>
      </c>
      <c r="N1007" s="1" t="s">
        <v>3134</v>
      </c>
      <c r="P1007" s="1" t="s">
        <v>3144</v>
      </c>
      <c r="Q1007" s="3">
        <v>0</v>
      </c>
      <c r="R1007" s="22" t="s">
        <v>2764</v>
      </c>
      <c r="S1007" s="22" t="s">
        <v>5098</v>
      </c>
      <c r="T1007" s="51">
        <v>30</v>
      </c>
      <c r="U1007" s="3" t="s">
        <v>5319</v>
      </c>
      <c r="V1007" s="41" t="str">
        <f>HYPERLINK("http://ictvonline.org/taxonomy/p/taxonomy-history?taxnode_id=20180779","ICTVonline=20180779")</f>
        <v>ICTVonline=20180779</v>
      </c>
    </row>
    <row r="1008" spans="1:22">
      <c r="A1008" s="3">
        <v>1007</v>
      </c>
      <c r="J1008" s="1" t="s">
        <v>1338</v>
      </c>
      <c r="L1008" s="1" t="s">
        <v>903</v>
      </c>
      <c r="M1008" s="1" t="s">
        <v>3133</v>
      </c>
      <c r="N1008" s="1" t="s">
        <v>3145</v>
      </c>
      <c r="P1008" s="1" t="s">
        <v>3146</v>
      </c>
      <c r="Q1008" s="3">
        <v>1</v>
      </c>
      <c r="R1008" s="22" t="s">
        <v>2764</v>
      </c>
      <c r="S1008" s="22" t="s">
        <v>5097</v>
      </c>
      <c r="T1008" s="51">
        <v>30</v>
      </c>
      <c r="U1008" s="3" t="s">
        <v>5318</v>
      </c>
      <c r="V1008" s="41" t="str">
        <f>HYPERLINK("http://ictvonline.org/taxonomy/p/taxonomy-history?taxnode_id=20180781","ICTVonline=20180781")</f>
        <v>ICTVonline=20180781</v>
      </c>
    </row>
    <row r="1009" spans="1:22">
      <c r="A1009" s="3">
        <v>1008</v>
      </c>
      <c r="J1009" s="1" t="s">
        <v>1338</v>
      </c>
      <c r="L1009" s="1" t="s">
        <v>903</v>
      </c>
      <c r="M1009" s="1" t="s">
        <v>3133</v>
      </c>
      <c r="N1009" s="1" t="s">
        <v>3145</v>
      </c>
      <c r="P1009" s="1" t="s">
        <v>3147</v>
      </c>
      <c r="Q1009" s="3">
        <v>0</v>
      </c>
      <c r="R1009" s="22" t="s">
        <v>2764</v>
      </c>
      <c r="S1009" s="22" t="s">
        <v>5097</v>
      </c>
      <c r="T1009" s="51">
        <v>30</v>
      </c>
      <c r="U1009" s="3" t="s">
        <v>5318</v>
      </c>
      <c r="V1009" s="41" t="str">
        <f>HYPERLINK("http://ictvonline.org/taxonomy/p/taxonomy-history?taxnode_id=20180782","ICTVonline=20180782")</f>
        <v>ICTVonline=20180782</v>
      </c>
    </row>
    <row r="1010" spans="1:22">
      <c r="A1010" s="3">
        <v>1009</v>
      </c>
      <c r="J1010" s="1" t="s">
        <v>1338</v>
      </c>
      <c r="L1010" s="1" t="s">
        <v>903</v>
      </c>
      <c r="M1010" s="1" t="s">
        <v>3133</v>
      </c>
      <c r="N1010" s="1" t="s">
        <v>3145</v>
      </c>
      <c r="P1010" s="1" t="s">
        <v>3148</v>
      </c>
      <c r="Q1010" s="3">
        <v>0</v>
      </c>
      <c r="R1010" s="22" t="s">
        <v>2764</v>
      </c>
      <c r="S1010" s="22" t="s">
        <v>5097</v>
      </c>
      <c r="T1010" s="51">
        <v>30</v>
      </c>
      <c r="U1010" s="3" t="s">
        <v>5318</v>
      </c>
      <c r="V1010" s="41" t="str">
        <f>HYPERLINK("http://ictvonline.org/taxonomy/p/taxonomy-history?taxnode_id=20180783","ICTVonline=20180783")</f>
        <v>ICTVonline=20180783</v>
      </c>
    </row>
    <row r="1011" spans="1:22">
      <c r="A1011" s="3">
        <v>1010</v>
      </c>
      <c r="J1011" s="1" t="s">
        <v>1338</v>
      </c>
      <c r="L1011" s="1" t="s">
        <v>903</v>
      </c>
      <c r="M1011" s="1" t="s">
        <v>3133</v>
      </c>
      <c r="N1011" s="1" t="s">
        <v>3145</v>
      </c>
      <c r="P1011" s="1" t="s">
        <v>3149</v>
      </c>
      <c r="Q1011" s="3">
        <v>0</v>
      </c>
      <c r="R1011" s="22" t="s">
        <v>2764</v>
      </c>
      <c r="S1011" s="22" t="s">
        <v>5097</v>
      </c>
      <c r="T1011" s="51">
        <v>30</v>
      </c>
      <c r="U1011" s="3" t="s">
        <v>5318</v>
      </c>
      <c r="V1011" s="41" t="str">
        <f>HYPERLINK("http://ictvonline.org/taxonomy/p/taxonomy-history?taxnode_id=20180784","ICTVonline=20180784")</f>
        <v>ICTVonline=20180784</v>
      </c>
    </row>
    <row r="1012" spans="1:22">
      <c r="A1012" s="3">
        <v>1011</v>
      </c>
      <c r="J1012" s="1" t="s">
        <v>1338</v>
      </c>
      <c r="L1012" s="1" t="s">
        <v>903</v>
      </c>
      <c r="M1012" s="1" t="s">
        <v>3133</v>
      </c>
      <c r="N1012" s="1" t="s">
        <v>3150</v>
      </c>
      <c r="P1012" s="1" t="s">
        <v>3151</v>
      </c>
      <c r="Q1012" s="3">
        <v>1</v>
      </c>
      <c r="R1012" s="22" t="s">
        <v>2764</v>
      </c>
      <c r="S1012" s="22" t="s">
        <v>5097</v>
      </c>
      <c r="T1012" s="51">
        <v>30</v>
      </c>
      <c r="U1012" s="3" t="s">
        <v>5318</v>
      </c>
      <c r="V1012" s="41" t="str">
        <f>HYPERLINK("http://ictvonline.org/taxonomy/p/taxonomy-history?taxnode_id=20180786","ICTVonline=20180786")</f>
        <v>ICTVonline=20180786</v>
      </c>
    </row>
    <row r="1013" spans="1:22">
      <c r="A1013" s="3">
        <v>1012</v>
      </c>
      <c r="J1013" s="1" t="s">
        <v>1338</v>
      </c>
      <c r="L1013" s="1" t="s">
        <v>903</v>
      </c>
      <c r="M1013" s="1" t="s">
        <v>5320</v>
      </c>
      <c r="N1013" s="1" t="s">
        <v>5321</v>
      </c>
      <c r="P1013" s="1" t="s">
        <v>5322</v>
      </c>
      <c r="Q1013" s="3">
        <v>1</v>
      </c>
      <c r="R1013" s="22" t="s">
        <v>2764</v>
      </c>
      <c r="S1013" s="22" t="s">
        <v>5097</v>
      </c>
      <c r="T1013" s="51">
        <v>32</v>
      </c>
      <c r="U1013" s="3" t="s">
        <v>5323</v>
      </c>
      <c r="V1013" s="41" t="str">
        <f>HYPERLINK("http://ictvonline.org/taxonomy/p/taxonomy-history?taxnode_id=20185513","ICTVonline=20185513")</f>
        <v>ICTVonline=20185513</v>
      </c>
    </row>
    <row r="1014" spans="1:22">
      <c r="A1014" s="3">
        <v>1013</v>
      </c>
      <c r="J1014" s="1" t="s">
        <v>1338</v>
      </c>
      <c r="L1014" s="1" t="s">
        <v>903</v>
      </c>
      <c r="M1014" s="1" t="s">
        <v>5320</v>
      </c>
      <c r="N1014" s="1" t="s">
        <v>5321</v>
      </c>
      <c r="P1014" s="1" t="s">
        <v>5324</v>
      </c>
      <c r="Q1014" s="3">
        <v>0</v>
      </c>
      <c r="R1014" s="22" t="s">
        <v>2764</v>
      </c>
      <c r="S1014" s="22" t="s">
        <v>5097</v>
      </c>
      <c r="T1014" s="51">
        <v>32</v>
      </c>
      <c r="U1014" s="3" t="s">
        <v>5323</v>
      </c>
      <c r="V1014" s="41" t="str">
        <f>HYPERLINK("http://ictvonline.org/taxonomy/p/taxonomy-history?taxnode_id=20185514","ICTVonline=20185514")</f>
        <v>ICTVonline=20185514</v>
      </c>
    </row>
    <row r="1015" spans="1:22">
      <c r="A1015" s="3">
        <v>1014</v>
      </c>
      <c r="J1015" s="1" t="s">
        <v>1338</v>
      </c>
      <c r="L1015" s="1" t="s">
        <v>903</v>
      </c>
      <c r="M1015" s="1" t="s">
        <v>5320</v>
      </c>
      <c r="N1015" s="1" t="s">
        <v>5321</v>
      </c>
      <c r="P1015" s="1" t="s">
        <v>5325</v>
      </c>
      <c r="Q1015" s="3">
        <v>0</v>
      </c>
      <c r="R1015" s="22" t="s">
        <v>2764</v>
      </c>
      <c r="S1015" s="22" t="s">
        <v>5097</v>
      </c>
      <c r="T1015" s="51">
        <v>32</v>
      </c>
      <c r="U1015" s="3" t="s">
        <v>5323</v>
      </c>
      <c r="V1015" s="41" t="str">
        <f>HYPERLINK("http://ictvonline.org/taxonomy/p/taxonomy-history?taxnode_id=20185515","ICTVonline=20185515")</f>
        <v>ICTVonline=20185515</v>
      </c>
    </row>
    <row r="1016" spans="1:22">
      <c r="A1016" s="3">
        <v>1015</v>
      </c>
      <c r="J1016" s="1" t="s">
        <v>1338</v>
      </c>
      <c r="L1016" s="1" t="s">
        <v>903</v>
      </c>
      <c r="M1016" s="1" t="s">
        <v>5320</v>
      </c>
      <c r="N1016" s="1" t="s">
        <v>5321</v>
      </c>
      <c r="P1016" s="1" t="s">
        <v>5326</v>
      </c>
      <c r="Q1016" s="3">
        <v>0</v>
      </c>
      <c r="R1016" s="22" t="s">
        <v>2764</v>
      </c>
      <c r="S1016" s="22" t="s">
        <v>5097</v>
      </c>
      <c r="T1016" s="51">
        <v>32</v>
      </c>
      <c r="U1016" s="3" t="s">
        <v>5323</v>
      </c>
      <c r="V1016" s="41" t="str">
        <f>HYPERLINK("http://ictvonline.org/taxonomy/p/taxonomy-history?taxnode_id=20185516","ICTVonline=20185516")</f>
        <v>ICTVonline=20185516</v>
      </c>
    </row>
    <row r="1017" spans="1:22">
      <c r="A1017" s="3">
        <v>1016</v>
      </c>
      <c r="J1017" s="1" t="s">
        <v>1338</v>
      </c>
      <c r="L1017" s="1" t="s">
        <v>903</v>
      </c>
      <c r="M1017" s="1" t="s">
        <v>5320</v>
      </c>
      <c r="N1017" s="1" t="s">
        <v>5321</v>
      </c>
      <c r="P1017" s="1" t="s">
        <v>5327</v>
      </c>
      <c r="Q1017" s="3">
        <v>0</v>
      </c>
      <c r="R1017" s="22" t="s">
        <v>2764</v>
      </c>
      <c r="S1017" s="22" t="s">
        <v>5097</v>
      </c>
      <c r="T1017" s="51">
        <v>32</v>
      </c>
      <c r="U1017" s="3" t="s">
        <v>5323</v>
      </c>
      <c r="V1017" s="41" t="str">
        <f>HYPERLINK("http://ictvonline.org/taxonomy/p/taxonomy-history?taxnode_id=20185517","ICTVonline=20185517")</f>
        <v>ICTVonline=20185517</v>
      </c>
    </row>
    <row r="1018" spans="1:22">
      <c r="A1018" s="3">
        <v>1017</v>
      </c>
      <c r="J1018" s="1" t="s">
        <v>1338</v>
      </c>
      <c r="L1018" s="1" t="s">
        <v>903</v>
      </c>
      <c r="M1018" s="1" t="s">
        <v>5320</v>
      </c>
      <c r="N1018" s="1" t="s">
        <v>5321</v>
      </c>
      <c r="P1018" s="1" t="s">
        <v>5328</v>
      </c>
      <c r="Q1018" s="3">
        <v>0</v>
      </c>
      <c r="R1018" s="22" t="s">
        <v>2764</v>
      </c>
      <c r="S1018" s="22" t="s">
        <v>5097</v>
      </c>
      <c r="T1018" s="51">
        <v>32</v>
      </c>
      <c r="U1018" s="3" t="s">
        <v>5323</v>
      </c>
      <c r="V1018" s="41" t="str">
        <f>HYPERLINK("http://ictvonline.org/taxonomy/p/taxonomy-history?taxnode_id=20185518","ICTVonline=20185518")</f>
        <v>ICTVonline=20185518</v>
      </c>
    </row>
    <row r="1019" spans="1:22">
      <c r="A1019" s="3">
        <v>1018</v>
      </c>
      <c r="J1019" s="1" t="s">
        <v>1338</v>
      </c>
      <c r="L1019" s="1" t="s">
        <v>903</v>
      </c>
      <c r="M1019" s="1" t="s">
        <v>5320</v>
      </c>
      <c r="N1019" s="1" t="s">
        <v>5329</v>
      </c>
      <c r="P1019" s="1" t="s">
        <v>5330</v>
      </c>
      <c r="Q1019" s="3">
        <v>1</v>
      </c>
      <c r="R1019" s="22" t="s">
        <v>2764</v>
      </c>
      <c r="S1019" s="22" t="s">
        <v>5097</v>
      </c>
      <c r="T1019" s="51">
        <v>32</v>
      </c>
      <c r="U1019" s="3" t="s">
        <v>5323</v>
      </c>
      <c r="V1019" s="41" t="str">
        <f>HYPERLINK("http://ictvonline.org/taxonomy/p/taxonomy-history?taxnode_id=20185520","ICTVonline=20185520")</f>
        <v>ICTVonline=20185520</v>
      </c>
    </row>
    <row r="1020" spans="1:22">
      <c r="A1020" s="3">
        <v>1019</v>
      </c>
      <c r="J1020" s="1" t="s">
        <v>1338</v>
      </c>
      <c r="L1020" s="1" t="s">
        <v>903</v>
      </c>
      <c r="M1020" s="1" t="s">
        <v>5320</v>
      </c>
      <c r="N1020" s="1" t="s">
        <v>5329</v>
      </c>
      <c r="P1020" s="1" t="s">
        <v>5331</v>
      </c>
      <c r="Q1020" s="3">
        <v>0</v>
      </c>
      <c r="R1020" s="22" t="s">
        <v>2764</v>
      </c>
      <c r="S1020" s="22" t="s">
        <v>5097</v>
      </c>
      <c r="T1020" s="51">
        <v>32</v>
      </c>
      <c r="U1020" s="3" t="s">
        <v>5323</v>
      </c>
      <c r="V1020" s="41" t="str">
        <f>HYPERLINK("http://ictvonline.org/taxonomy/p/taxonomy-history?taxnode_id=20185523","ICTVonline=20185523")</f>
        <v>ICTVonline=20185523</v>
      </c>
    </row>
    <row r="1021" spans="1:22">
      <c r="A1021" s="3">
        <v>1020</v>
      </c>
      <c r="J1021" s="1" t="s">
        <v>1338</v>
      </c>
      <c r="L1021" s="1" t="s">
        <v>903</v>
      </c>
      <c r="M1021" s="1" t="s">
        <v>5320</v>
      </c>
      <c r="N1021" s="1" t="s">
        <v>5329</v>
      </c>
      <c r="P1021" s="1" t="s">
        <v>5332</v>
      </c>
      <c r="Q1021" s="3">
        <v>0</v>
      </c>
      <c r="R1021" s="22" t="s">
        <v>2764</v>
      </c>
      <c r="S1021" s="22" t="s">
        <v>5097</v>
      </c>
      <c r="T1021" s="51">
        <v>32</v>
      </c>
      <c r="U1021" s="3" t="s">
        <v>5323</v>
      </c>
      <c r="V1021" s="41" t="str">
        <f>HYPERLINK("http://ictvonline.org/taxonomy/p/taxonomy-history?taxnode_id=20185524","ICTVonline=20185524")</f>
        <v>ICTVonline=20185524</v>
      </c>
    </row>
    <row r="1022" spans="1:22">
      <c r="A1022" s="3">
        <v>1021</v>
      </c>
      <c r="J1022" s="1" t="s">
        <v>1338</v>
      </c>
      <c r="L1022" s="1" t="s">
        <v>903</v>
      </c>
      <c r="M1022" s="1" t="s">
        <v>5320</v>
      </c>
      <c r="N1022" s="1" t="s">
        <v>5329</v>
      </c>
      <c r="P1022" s="1" t="s">
        <v>5333</v>
      </c>
      <c r="Q1022" s="3">
        <v>0</v>
      </c>
      <c r="R1022" s="22" t="s">
        <v>2764</v>
      </c>
      <c r="S1022" s="22" t="s">
        <v>5097</v>
      </c>
      <c r="T1022" s="51">
        <v>32</v>
      </c>
      <c r="U1022" s="3" t="s">
        <v>5323</v>
      </c>
      <c r="V1022" s="41" t="str">
        <f>HYPERLINK("http://ictvonline.org/taxonomy/p/taxonomy-history?taxnode_id=20185521","ICTVonline=20185521")</f>
        <v>ICTVonline=20185521</v>
      </c>
    </row>
    <row r="1023" spans="1:22">
      <c r="A1023" s="3">
        <v>1022</v>
      </c>
      <c r="J1023" s="1" t="s">
        <v>1338</v>
      </c>
      <c r="L1023" s="1" t="s">
        <v>903</v>
      </c>
      <c r="M1023" s="1" t="s">
        <v>5320</v>
      </c>
      <c r="N1023" s="1" t="s">
        <v>5329</v>
      </c>
      <c r="P1023" s="1" t="s">
        <v>5334</v>
      </c>
      <c r="Q1023" s="3">
        <v>0</v>
      </c>
      <c r="R1023" s="22" t="s">
        <v>2764</v>
      </c>
      <c r="S1023" s="22" t="s">
        <v>5097</v>
      </c>
      <c r="T1023" s="51">
        <v>32</v>
      </c>
      <c r="U1023" s="3" t="s">
        <v>5323</v>
      </c>
      <c r="V1023" s="41" t="str">
        <f>HYPERLINK("http://ictvonline.org/taxonomy/p/taxonomy-history?taxnode_id=20185522","ICTVonline=20185522")</f>
        <v>ICTVonline=20185522</v>
      </c>
    </row>
    <row r="1024" spans="1:22">
      <c r="A1024" s="3">
        <v>1023</v>
      </c>
      <c r="J1024" s="1" t="s">
        <v>1338</v>
      </c>
      <c r="L1024" s="1" t="s">
        <v>903</v>
      </c>
      <c r="M1024" s="1" t="s">
        <v>5320</v>
      </c>
      <c r="N1024" s="1" t="s">
        <v>5329</v>
      </c>
      <c r="P1024" s="1" t="s">
        <v>5335</v>
      </c>
      <c r="Q1024" s="3">
        <v>0</v>
      </c>
      <c r="R1024" s="22" t="s">
        <v>2764</v>
      </c>
      <c r="S1024" s="22" t="s">
        <v>5097</v>
      </c>
      <c r="T1024" s="51">
        <v>32</v>
      </c>
      <c r="U1024" s="3" t="s">
        <v>5323</v>
      </c>
      <c r="V1024" s="41" t="str">
        <f>HYPERLINK("http://ictvonline.org/taxonomy/p/taxonomy-history?taxnode_id=20185525","ICTVonline=20185525")</f>
        <v>ICTVonline=20185525</v>
      </c>
    </row>
    <row r="1025" spans="1:22">
      <c r="A1025" s="3">
        <v>1024</v>
      </c>
      <c r="J1025" s="1" t="s">
        <v>1338</v>
      </c>
      <c r="L1025" s="1" t="s">
        <v>903</v>
      </c>
      <c r="M1025" s="1" t="s">
        <v>4242</v>
      </c>
      <c r="N1025" s="1" t="s">
        <v>4243</v>
      </c>
      <c r="P1025" s="1" t="s">
        <v>3461</v>
      </c>
      <c r="Q1025" s="3">
        <v>1</v>
      </c>
      <c r="R1025" s="22" t="s">
        <v>2764</v>
      </c>
      <c r="S1025" s="22" t="s">
        <v>5099</v>
      </c>
      <c r="T1025" s="51">
        <v>31</v>
      </c>
      <c r="U1025" s="3" t="s">
        <v>5336</v>
      </c>
      <c r="V1025" s="41" t="str">
        <f>HYPERLINK("http://ictvonline.org/taxonomy/p/taxonomy-history?taxnode_id=20180789","ICTVonline=20180789")</f>
        <v>ICTVonline=20180789</v>
      </c>
    </row>
    <row r="1026" spans="1:22">
      <c r="A1026" s="3">
        <v>1025</v>
      </c>
      <c r="J1026" s="1" t="s">
        <v>1338</v>
      </c>
      <c r="L1026" s="1" t="s">
        <v>903</v>
      </c>
      <c r="M1026" s="1" t="s">
        <v>4242</v>
      </c>
      <c r="N1026" s="1" t="s">
        <v>3460</v>
      </c>
      <c r="P1026" s="1" t="s">
        <v>3462</v>
      </c>
      <c r="Q1026" s="3">
        <v>1</v>
      </c>
      <c r="R1026" s="22" t="s">
        <v>2764</v>
      </c>
      <c r="S1026" s="22" t="s">
        <v>5099</v>
      </c>
      <c r="T1026" s="51">
        <v>31</v>
      </c>
      <c r="U1026" s="3" t="s">
        <v>5336</v>
      </c>
      <c r="V1026" s="41" t="str">
        <f>HYPERLINK("http://ictvonline.org/taxonomy/p/taxonomy-history?taxnode_id=20180791","ICTVonline=20180791")</f>
        <v>ICTVonline=20180791</v>
      </c>
    </row>
    <row r="1027" spans="1:22">
      <c r="A1027" s="3">
        <v>1026</v>
      </c>
      <c r="J1027" s="1" t="s">
        <v>1338</v>
      </c>
      <c r="L1027" s="1" t="s">
        <v>903</v>
      </c>
      <c r="M1027" s="1" t="s">
        <v>5337</v>
      </c>
      <c r="N1027" s="1" t="s">
        <v>5338</v>
      </c>
      <c r="P1027" s="1" t="s">
        <v>5339</v>
      </c>
      <c r="Q1027" s="3">
        <v>1</v>
      </c>
      <c r="R1027" s="22" t="s">
        <v>2764</v>
      </c>
      <c r="S1027" s="22" t="s">
        <v>5097</v>
      </c>
      <c r="T1027" s="51">
        <v>32</v>
      </c>
      <c r="U1027" s="3" t="s">
        <v>5340</v>
      </c>
      <c r="V1027" s="41" t="str">
        <f>HYPERLINK("http://ictvonline.org/taxonomy/p/taxonomy-history?taxnode_id=20185528","ICTVonline=20185528")</f>
        <v>ICTVonline=20185528</v>
      </c>
    </row>
    <row r="1028" spans="1:22">
      <c r="A1028" s="3">
        <v>1027</v>
      </c>
      <c r="J1028" s="1" t="s">
        <v>1338</v>
      </c>
      <c r="L1028" s="1" t="s">
        <v>903</v>
      </c>
      <c r="M1028" s="1" t="s">
        <v>5337</v>
      </c>
      <c r="N1028" s="1" t="s">
        <v>5338</v>
      </c>
      <c r="P1028" s="1" t="s">
        <v>5341</v>
      </c>
      <c r="Q1028" s="3">
        <v>0</v>
      </c>
      <c r="R1028" s="22" t="s">
        <v>2764</v>
      </c>
      <c r="S1028" s="22" t="s">
        <v>5097</v>
      </c>
      <c r="T1028" s="51">
        <v>32</v>
      </c>
      <c r="U1028" s="3" t="s">
        <v>5340</v>
      </c>
      <c r="V1028" s="41" t="str">
        <f>HYPERLINK("http://ictvonline.org/taxonomy/p/taxonomy-history?taxnode_id=20185529","ICTVonline=20185529")</f>
        <v>ICTVonline=20185529</v>
      </c>
    </row>
    <row r="1029" spans="1:22">
      <c r="A1029" s="3">
        <v>1028</v>
      </c>
      <c r="J1029" s="1" t="s">
        <v>1338</v>
      </c>
      <c r="L1029" s="1" t="s">
        <v>903</v>
      </c>
      <c r="M1029" s="1" t="s">
        <v>5337</v>
      </c>
      <c r="N1029" s="1" t="s">
        <v>3220</v>
      </c>
      <c r="P1029" s="1" t="s">
        <v>3221</v>
      </c>
      <c r="Q1029" s="3">
        <v>1</v>
      </c>
      <c r="R1029" s="22" t="s">
        <v>2764</v>
      </c>
      <c r="S1029" s="22" t="s">
        <v>5099</v>
      </c>
      <c r="T1029" s="51">
        <v>32</v>
      </c>
      <c r="U1029" s="3" t="s">
        <v>5340</v>
      </c>
      <c r="V1029" s="41" t="str">
        <f>HYPERLINK("http://ictvonline.org/taxonomy/p/taxonomy-history?taxnode_id=20180888","ICTVonline=20180888")</f>
        <v>ICTVonline=20180888</v>
      </c>
    </row>
    <row r="1030" spans="1:22">
      <c r="A1030" s="3">
        <v>1029</v>
      </c>
      <c r="J1030" s="1" t="s">
        <v>1338</v>
      </c>
      <c r="L1030" s="1" t="s">
        <v>903</v>
      </c>
      <c r="M1030" s="1" t="s">
        <v>5337</v>
      </c>
      <c r="N1030" s="1" t="s">
        <v>3220</v>
      </c>
      <c r="P1030" s="1" t="s">
        <v>5342</v>
      </c>
      <c r="Q1030" s="3">
        <v>0</v>
      </c>
      <c r="R1030" s="22" t="s">
        <v>2764</v>
      </c>
      <c r="S1030" s="22" t="s">
        <v>5097</v>
      </c>
      <c r="T1030" s="51">
        <v>32</v>
      </c>
      <c r="U1030" s="3" t="s">
        <v>5340</v>
      </c>
      <c r="V1030" s="41" t="str">
        <f>HYPERLINK("http://ictvonline.org/taxonomy/p/taxonomy-history?taxnode_id=20185531","ICTVonline=20185531")</f>
        <v>ICTVonline=20185531</v>
      </c>
    </row>
    <row r="1031" spans="1:22">
      <c r="A1031" s="3">
        <v>1030</v>
      </c>
      <c r="J1031" s="1" t="s">
        <v>1338</v>
      </c>
      <c r="L1031" s="1" t="s">
        <v>903</v>
      </c>
      <c r="M1031" s="1" t="s">
        <v>5337</v>
      </c>
      <c r="N1031" s="1" t="s">
        <v>3220</v>
      </c>
      <c r="P1031" s="1" t="s">
        <v>5343</v>
      </c>
      <c r="Q1031" s="3">
        <v>0</v>
      </c>
      <c r="R1031" s="22" t="s">
        <v>2764</v>
      </c>
      <c r="S1031" s="22" t="s">
        <v>5097</v>
      </c>
      <c r="T1031" s="51">
        <v>32</v>
      </c>
      <c r="U1031" s="3" t="s">
        <v>5340</v>
      </c>
      <c r="V1031" s="41" t="str">
        <f>HYPERLINK("http://ictvonline.org/taxonomy/p/taxonomy-history?taxnode_id=20185532","ICTVonline=20185532")</f>
        <v>ICTVonline=20185532</v>
      </c>
    </row>
    <row r="1032" spans="1:22">
      <c r="A1032" s="3">
        <v>1031</v>
      </c>
      <c r="J1032" s="1" t="s">
        <v>1338</v>
      </c>
      <c r="L1032" s="1" t="s">
        <v>903</v>
      </c>
      <c r="M1032" s="1" t="s">
        <v>5337</v>
      </c>
      <c r="N1032" s="1" t="s">
        <v>5344</v>
      </c>
      <c r="P1032" s="1" t="s">
        <v>5345</v>
      </c>
      <c r="Q1032" s="3">
        <v>0</v>
      </c>
      <c r="R1032" s="22" t="s">
        <v>2764</v>
      </c>
      <c r="S1032" s="22" t="s">
        <v>5097</v>
      </c>
      <c r="T1032" s="51">
        <v>32</v>
      </c>
      <c r="U1032" s="3" t="s">
        <v>5340</v>
      </c>
      <c r="V1032" s="41" t="str">
        <f>HYPERLINK("http://ictvonline.org/taxonomy/p/taxonomy-history?taxnode_id=20185533","ICTVonline=20185533")</f>
        <v>ICTVonline=20185533</v>
      </c>
    </row>
    <row r="1033" spans="1:22">
      <c r="A1033" s="3">
        <v>1032</v>
      </c>
      <c r="J1033" s="1" t="s">
        <v>1338</v>
      </c>
      <c r="L1033" s="1" t="s">
        <v>903</v>
      </c>
      <c r="M1033" s="1" t="s">
        <v>5337</v>
      </c>
      <c r="N1033" s="1" t="s">
        <v>5344</v>
      </c>
      <c r="P1033" s="1" t="s">
        <v>5346</v>
      </c>
      <c r="Q1033" s="3">
        <v>0</v>
      </c>
      <c r="R1033" s="22" t="s">
        <v>2764</v>
      </c>
      <c r="S1033" s="22" t="s">
        <v>5097</v>
      </c>
      <c r="T1033" s="51">
        <v>32</v>
      </c>
      <c r="U1033" s="3" t="s">
        <v>5340</v>
      </c>
      <c r="V1033" s="41" t="str">
        <f>HYPERLINK("http://ictvonline.org/taxonomy/p/taxonomy-history?taxnode_id=20185534","ICTVonline=20185534")</f>
        <v>ICTVonline=20185534</v>
      </c>
    </row>
    <row r="1034" spans="1:22">
      <c r="A1034" s="3">
        <v>1033</v>
      </c>
      <c r="J1034" s="1" t="s">
        <v>1338</v>
      </c>
      <c r="L1034" s="1" t="s">
        <v>903</v>
      </c>
      <c r="M1034" s="1" t="s">
        <v>5337</v>
      </c>
      <c r="N1034" s="1" t="s">
        <v>5344</v>
      </c>
      <c r="P1034" s="1" t="s">
        <v>3222</v>
      </c>
      <c r="Q1034" s="3">
        <v>1</v>
      </c>
      <c r="R1034" s="22" t="s">
        <v>2764</v>
      </c>
      <c r="S1034" s="22" t="s">
        <v>5099</v>
      </c>
      <c r="T1034" s="51">
        <v>32</v>
      </c>
      <c r="U1034" s="3" t="s">
        <v>5340</v>
      </c>
      <c r="V1034" s="41" t="str">
        <f>HYPERLINK("http://ictvonline.org/taxonomy/p/taxonomy-history?taxnode_id=20180889","ICTVonline=20180889")</f>
        <v>ICTVonline=20180889</v>
      </c>
    </row>
    <row r="1035" spans="1:22">
      <c r="A1035" s="3">
        <v>1034</v>
      </c>
      <c r="J1035" s="1" t="s">
        <v>1338</v>
      </c>
      <c r="L1035" s="1" t="s">
        <v>903</v>
      </c>
      <c r="M1035" s="1" t="s">
        <v>5337</v>
      </c>
      <c r="N1035" s="1" t="s">
        <v>5344</v>
      </c>
      <c r="P1035" s="1" t="s">
        <v>5347</v>
      </c>
      <c r="Q1035" s="3">
        <v>0</v>
      </c>
      <c r="R1035" s="22" t="s">
        <v>2764</v>
      </c>
      <c r="S1035" s="22" t="s">
        <v>5097</v>
      </c>
      <c r="T1035" s="51">
        <v>32</v>
      </c>
      <c r="U1035" s="3" t="s">
        <v>5340</v>
      </c>
      <c r="V1035" s="41" t="str">
        <f>HYPERLINK("http://ictvonline.org/taxonomy/p/taxonomy-history?taxnode_id=20185535","ICTVonline=20185535")</f>
        <v>ICTVonline=20185535</v>
      </c>
    </row>
    <row r="1036" spans="1:22">
      <c r="A1036" s="3">
        <v>1035</v>
      </c>
      <c r="J1036" s="1" t="s">
        <v>1338</v>
      </c>
      <c r="L1036" s="1" t="s">
        <v>903</v>
      </c>
      <c r="M1036" s="1" t="s">
        <v>5348</v>
      </c>
      <c r="N1036" s="1" t="s">
        <v>5349</v>
      </c>
      <c r="P1036" s="1" t="s">
        <v>5350</v>
      </c>
      <c r="Q1036" s="3">
        <v>1</v>
      </c>
      <c r="R1036" s="22" t="s">
        <v>2764</v>
      </c>
      <c r="S1036" s="22" t="s">
        <v>5097</v>
      </c>
      <c r="T1036" s="51">
        <v>32</v>
      </c>
      <c r="U1036" s="3" t="s">
        <v>5351</v>
      </c>
      <c r="V1036" s="41" t="str">
        <f>HYPERLINK("http://ictvonline.org/taxonomy/p/taxonomy-history?taxnode_id=20185498","ICTVonline=20185498")</f>
        <v>ICTVonline=20185498</v>
      </c>
    </row>
    <row r="1037" spans="1:22">
      <c r="A1037" s="3">
        <v>1036</v>
      </c>
      <c r="J1037" s="1" t="s">
        <v>1338</v>
      </c>
      <c r="L1037" s="1" t="s">
        <v>903</v>
      </c>
      <c r="M1037" s="1" t="s">
        <v>5348</v>
      </c>
      <c r="N1037" s="1" t="s">
        <v>5349</v>
      </c>
      <c r="P1037" s="1" t="s">
        <v>5352</v>
      </c>
      <c r="Q1037" s="3">
        <v>0</v>
      </c>
      <c r="R1037" s="22" t="s">
        <v>2764</v>
      </c>
      <c r="S1037" s="22" t="s">
        <v>5097</v>
      </c>
      <c r="T1037" s="51">
        <v>32</v>
      </c>
      <c r="U1037" s="3" t="s">
        <v>5351</v>
      </c>
      <c r="V1037" s="41" t="str">
        <f>HYPERLINK("http://ictvonline.org/taxonomy/p/taxonomy-history?taxnode_id=20185499","ICTVonline=20185499")</f>
        <v>ICTVonline=20185499</v>
      </c>
    </row>
    <row r="1038" spans="1:22">
      <c r="A1038" s="3">
        <v>1037</v>
      </c>
      <c r="J1038" s="1" t="s">
        <v>1338</v>
      </c>
      <c r="L1038" s="1" t="s">
        <v>903</v>
      </c>
      <c r="M1038" s="1" t="s">
        <v>5348</v>
      </c>
      <c r="N1038" s="1" t="s">
        <v>5353</v>
      </c>
      <c r="P1038" s="1" t="s">
        <v>5354</v>
      </c>
      <c r="Q1038" s="3">
        <v>0</v>
      </c>
      <c r="R1038" s="22" t="s">
        <v>2764</v>
      </c>
      <c r="S1038" s="22" t="s">
        <v>5097</v>
      </c>
      <c r="T1038" s="51">
        <v>32</v>
      </c>
      <c r="U1038" s="3" t="s">
        <v>5351</v>
      </c>
      <c r="V1038" s="41" t="str">
        <f>HYPERLINK("http://ictvonline.org/taxonomy/p/taxonomy-history?taxnode_id=20185501","ICTVonline=20185501")</f>
        <v>ICTVonline=20185501</v>
      </c>
    </row>
    <row r="1039" spans="1:22">
      <c r="A1039" s="3">
        <v>1038</v>
      </c>
      <c r="J1039" s="1" t="s">
        <v>1338</v>
      </c>
      <c r="L1039" s="1" t="s">
        <v>903</v>
      </c>
      <c r="M1039" s="1" t="s">
        <v>5348</v>
      </c>
      <c r="N1039" s="1" t="s">
        <v>5353</v>
      </c>
      <c r="P1039" s="1" t="s">
        <v>5355</v>
      </c>
      <c r="Q1039" s="3">
        <v>0</v>
      </c>
      <c r="R1039" s="22" t="s">
        <v>2764</v>
      </c>
      <c r="S1039" s="22" t="s">
        <v>5097</v>
      </c>
      <c r="T1039" s="51">
        <v>32</v>
      </c>
      <c r="U1039" s="3" t="s">
        <v>5351</v>
      </c>
      <c r="V1039" s="41" t="str">
        <f>HYPERLINK("http://ictvonline.org/taxonomy/p/taxonomy-history?taxnode_id=20185502","ICTVonline=20185502")</f>
        <v>ICTVonline=20185502</v>
      </c>
    </row>
    <row r="1040" spans="1:22">
      <c r="A1040" s="3">
        <v>1039</v>
      </c>
      <c r="J1040" s="1" t="s">
        <v>1338</v>
      </c>
      <c r="L1040" s="1" t="s">
        <v>903</v>
      </c>
      <c r="M1040" s="1" t="s">
        <v>5348</v>
      </c>
      <c r="N1040" s="1" t="s">
        <v>5353</v>
      </c>
      <c r="P1040" s="1" t="s">
        <v>5356</v>
      </c>
      <c r="Q1040" s="3">
        <v>1</v>
      </c>
      <c r="R1040" s="22" t="s">
        <v>2764</v>
      </c>
      <c r="S1040" s="22" t="s">
        <v>5097</v>
      </c>
      <c r="T1040" s="51">
        <v>32</v>
      </c>
      <c r="U1040" s="3" t="s">
        <v>5351</v>
      </c>
      <c r="V1040" s="41" t="str">
        <f>HYPERLINK("http://ictvonline.org/taxonomy/p/taxonomy-history?taxnode_id=20185503","ICTVonline=20185503")</f>
        <v>ICTVonline=20185503</v>
      </c>
    </row>
    <row r="1041" spans="1:22">
      <c r="A1041" s="3">
        <v>1040</v>
      </c>
      <c r="J1041" s="1" t="s">
        <v>1338</v>
      </c>
      <c r="L1041" s="1" t="s">
        <v>903</v>
      </c>
      <c r="M1041" s="1" t="s">
        <v>4244</v>
      </c>
      <c r="N1041" s="1" t="s">
        <v>3193</v>
      </c>
      <c r="P1041" s="1" t="s">
        <v>3194</v>
      </c>
      <c r="Q1041" s="3">
        <v>1</v>
      </c>
      <c r="R1041" s="22" t="s">
        <v>2764</v>
      </c>
      <c r="S1041" s="22" t="s">
        <v>5099</v>
      </c>
      <c r="T1041" s="51">
        <v>31</v>
      </c>
      <c r="U1041" s="3" t="s">
        <v>5357</v>
      </c>
      <c r="V1041" s="41" t="str">
        <f>HYPERLINK("http://ictvonline.org/taxonomy/p/taxonomy-history?taxnode_id=20180794","ICTVonline=20180794")</f>
        <v>ICTVonline=20180794</v>
      </c>
    </row>
    <row r="1042" spans="1:22">
      <c r="A1042" s="3">
        <v>1041</v>
      </c>
      <c r="J1042" s="1" t="s">
        <v>1338</v>
      </c>
      <c r="L1042" s="1" t="s">
        <v>903</v>
      </c>
      <c r="M1042" s="1" t="s">
        <v>4244</v>
      </c>
      <c r="N1042" s="1" t="s">
        <v>4245</v>
      </c>
      <c r="P1042" s="1" t="s">
        <v>4484</v>
      </c>
      <c r="Q1042" s="3">
        <v>0</v>
      </c>
      <c r="R1042" s="22" t="s">
        <v>2764</v>
      </c>
      <c r="S1042" s="22" t="s">
        <v>5097</v>
      </c>
      <c r="T1042" s="51">
        <v>31</v>
      </c>
      <c r="U1042" s="3" t="s">
        <v>5357</v>
      </c>
      <c r="V1042" s="41" t="str">
        <f>HYPERLINK("http://ictvonline.org/taxonomy/p/taxonomy-history?taxnode_id=20180796","ICTVonline=20180796")</f>
        <v>ICTVonline=20180796</v>
      </c>
    </row>
    <row r="1043" spans="1:22">
      <c r="A1043" s="3">
        <v>1042</v>
      </c>
      <c r="J1043" s="1" t="s">
        <v>1338</v>
      </c>
      <c r="L1043" s="1" t="s">
        <v>903</v>
      </c>
      <c r="M1043" s="1" t="s">
        <v>4244</v>
      </c>
      <c r="N1043" s="1" t="s">
        <v>4245</v>
      </c>
      <c r="P1043" s="1" t="s">
        <v>4485</v>
      </c>
      <c r="Q1043" s="3">
        <v>0</v>
      </c>
      <c r="R1043" s="22" t="s">
        <v>2764</v>
      </c>
      <c r="S1043" s="22" t="s">
        <v>5097</v>
      </c>
      <c r="T1043" s="51">
        <v>31</v>
      </c>
      <c r="U1043" s="3" t="s">
        <v>5357</v>
      </c>
      <c r="V1043" s="41" t="str">
        <f>HYPERLINK("http://ictvonline.org/taxonomy/p/taxonomy-history?taxnode_id=20180797","ICTVonline=20180797")</f>
        <v>ICTVonline=20180797</v>
      </c>
    </row>
    <row r="1044" spans="1:22">
      <c r="A1044" s="3">
        <v>1043</v>
      </c>
      <c r="J1044" s="1" t="s">
        <v>1338</v>
      </c>
      <c r="L1044" s="1" t="s">
        <v>903</v>
      </c>
      <c r="M1044" s="1" t="s">
        <v>4244</v>
      </c>
      <c r="N1044" s="1" t="s">
        <v>4245</v>
      </c>
      <c r="P1044" s="1" t="s">
        <v>4486</v>
      </c>
      <c r="Q1044" s="3">
        <v>1</v>
      </c>
      <c r="R1044" s="22" t="s">
        <v>2764</v>
      </c>
      <c r="S1044" s="22" t="s">
        <v>5097</v>
      </c>
      <c r="T1044" s="51">
        <v>31</v>
      </c>
      <c r="U1044" s="3" t="s">
        <v>5357</v>
      </c>
      <c r="V1044" s="41" t="str">
        <f>HYPERLINK("http://ictvonline.org/taxonomy/p/taxonomy-history?taxnode_id=20180798","ICTVonline=20180798")</f>
        <v>ICTVonline=20180798</v>
      </c>
    </row>
    <row r="1045" spans="1:22">
      <c r="A1045" s="3">
        <v>1044</v>
      </c>
      <c r="J1045" s="1" t="s">
        <v>1338</v>
      </c>
      <c r="L1045" s="1" t="s">
        <v>903</v>
      </c>
      <c r="M1045" s="1" t="s">
        <v>4244</v>
      </c>
      <c r="N1045" s="1" t="s">
        <v>4245</v>
      </c>
      <c r="P1045" s="1" t="s">
        <v>3195</v>
      </c>
      <c r="Q1045" s="3">
        <v>0</v>
      </c>
      <c r="R1045" s="22" t="s">
        <v>2764</v>
      </c>
      <c r="S1045" s="22" t="s">
        <v>5099</v>
      </c>
      <c r="T1045" s="51">
        <v>31</v>
      </c>
      <c r="U1045" s="3" t="s">
        <v>5357</v>
      </c>
      <c r="V1045" s="41" t="str">
        <f>HYPERLINK("http://ictvonline.org/taxonomy/p/taxonomy-history?taxnode_id=20180799","ICTVonline=20180799")</f>
        <v>ICTVonline=20180799</v>
      </c>
    </row>
    <row r="1046" spans="1:22">
      <c r="A1046" s="3">
        <v>1045</v>
      </c>
      <c r="J1046" s="1" t="s">
        <v>1338</v>
      </c>
      <c r="L1046" s="1" t="s">
        <v>903</v>
      </c>
      <c r="M1046" s="1" t="s">
        <v>4244</v>
      </c>
      <c r="N1046" s="1" t="s">
        <v>4245</v>
      </c>
      <c r="P1046" s="1" t="s">
        <v>4487</v>
      </c>
      <c r="Q1046" s="3">
        <v>0</v>
      </c>
      <c r="R1046" s="22" t="s">
        <v>2764</v>
      </c>
      <c r="S1046" s="22" t="s">
        <v>5097</v>
      </c>
      <c r="T1046" s="51">
        <v>31</v>
      </c>
      <c r="U1046" s="3" t="s">
        <v>5357</v>
      </c>
      <c r="V1046" s="41" t="str">
        <f>HYPERLINK("http://ictvonline.org/taxonomy/p/taxonomy-history?taxnode_id=20180800","ICTVonline=20180800")</f>
        <v>ICTVonline=20180800</v>
      </c>
    </row>
    <row r="1047" spans="1:22">
      <c r="A1047" s="3">
        <v>1046</v>
      </c>
      <c r="J1047" s="1" t="s">
        <v>1338</v>
      </c>
      <c r="L1047" s="1" t="s">
        <v>903</v>
      </c>
      <c r="M1047" s="1" t="s">
        <v>4244</v>
      </c>
      <c r="N1047" s="1" t="s">
        <v>4488</v>
      </c>
      <c r="P1047" s="1" t="s">
        <v>4489</v>
      </c>
      <c r="Q1047" s="3">
        <v>1</v>
      </c>
      <c r="R1047" s="22" t="s">
        <v>2764</v>
      </c>
      <c r="S1047" s="22" t="s">
        <v>5097</v>
      </c>
      <c r="T1047" s="51">
        <v>31</v>
      </c>
      <c r="U1047" s="3" t="s">
        <v>5357</v>
      </c>
      <c r="V1047" s="41" t="str">
        <f>HYPERLINK("http://ictvonline.org/taxonomy/p/taxonomy-history?taxnode_id=20180802","ICTVonline=20180802")</f>
        <v>ICTVonline=20180802</v>
      </c>
    </row>
    <row r="1048" spans="1:22">
      <c r="A1048" s="3">
        <v>1047</v>
      </c>
      <c r="J1048" s="1" t="s">
        <v>1338</v>
      </c>
      <c r="L1048" s="1" t="s">
        <v>903</v>
      </c>
      <c r="M1048" s="1" t="s">
        <v>3152</v>
      </c>
      <c r="N1048" s="1" t="s">
        <v>3153</v>
      </c>
      <c r="P1048" s="1" t="s">
        <v>3154</v>
      </c>
      <c r="Q1048" s="3">
        <v>0</v>
      </c>
      <c r="R1048" s="22" t="s">
        <v>2764</v>
      </c>
      <c r="S1048" s="22" t="s">
        <v>5098</v>
      </c>
      <c r="T1048" s="51">
        <v>30</v>
      </c>
      <c r="U1048" s="3" t="s">
        <v>5358</v>
      </c>
      <c r="V1048" s="41" t="str">
        <f>HYPERLINK("http://ictvonline.org/taxonomy/p/taxonomy-history?taxnode_id=20180805","ICTVonline=20180805")</f>
        <v>ICTVonline=20180805</v>
      </c>
    </row>
    <row r="1049" spans="1:22">
      <c r="A1049" s="3">
        <v>1048</v>
      </c>
      <c r="J1049" s="1" t="s">
        <v>1338</v>
      </c>
      <c r="L1049" s="1" t="s">
        <v>903</v>
      </c>
      <c r="M1049" s="1" t="s">
        <v>3152</v>
      </c>
      <c r="N1049" s="1" t="s">
        <v>3153</v>
      </c>
      <c r="P1049" s="1" t="s">
        <v>3155</v>
      </c>
      <c r="Q1049" s="3">
        <v>0</v>
      </c>
      <c r="R1049" s="22" t="s">
        <v>2764</v>
      </c>
      <c r="S1049" s="22" t="s">
        <v>5097</v>
      </c>
      <c r="T1049" s="51">
        <v>30</v>
      </c>
      <c r="U1049" s="3" t="s">
        <v>5358</v>
      </c>
      <c r="V1049" s="41" t="str">
        <f>HYPERLINK("http://ictvonline.org/taxonomy/p/taxonomy-history?taxnode_id=20180806","ICTVonline=20180806")</f>
        <v>ICTVonline=20180806</v>
      </c>
    </row>
    <row r="1050" spans="1:22">
      <c r="A1050" s="3">
        <v>1049</v>
      </c>
      <c r="J1050" s="1" t="s">
        <v>1338</v>
      </c>
      <c r="L1050" s="1" t="s">
        <v>903</v>
      </c>
      <c r="M1050" s="1" t="s">
        <v>3152</v>
      </c>
      <c r="N1050" s="1" t="s">
        <v>3153</v>
      </c>
      <c r="P1050" s="1" t="s">
        <v>4490</v>
      </c>
      <c r="Q1050" s="3">
        <v>0</v>
      </c>
      <c r="R1050" s="22" t="s">
        <v>2764</v>
      </c>
      <c r="S1050" s="22" t="s">
        <v>5097</v>
      </c>
      <c r="T1050" s="51">
        <v>31</v>
      </c>
      <c r="U1050" s="3" t="s">
        <v>5217</v>
      </c>
      <c r="V1050" s="41" t="str">
        <f>HYPERLINK("http://ictvonline.org/taxonomy/p/taxonomy-history?taxnode_id=20180807","ICTVonline=20180807")</f>
        <v>ICTVonline=20180807</v>
      </c>
    </row>
    <row r="1051" spans="1:22">
      <c r="A1051" s="3">
        <v>1050</v>
      </c>
      <c r="J1051" s="1" t="s">
        <v>1338</v>
      </c>
      <c r="L1051" s="1" t="s">
        <v>903</v>
      </c>
      <c r="M1051" s="1" t="s">
        <v>3152</v>
      </c>
      <c r="N1051" s="1" t="s">
        <v>3153</v>
      </c>
      <c r="P1051" s="1" t="s">
        <v>3156</v>
      </c>
      <c r="Q1051" s="3">
        <v>1</v>
      </c>
      <c r="R1051" s="22" t="s">
        <v>2764</v>
      </c>
      <c r="S1051" s="22" t="s">
        <v>5097</v>
      </c>
      <c r="T1051" s="51">
        <v>30</v>
      </c>
      <c r="U1051" s="3" t="s">
        <v>5358</v>
      </c>
      <c r="V1051" s="41" t="str">
        <f>HYPERLINK("http://ictvonline.org/taxonomy/p/taxonomy-history?taxnode_id=20180808","ICTVonline=20180808")</f>
        <v>ICTVonline=20180808</v>
      </c>
    </row>
    <row r="1052" spans="1:22">
      <c r="A1052" s="3">
        <v>1051</v>
      </c>
      <c r="J1052" s="1" t="s">
        <v>1338</v>
      </c>
      <c r="L1052" s="1" t="s">
        <v>903</v>
      </c>
      <c r="M1052" s="1" t="s">
        <v>3152</v>
      </c>
      <c r="N1052" s="1" t="s">
        <v>3153</v>
      </c>
      <c r="P1052" s="1" t="s">
        <v>4491</v>
      </c>
      <c r="Q1052" s="3">
        <v>0</v>
      </c>
      <c r="R1052" s="22" t="s">
        <v>2764</v>
      </c>
      <c r="S1052" s="22" t="s">
        <v>5097</v>
      </c>
      <c r="T1052" s="51">
        <v>31</v>
      </c>
      <c r="U1052" s="3" t="s">
        <v>5217</v>
      </c>
      <c r="V1052" s="41" t="str">
        <f>HYPERLINK("http://ictvonline.org/taxonomy/p/taxonomy-history?taxnode_id=20180809","ICTVonline=20180809")</f>
        <v>ICTVonline=20180809</v>
      </c>
    </row>
    <row r="1053" spans="1:22">
      <c r="A1053" s="3">
        <v>1052</v>
      </c>
      <c r="J1053" s="1" t="s">
        <v>1338</v>
      </c>
      <c r="L1053" s="1" t="s">
        <v>903</v>
      </c>
      <c r="M1053" s="1" t="s">
        <v>3152</v>
      </c>
      <c r="N1053" s="1" t="s">
        <v>3153</v>
      </c>
      <c r="P1053" s="1" t="s">
        <v>4492</v>
      </c>
      <c r="Q1053" s="3">
        <v>0</v>
      </c>
      <c r="R1053" s="22" t="s">
        <v>2764</v>
      </c>
      <c r="S1053" s="22" t="s">
        <v>5097</v>
      </c>
      <c r="T1053" s="51">
        <v>31</v>
      </c>
      <c r="U1053" s="3" t="s">
        <v>5217</v>
      </c>
      <c r="V1053" s="41" t="str">
        <f>HYPERLINK("http://ictvonline.org/taxonomy/p/taxonomy-history?taxnode_id=20180810","ICTVonline=20180810")</f>
        <v>ICTVonline=20180810</v>
      </c>
    </row>
    <row r="1054" spans="1:22">
      <c r="A1054" s="3">
        <v>1053</v>
      </c>
      <c r="J1054" s="1" t="s">
        <v>1338</v>
      </c>
      <c r="L1054" s="1" t="s">
        <v>903</v>
      </c>
      <c r="M1054" s="1" t="s">
        <v>3152</v>
      </c>
      <c r="N1054" s="1" t="s">
        <v>3157</v>
      </c>
      <c r="P1054" s="1" t="s">
        <v>3158</v>
      </c>
      <c r="Q1054" s="3">
        <v>0</v>
      </c>
      <c r="R1054" s="22" t="s">
        <v>2764</v>
      </c>
      <c r="S1054" s="22" t="s">
        <v>5097</v>
      </c>
      <c r="T1054" s="51">
        <v>30</v>
      </c>
      <c r="U1054" s="3" t="s">
        <v>5358</v>
      </c>
      <c r="V1054" s="41" t="str">
        <f>HYPERLINK("http://ictvonline.org/taxonomy/p/taxonomy-history?taxnode_id=20180812","ICTVonline=20180812")</f>
        <v>ICTVonline=20180812</v>
      </c>
    </row>
    <row r="1055" spans="1:22">
      <c r="A1055" s="3">
        <v>1054</v>
      </c>
      <c r="J1055" s="1" t="s">
        <v>1338</v>
      </c>
      <c r="L1055" s="1" t="s">
        <v>903</v>
      </c>
      <c r="M1055" s="1" t="s">
        <v>3152</v>
      </c>
      <c r="N1055" s="1" t="s">
        <v>3157</v>
      </c>
      <c r="P1055" s="1" t="s">
        <v>3159</v>
      </c>
      <c r="Q1055" s="3">
        <v>0</v>
      </c>
      <c r="R1055" s="22" t="s">
        <v>2764</v>
      </c>
      <c r="S1055" s="22" t="s">
        <v>5097</v>
      </c>
      <c r="T1055" s="51">
        <v>30</v>
      </c>
      <c r="U1055" s="3" t="s">
        <v>5358</v>
      </c>
      <c r="V1055" s="41" t="str">
        <f>HYPERLINK("http://ictvonline.org/taxonomy/p/taxonomy-history?taxnode_id=20180813","ICTVonline=20180813")</f>
        <v>ICTVonline=20180813</v>
      </c>
    </row>
    <row r="1056" spans="1:22">
      <c r="A1056" s="3">
        <v>1055</v>
      </c>
      <c r="J1056" s="1" t="s">
        <v>1338</v>
      </c>
      <c r="L1056" s="1" t="s">
        <v>903</v>
      </c>
      <c r="M1056" s="1" t="s">
        <v>3152</v>
      </c>
      <c r="N1056" s="1" t="s">
        <v>3157</v>
      </c>
      <c r="P1056" s="1" t="s">
        <v>3160</v>
      </c>
      <c r="Q1056" s="3">
        <v>0</v>
      </c>
      <c r="R1056" s="22" t="s">
        <v>2764</v>
      </c>
      <c r="S1056" s="22" t="s">
        <v>5097</v>
      </c>
      <c r="T1056" s="51">
        <v>30</v>
      </c>
      <c r="U1056" s="3" t="s">
        <v>5358</v>
      </c>
      <c r="V1056" s="41" t="str">
        <f>HYPERLINK("http://ictvonline.org/taxonomy/p/taxonomy-history?taxnode_id=20180814","ICTVonline=20180814")</f>
        <v>ICTVonline=20180814</v>
      </c>
    </row>
    <row r="1057" spans="1:22">
      <c r="A1057" s="3">
        <v>1056</v>
      </c>
      <c r="J1057" s="1" t="s">
        <v>1338</v>
      </c>
      <c r="L1057" s="1" t="s">
        <v>903</v>
      </c>
      <c r="M1057" s="1" t="s">
        <v>3152</v>
      </c>
      <c r="N1057" s="1" t="s">
        <v>3157</v>
      </c>
      <c r="P1057" s="1" t="s">
        <v>4493</v>
      </c>
      <c r="Q1057" s="3">
        <v>0</v>
      </c>
      <c r="R1057" s="22" t="s">
        <v>2764</v>
      </c>
      <c r="S1057" s="22" t="s">
        <v>5097</v>
      </c>
      <c r="T1057" s="51">
        <v>31</v>
      </c>
      <c r="U1057" s="3" t="s">
        <v>5217</v>
      </c>
      <c r="V1057" s="41" t="str">
        <f>HYPERLINK("http://ictvonline.org/taxonomy/p/taxonomy-history?taxnode_id=20180815","ICTVonline=20180815")</f>
        <v>ICTVonline=20180815</v>
      </c>
    </row>
    <row r="1058" spans="1:22">
      <c r="A1058" s="3">
        <v>1057</v>
      </c>
      <c r="J1058" s="1" t="s">
        <v>1338</v>
      </c>
      <c r="L1058" s="1" t="s">
        <v>903</v>
      </c>
      <c r="M1058" s="1" t="s">
        <v>3152</v>
      </c>
      <c r="N1058" s="1" t="s">
        <v>3157</v>
      </c>
      <c r="P1058" s="1" t="s">
        <v>3161</v>
      </c>
      <c r="Q1058" s="3">
        <v>0</v>
      </c>
      <c r="R1058" s="22" t="s">
        <v>2764</v>
      </c>
      <c r="S1058" s="22" t="s">
        <v>5097</v>
      </c>
      <c r="T1058" s="51">
        <v>30</v>
      </c>
      <c r="U1058" s="3" t="s">
        <v>5358</v>
      </c>
      <c r="V1058" s="41" t="str">
        <f>HYPERLINK("http://ictvonline.org/taxonomy/p/taxonomy-history?taxnode_id=20180816","ICTVonline=20180816")</f>
        <v>ICTVonline=20180816</v>
      </c>
    </row>
    <row r="1059" spans="1:22">
      <c r="A1059" s="3">
        <v>1058</v>
      </c>
      <c r="J1059" s="1" t="s">
        <v>1338</v>
      </c>
      <c r="L1059" s="1" t="s">
        <v>903</v>
      </c>
      <c r="M1059" s="1" t="s">
        <v>3152</v>
      </c>
      <c r="N1059" s="1" t="s">
        <v>3157</v>
      </c>
      <c r="P1059" s="1" t="s">
        <v>3162</v>
      </c>
      <c r="Q1059" s="3">
        <v>0</v>
      </c>
      <c r="R1059" s="22" t="s">
        <v>2764</v>
      </c>
      <c r="S1059" s="22" t="s">
        <v>5098</v>
      </c>
      <c r="T1059" s="51">
        <v>30</v>
      </c>
      <c r="U1059" s="3" t="s">
        <v>5358</v>
      </c>
      <c r="V1059" s="41" t="str">
        <f>HYPERLINK("http://ictvonline.org/taxonomy/p/taxonomy-history?taxnode_id=20180817","ICTVonline=20180817")</f>
        <v>ICTVonline=20180817</v>
      </c>
    </row>
    <row r="1060" spans="1:22">
      <c r="A1060" s="3">
        <v>1059</v>
      </c>
      <c r="J1060" s="1" t="s">
        <v>1338</v>
      </c>
      <c r="L1060" s="1" t="s">
        <v>903</v>
      </c>
      <c r="M1060" s="1" t="s">
        <v>3152</v>
      </c>
      <c r="N1060" s="1" t="s">
        <v>3157</v>
      </c>
      <c r="P1060" s="1" t="s">
        <v>3163</v>
      </c>
      <c r="Q1060" s="3">
        <v>0</v>
      </c>
      <c r="R1060" s="22" t="s">
        <v>2764</v>
      </c>
      <c r="S1060" s="22" t="s">
        <v>5098</v>
      </c>
      <c r="T1060" s="51">
        <v>30</v>
      </c>
      <c r="U1060" s="3" t="s">
        <v>5358</v>
      </c>
      <c r="V1060" s="41" t="str">
        <f>HYPERLINK("http://ictvonline.org/taxonomy/p/taxonomy-history?taxnode_id=20180818","ICTVonline=20180818")</f>
        <v>ICTVonline=20180818</v>
      </c>
    </row>
    <row r="1061" spans="1:22">
      <c r="A1061" s="3">
        <v>1060</v>
      </c>
      <c r="J1061" s="1" t="s">
        <v>1338</v>
      </c>
      <c r="L1061" s="1" t="s">
        <v>903</v>
      </c>
      <c r="M1061" s="1" t="s">
        <v>3152</v>
      </c>
      <c r="N1061" s="1" t="s">
        <v>3157</v>
      </c>
      <c r="P1061" s="1" t="s">
        <v>3164</v>
      </c>
      <c r="Q1061" s="3">
        <v>0</v>
      </c>
      <c r="R1061" s="22" t="s">
        <v>2764</v>
      </c>
      <c r="S1061" s="22" t="s">
        <v>5097</v>
      </c>
      <c r="T1061" s="51">
        <v>30</v>
      </c>
      <c r="U1061" s="3" t="s">
        <v>5358</v>
      </c>
      <c r="V1061" s="41" t="str">
        <f>HYPERLINK("http://ictvonline.org/taxonomy/p/taxonomy-history?taxnode_id=20180819","ICTVonline=20180819")</f>
        <v>ICTVonline=20180819</v>
      </c>
    </row>
    <row r="1062" spans="1:22">
      <c r="A1062" s="3">
        <v>1061</v>
      </c>
      <c r="J1062" s="1" t="s">
        <v>1338</v>
      </c>
      <c r="L1062" s="1" t="s">
        <v>903</v>
      </c>
      <c r="M1062" s="1" t="s">
        <v>3152</v>
      </c>
      <c r="N1062" s="1" t="s">
        <v>3157</v>
      </c>
      <c r="P1062" s="1" t="s">
        <v>3165</v>
      </c>
      <c r="Q1062" s="3">
        <v>1</v>
      </c>
      <c r="R1062" s="22" t="s">
        <v>2764</v>
      </c>
      <c r="S1062" s="22" t="s">
        <v>5098</v>
      </c>
      <c r="T1062" s="51">
        <v>30</v>
      </c>
      <c r="U1062" s="3" t="s">
        <v>5358</v>
      </c>
      <c r="V1062" s="41" t="str">
        <f>HYPERLINK("http://ictvonline.org/taxonomy/p/taxonomy-history?taxnode_id=20180820","ICTVonline=20180820")</f>
        <v>ICTVonline=20180820</v>
      </c>
    </row>
    <row r="1063" spans="1:22">
      <c r="A1063" s="3">
        <v>1062</v>
      </c>
      <c r="J1063" s="1" t="s">
        <v>1338</v>
      </c>
      <c r="L1063" s="1" t="s">
        <v>903</v>
      </c>
      <c r="M1063" s="1" t="s">
        <v>3152</v>
      </c>
      <c r="N1063" s="1" t="s">
        <v>3166</v>
      </c>
      <c r="P1063" s="1" t="s">
        <v>3167</v>
      </c>
      <c r="Q1063" s="3">
        <v>0</v>
      </c>
      <c r="R1063" s="22" t="s">
        <v>2764</v>
      </c>
      <c r="S1063" s="22" t="s">
        <v>5097</v>
      </c>
      <c r="T1063" s="51">
        <v>30</v>
      </c>
      <c r="U1063" s="3" t="s">
        <v>5358</v>
      </c>
      <c r="V1063" s="41" t="str">
        <f>HYPERLINK("http://ictvonline.org/taxonomy/p/taxonomy-history?taxnode_id=20180822","ICTVonline=20180822")</f>
        <v>ICTVonline=20180822</v>
      </c>
    </row>
    <row r="1064" spans="1:22">
      <c r="A1064" s="3">
        <v>1063</v>
      </c>
      <c r="J1064" s="1" t="s">
        <v>1338</v>
      </c>
      <c r="L1064" s="1" t="s">
        <v>903</v>
      </c>
      <c r="M1064" s="1" t="s">
        <v>3152</v>
      </c>
      <c r="N1064" s="1" t="s">
        <v>3166</v>
      </c>
      <c r="P1064" s="1" t="s">
        <v>3168</v>
      </c>
      <c r="Q1064" s="3">
        <v>1</v>
      </c>
      <c r="R1064" s="22" t="s">
        <v>2764</v>
      </c>
      <c r="S1064" s="22" t="s">
        <v>5098</v>
      </c>
      <c r="T1064" s="51">
        <v>30</v>
      </c>
      <c r="U1064" s="3" t="s">
        <v>5358</v>
      </c>
      <c r="V1064" s="41" t="str">
        <f>HYPERLINK("http://ictvonline.org/taxonomy/p/taxonomy-history?taxnode_id=20180823","ICTVonline=20180823")</f>
        <v>ICTVonline=20180823</v>
      </c>
    </row>
    <row r="1065" spans="1:22">
      <c r="A1065" s="3">
        <v>1064</v>
      </c>
      <c r="J1065" s="1" t="s">
        <v>1338</v>
      </c>
      <c r="L1065" s="1" t="s">
        <v>903</v>
      </c>
      <c r="M1065" s="1" t="s">
        <v>3152</v>
      </c>
      <c r="N1065" s="1" t="s">
        <v>3169</v>
      </c>
      <c r="P1065" s="1" t="s">
        <v>3170</v>
      </c>
      <c r="Q1065" s="3">
        <v>0</v>
      </c>
      <c r="R1065" s="22" t="s">
        <v>2764</v>
      </c>
      <c r="S1065" s="22" t="s">
        <v>5097</v>
      </c>
      <c r="T1065" s="51">
        <v>30</v>
      </c>
      <c r="U1065" s="3" t="s">
        <v>5358</v>
      </c>
      <c r="V1065" s="41" t="str">
        <f>HYPERLINK("http://ictvonline.org/taxonomy/p/taxonomy-history?taxnode_id=20180825","ICTVonline=20180825")</f>
        <v>ICTVonline=20180825</v>
      </c>
    </row>
    <row r="1066" spans="1:22">
      <c r="A1066" s="3">
        <v>1065</v>
      </c>
      <c r="J1066" s="1" t="s">
        <v>1338</v>
      </c>
      <c r="L1066" s="1" t="s">
        <v>903</v>
      </c>
      <c r="M1066" s="1" t="s">
        <v>3152</v>
      </c>
      <c r="N1066" s="1" t="s">
        <v>3169</v>
      </c>
      <c r="P1066" s="1" t="s">
        <v>4494</v>
      </c>
      <c r="Q1066" s="3">
        <v>0</v>
      </c>
      <c r="R1066" s="22" t="s">
        <v>2764</v>
      </c>
      <c r="S1066" s="22" t="s">
        <v>5097</v>
      </c>
      <c r="T1066" s="51">
        <v>31</v>
      </c>
      <c r="U1066" s="3" t="s">
        <v>5217</v>
      </c>
      <c r="V1066" s="41" t="str">
        <f>HYPERLINK("http://ictvonline.org/taxonomy/p/taxonomy-history?taxnode_id=20180826","ICTVonline=20180826")</f>
        <v>ICTVonline=20180826</v>
      </c>
    </row>
    <row r="1067" spans="1:22">
      <c r="A1067" s="3">
        <v>1066</v>
      </c>
      <c r="J1067" s="1" t="s">
        <v>1338</v>
      </c>
      <c r="L1067" s="1" t="s">
        <v>903</v>
      </c>
      <c r="M1067" s="1" t="s">
        <v>3152</v>
      </c>
      <c r="N1067" s="1" t="s">
        <v>3169</v>
      </c>
      <c r="P1067" s="1" t="s">
        <v>4495</v>
      </c>
      <c r="Q1067" s="3">
        <v>0</v>
      </c>
      <c r="R1067" s="22" t="s">
        <v>2764</v>
      </c>
      <c r="S1067" s="22" t="s">
        <v>5097</v>
      </c>
      <c r="T1067" s="51">
        <v>31</v>
      </c>
      <c r="U1067" s="3" t="s">
        <v>5217</v>
      </c>
      <c r="V1067" s="41" t="str">
        <f>HYPERLINK("http://ictvonline.org/taxonomy/p/taxonomy-history?taxnode_id=20180827","ICTVonline=20180827")</f>
        <v>ICTVonline=20180827</v>
      </c>
    </row>
    <row r="1068" spans="1:22">
      <c r="A1068" s="3">
        <v>1067</v>
      </c>
      <c r="J1068" s="1" t="s">
        <v>1338</v>
      </c>
      <c r="L1068" s="1" t="s">
        <v>903</v>
      </c>
      <c r="M1068" s="1" t="s">
        <v>3152</v>
      </c>
      <c r="N1068" s="1" t="s">
        <v>3169</v>
      </c>
      <c r="P1068" s="1" t="s">
        <v>3171</v>
      </c>
      <c r="Q1068" s="3">
        <v>1</v>
      </c>
      <c r="R1068" s="22" t="s">
        <v>2764</v>
      </c>
      <c r="S1068" s="22" t="s">
        <v>5098</v>
      </c>
      <c r="T1068" s="51">
        <v>30</v>
      </c>
      <c r="U1068" s="3" t="s">
        <v>5216</v>
      </c>
      <c r="V1068" s="41" t="str">
        <f>HYPERLINK("http://ictvonline.org/taxonomy/p/taxonomy-history?taxnode_id=20180828","ICTVonline=20180828")</f>
        <v>ICTVonline=20180828</v>
      </c>
    </row>
    <row r="1069" spans="1:22">
      <c r="A1069" s="3">
        <v>1068</v>
      </c>
      <c r="J1069" s="1" t="s">
        <v>1338</v>
      </c>
      <c r="L1069" s="1" t="s">
        <v>903</v>
      </c>
      <c r="M1069" s="1" t="s">
        <v>3152</v>
      </c>
      <c r="N1069" s="1" t="s">
        <v>3169</v>
      </c>
      <c r="P1069" s="1" t="s">
        <v>3172</v>
      </c>
      <c r="Q1069" s="3">
        <v>0</v>
      </c>
      <c r="R1069" s="22" t="s">
        <v>2764</v>
      </c>
      <c r="S1069" s="22" t="s">
        <v>5097</v>
      </c>
      <c r="T1069" s="51">
        <v>30</v>
      </c>
      <c r="U1069" s="3" t="s">
        <v>5358</v>
      </c>
      <c r="V1069" s="41" t="str">
        <f>HYPERLINK("http://ictvonline.org/taxonomy/p/taxonomy-history?taxnode_id=20180829","ICTVonline=20180829")</f>
        <v>ICTVonline=20180829</v>
      </c>
    </row>
    <row r="1070" spans="1:22">
      <c r="A1070" s="3">
        <v>1069</v>
      </c>
      <c r="J1070" s="1" t="s">
        <v>1338</v>
      </c>
      <c r="L1070" s="1" t="s">
        <v>903</v>
      </c>
      <c r="M1070" s="1" t="s">
        <v>3152</v>
      </c>
      <c r="N1070" s="1" t="s">
        <v>3169</v>
      </c>
      <c r="P1070" s="1" t="s">
        <v>3173</v>
      </c>
      <c r="Q1070" s="3">
        <v>0</v>
      </c>
      <c r="R1070" s="22" t="s">
        <v>2764</v>
      </c>
      <c r="S1070" s="22" t="s">
        <v>5098</v>
      </c>
      <c r="T1070" s="51">
        <v>30</v>
      </c>
      <c r="U1070" s="3" t="s">
        <v>5216</v>
      </c>
      <c r="V1070" s="41" t="str">
        <f>HYPERLINK("http://ictvonline.org/taxonomy/p/taxonomy-history?taxnode_id=20180830","ICTVonline=20180830")</f>
        <v>ICTVonline=20180830</v>
      </c>
    </row>
    <row r="1071" spans="1:22">
      <c r="A1071" s="3">
        <v>1070</v>
      </c>
      <c r="J1071" s="1" t="s">
        <v>1338</v>
      </c>
      <c r="L1071" s="1" t="s">
        <v>903</v>
      </c>
      <c r="M1071" s="1" t="s">
        <v>3152</v>
      </c>
      <c r="N1071" s="1" t="s">
        <v>3174</v>
      </c>
      <c r="P1071" s="1" t="s">
        <v>3175</v>
      </c>
      <c r="Q1071" s="3">
        <v>0</v>
      </c>
      <c r="R1071" s="22" t="s">
        <v>2764</v>
      </c>
      <c r="S1071" s="22" t="s">
        <v>5097</v>
      </c>
      <c r="T1071" s="51">
        <v>30</v>
      </c>
      <c r="U1071" s="3" t="s">
        <v>5358</v>
      </c>
      <c r="V1071" s="41" t="str">
        <f>HYPERLINK("http://ictvonline.org/taxonomy/p/taxonomy-history?taxnode_id=20180832","ICTVonline=20180832")</f>
        <v>ICTVonline=20180832</v>
      </c>
    </row>
    <row r="1072" spans="1:22">
      <c r="A1072" s="3">
        <v>1071</v>
      </c>
      <c r="J1072" s="1" t="s">
        <v>1338</v>
      </c>
      <c r="L1072" s="1" t="s">
        <v>903</v>
      </c>
      <c r="M1072" s="1" t="s">
        <v>3152</v>
      </c>
      <c r="N1072" s="1" t="s">
        <v>3174</v>
      </c>
      <c r="P1072" s="1" t="s">
        <v>3176</v>
      </c>
      <c r="Q1072" s="3">
        <v>1</v>
      </c>
      <c r="R1072" s="22" t="s">
        <v>2764</v>
      </c>
      <c r="S1072" s="22" t="s">
        <v>5098</v>
      </c>
      <c r="T1072" s="51">
        <v>30</v>
      </c>
      <c r="U1072" s="3" t="s">
        <v>5358</v>
      </c>
      <c r="V1072" s="41" t="str">
        <f>HYPERLINK("http://ictvonline.org/taxonomy/p/taxonomy-history?taxnode_id=20180833","ICTVonline=20180833")</f>
        <v>ICTVonline=20180833</v>
      </c>
    </row>
    <row r="1073" spans="1:22">
      <c r="A1073" s="3">
        <v>1072</v>
      </c>
      <c r="J1073" s="1" t="s">
        <v>1338</v>
      </c>
      <c r="L1073" s="1" t="s">
        <v>903</v>
      </c>
      <c r="M1073" s="1" t="s">
        <v>3152</v>
      </c>
      <c r="N1073" s="1" t="s">
        <v>3174</v>
      </c>
      <c r="P1073" s="1" t="s">
        <v>3177</v>
      </c>
      <c r="Q1073" s="3">
        <v>0</v>
      </c>
      <c r="R1073" s="22" t="s">
        <v>2764</v>
      </c>
      <c r="S1073" s="22" t="s">
        <v>5097</v>
      </c>
      <c r="T1073" s="51">
        <v>30</v>
      </c>
      <c r="U1073" s="3" t="s">
        <v>5358</v>
      </c>
      <c r="V1073" s="41" t="str">
        <f>HYPERLINK("http://ictvonline.org/taxonomy/p/taxonomy-history?taxnode_id=20180834","ICTVonline=20180834")</f>
        <v>ICTVonline=20180834</v>
      </c>
    </row>
    <row r="1074" spans="1:22">
      <c r="A1074" s="3">
        <v>1073</v>
      </c>
      <c r="J1074" s="1" t="s">
        <v>1338</v>
      </c>
      <c r="L1074" s="1" t="s">
        <v>903</v>
      </c>
      <c r="M1074" s="1" t="s">
        <v>3152</v>
      </c>
      <c r="P1074" s="1" t="s">
        <v>3178</v>
      </c>
      <c r="Q1074" s="3">
        <v>0</v>
      </c>
      <c r="R1074" s="22" t="s">
        <v>2764</v>
      </c>
      <c r="S1074" s="22" t="s">
        <v>5098</v>
      </c>
      <c r="T1074" s="51">
        <v>30</v>
      </c>
      <c r="U1074" s="3" t="s">
        <v>5358</v>
      </c>
      <c r="V1074" s="41" t="str">
        <f>HYPERLINK("http://ictvonline.org/taxonomy/p/taxonomy-history?taxnode_id=20180836","ICTVonline=20180836")</f>
        <v>ICTVonline=20180836</v>
      </c>
    </row>
    <row r="1075" spans="1:22">
      <c r="A1075" s="3">
        <v>1074</v>
      </c>
      <c r="J1075" s="1" t="s">
        <v>1338</v>
      </c>
      <c r="L1075" s="1" t="s">
        <v>903</v>
      </c>
      <c r="N1075" s="1" t="s">
        <v>4496</v>
      </c>
      <c r="P1075" s="1" t="s">
        <v>4497</v>
      </c>
      <c r="Q1075" s="3">
        <v>1</v>
      </c>
      <c r="R1075" s="22" t="s">
        <v>2764</v>
      </c>
      <c r="S1075" s="22" t="s">
        <v>5097</v>
      </c>
      <c r="T1075" s="51">
        <v>31</v>
      </c>
      <c r="U1075" s="3" t="s">
        <v>5359</v>
      </c>
      <c r="V1075" s="41" t="str">
        <f>HYPERLINK("http://ictvonline.org/taxonomy/p/taxonomy-history?taxnode_id=20180839","ICTVonline=20180839")</f>
        <v>ICTVonline=20180839</v>
      </c>
    </row>
    <row r="1076" spans="1:22">
      <c r="A1076" s="3">
        <v>1075</v>
      </c>
      <c r="J1076" s="1" t="s">
        <v>1338</v>
      </c>
      <c r="L1076" s="1" t="s">
        <v>903</v>
      </c>
      <c r="N1076" s="1" t="s">
        <v>4496</v>
      </c>
      <c r="P1076" s="1" t="s">
        <v>4498</v>
      </c>
      <c r="Q1076" s="3">
        <v>0</v>
      </c>
      <c r="R1076" s="22" t="s">
        <v>2764</v>
      </c>
      <c r="S1076" s="22" t="s">
        <v>5097</v>
      </c>
      <c r="T1076" s="51">
        <v>31</v>
      </c>
      <c r="U1076" s="3" t="s">
        <v>5359</v>
      </c>
      <c r="V1076" s="41" t="str">
        <f>HYPERLINK("http://ictvonline.org/taxonomy/p/taxonomy-history?taxnode_id=20180840","ICTVonline=20180840")</f>
        <v>ICTVonline=20180840</v>
      </c>
    </row>
    <row r="1077" spans="1:22">
      <c r="A1077" s="3">
        <v>1076</v>
      </c>
      <c r="J1077" s="1" t="s">
        <v>1338</v>
      </c>
      <c r="L1077" s="1" t="s">
        <v>903</v>
      </c>
      <c r="N1077" s="1" t="s">
        <v>4496</v>
      </c>
      <c r="P1077" s="1" t="s">
        <v>4499</v>
      </c>
      <c r="Q1077" s="3">
        <v>0</v>
      </c>
      <c r="R1077" s="22" t="s">
        <v>2764</v>
      </c>
      <c r="S1077" s="22" t="s">
        <v>5097</v>
      </c>
      <c r="T1077" s="51">
        <v>31</v>
      </c>
      <c r="U1077" s="3" t="s">
        <v>5359</v>
      </c>
      <c r="V1077" s="41" t="str">
        <f>HYPERLINK("http://ictvonline.org/taxonomy/p/taxonomy-history?taxnode_id=20180841","ICTVonline=20180841")</f>
        <v>ICTVonline=20180841</v>
      </c>
    </row>
    <row r="1078" spans="1:22">
      <c r="A1078" s="3">
        <v>1077</v>
      </c>
      <c r="J1078" s="1" t="s">
        <v>1338</v>
      </c>
      <c r="L1078" s="1" t="s">
        <v>903</v>
      </c>
      <c r="N1078" s="1" t="s">
        <v>4500</v>
      </c>
      <c r="P1078" s="1" t="s">
        <v>4501</v>
      </c>
      <c r="Q1078" s="3">
        <v>1</v>
      </c>
      <c r="R1078" s="22" t="s">
        <v>2764</v>
      </c>
      <c r="S1078" s="22" t="s">
        <v>5097</v>
      </c>
      <c r="T1078" s="51">
        <v>31</v>
      </c>
      <c r="U1078" s="3" t="s">
        <v>5360</v>
      </c>
      <c r="V1078" s="41" t="str">
        <f>HYPERLINK("http://ictvonline.org/taxonomy/p/taxonomy-history?taxnode_id=20180843","ICTVonline=20180843")</f>
        <v>ICTVonline=20180843</v>
      </c>
    </row>
    <row r="1079" spans="1:22">
      <c r="A1079" s="3">
        <v>1078</v>
      </c>
      <c r="J1079" s="1" t="s">
        <v>1338</v>
      </c>
      <c r="L1079" s="1" t="s">
        <v>903</v>
      </c>
      <c r="N1079" s="1" t="s">
        <v>5361</v>
      </c>
      <c r="P1079" s="1" t="s">
        <v>5362</v>
      </c>
      <c r="Q1079" s="3">
        <v>1</v>
      </c>
      <c r="R1079" s="22" t="s">
        <v>2764</v>
      </c>
      <c r="S1079" s="22" t="s">
        <v>5097</v>
      </c>
      <c r="T1079" s="51">
        <v>32</v>
      </c>
      <c r="U1079" s="3" t="s">
        <v>5363</v>
      </c>
      <c r="V1079" s="41" t="str">
        <f>HYPERLINK("http://ictvonline.org/taxonomy/p/taxonomy-history?taxnode_id=20185538","ICTVonline=20185538")</f>
        <v>ICTVonline=20185538</v>
      </c>
    </row>
    <row r="1080" spans="1:22">
      <c r="A1080" s="3">
        <v>1079</v>
      </c>
      <c r="J1080" s="1" t="s">
        <v>1338</v>
      </c>
      <c r="L1080" s="1" t="s">
        <v>903</v>
      </c>
      <c r="N1080" s="1" t="s">
        <v>5361</v>
      </c>
      <c r="P1080" s="1" t="s">
        <v>5364</v>
      </c>
      <c r="Q1080" s="3">
        <v>0</v>
      </c>
      <c r="R1080" s="22" t="s">
        <v>2764</v>
      </c>
      <c r="S1080" s="22" t="s">
        <v>5097</v>
      </c>
      <c r="T1080" s="51">
        <v>32</v>
      </c>
      <c r="U1080" s="3" t="s">
        <v>5363</v>
      </c>
      <c r="V1080" s="41" t="str">
        <f>HYPERLINK("http://ictvonline.org/taxonomy/p/taxonomy-history?taxnode_id=20185539","ICTVonline=20185539")</f>
        <v>ICTVonline=20185539</v>
      </c>
    </row>
    <row r="1081" spans="1:22">
      <c r="A1081" s="3">
        <v>1080</v>
      </c>
      <c r="J1081" s="1" t="s">
        <v>1338</v>
      </c>
      <c r="L1081" s="1" t="s">
        <v>903</v>
      </c>
      <c r="N1081" s="1" t="s">
        <v>3179</v>
      </c>
      <c r="P1081" s="1" t="s">
        <v>3180</v>
      </c>
      <c r="Q1081" s="3">
        <v>1</v>
      </c>
      <c r="R1081" s="22" t="s">
        <v>2764</v>
      </c>
      <c r="S1081" s="22" t="s">
        <v>5098</v>
      </c>
      <c r="T1081" s="51">
        <v>30</v>
      </c>
      <c r="U1081" s="3" t="s">
        <v>5216</v>
      </c>
      <c r="V1081" s="41" t="str">
        <f>HYPERLINK("http://ictvonline.org/taxonomy/p/taxonomy-history?taxnode_id=20180845","ICTVonline=20180845")</f>
        <v>ICTVonline=20180845</v>
      </c>
    </row>
    <row r="1082" spans="1:22">
      <c r="A1082" s="3">
        <v>1081</v>
      </c>
      <c r="J1082" s="1" t="s">
        <v>1338</v>
      </c>
      <c r="L1082" s="1" t="s">
        <v>903</v>
      </c>
      <c r="N1082" s="1" t="s">
        <v>3179</v>
      </c>
      <c r="P1082" s="1" t="s">
        <v>3181</v>
      </c>
      <c r="Q1082" s="3">
        <v>0</v>
      </c>
      <c r="R1082" s="22" t="s">
        <v>2764</v>
      </c>
      <c r="S1082" s="22" t="s">
        <v>5098</v>
      </c>
      <c r="T1082" s="51">
        <v>30</v>
      </c>
      <c r="U1082" s="3" t="s">
        <v>5216</v>
      </c>
      <c r="V1082" s="41" t="str">
        <f>HYPERLINK("http://ictvonline.org/taxonomy/p/taxonomy-history?taxnode_id=20180846","ICTVonline=20180846")</f>
        <v>ICTVonline=20180846</v>
      </c>
    </row>
    <row r="1083" spans="1:22">
      <c r="A1083" s="3">
        <v>1082</v>
      </c>
      <c r="J1083" s="1" t="s">
        <v>1338</v>
      </c>
      <c r="L1083" s="1" t="s">
        <v>903</v>
      </c>
      <c r="N1083" s="1" t="s">
        <v>3179</v>
      </c>
      <c r="P1083" s="1" t="s">
        <v>3182</v>
      </c>
      <c r="Q1083" s="3">
        <v>0</v>
      </c>
      <c r="R1083" s="22" t="s">
        <v>2764</v>
      </c>
      <c r="S1083" s="22" t="s">
        <v>5098</v>
      </c>
      <c r="T1083" s="51">
        <v>30</v>
      </c>
      <c r="U1083" s="3" t="s">
        <v>5216</v>
      </c>
      <c r="V1083" s="41" t="str">
        <f>HYPERLINK("http://ictvonline.org/taxonomy/p/taxonomy-history?taxnode_id=20180847","ICTVonline=20180847")</f>
        <v>ICTVonline=20180847</v>
      </c>
    </row>
    <row r="1084" spans="1:22">
      <c r="A1084" s="3">
        <v>1083</v>
      </c>
      <c r="J1084" s="1" t="s">
        <v>1338</v>
      </c>
      <c r="L1084" s="1" t="s">
        <v>903</v>
      </c>
      <c r="N1084" s="1" t="s">
        <v>3179</v>
      </c>
      <c r="P1084" s="1" t="s">
        <v>3183</v>
      </c>
      <c r="Q1084" s="3">
        <v>0</v>
      </c>
      <c r="R1084" s="22" t="s">
        <v>2764</v>
      </c>
      <c r="S1084" s="22" t="s">
        <v>5098</v>
      </c>
      <c r="T1084" s="51">
        <v>30</v>
      </c>
      <c r="U1084" s="3" t="s">
        <v>5216</v>
      </c>
      <c r="V1084" s="41" t="str">
        <f>HYPERLINK("http://ictvonline.org/taxonomy/p/taxonomy-history?taxnode_id=20180848","ICTVonline=20180848")</f>
        <v>ICTVonline=20180848</v>
      </c>
    </row>
    <row r="1085" spans="1:22">
      <c r="A1085" s="3">
        <v>1084</v>
      </c>
      <c r="J1085" s="1" t="s">
        <v>1338</v>
      </c>
      <c r="L1085" s="1" t="s">
        <v>903</v>
      </c>
      <c r="N1085" s="1" t="s">
        <v>3179</v>
      </c>
      <c r="P1085" s="1" t="s">
        <v>3184</v>
      </c>
      <c r="Q1085" s="3">
        <v>0</v>
      </c>
      <c r="R1085" s="22" t="s">
        <v>2764</v>
      </c>
      <c r="S1085" s="22" t="s">
        <v>5098</v>
      </c>
      <c r="T1085" s="51">
        <v>30</v>
      </c>
      <c r="U1085" s="3" t="s">
        <v>5216</v>
      </c>
      <c r="V1085" s="41" t="str">
        <f>HYPERLINK("http://ictvonline.org/taxonomy/p/taxonomy-history?taxnode_id=20180849","ICTVonline=20180849")</f>
        <v>ICTVonline=20180849</v>
      </c>
    </row>
    <row r="1086" spans="1:22">
      <c r="A1086" s="3">
        <v>1085</v>
      </c>
      <c r="J1086" s="1" t="s">
        <v>1338</v>
      </c>
      <c r="L1086" s="1" t="s">
        <v>903</v>
      </c>
      <c r="N1086" s="1" t="s">
        <v>3179</v>
      </c>
      <c r="P1086" s="1" t="s">
        <v>3185</v>
      </c>
      <c r="Q1086" s="3">
        <v>0</v>
      </c>
      <c r="R1086" s="22" t="s">
        <v>2764</v>
      </c>
      <c r="S1086" s="22" t="s">
        <v>5098</v>
      </c>
      <c r="T1086" s="51">
        <v>30</v>
      </c>
      <c r="U1086" s="3" t="s">
        <v>5216</v>
      </c>
      <c r="V1086" s="41" t="str">
        <f>HYPERLINK("http://ictvonline.org/taxonomy/p/taxonomy-history?taxnode_id=20180850","ICTVonline=20180850")</f>
        <v>ICTVonline=20180850</v>
      </c>
    </row>
    <row r="1087" spans="1:22">
      <c r="A1087" s="3">
        <v>1086</v>
      </c>
      <c r="J1087" s="1" t="s">
        <v>1338</v>
      </c>
      <c r="L1087" s="1" t="s">
        <v>903</v>
      </c>
      <c r="N1087" s="1" t="s">
        <v>3179</v>
      </c>
      <c r="P1087" s="1" t="s">
        <v>3186</v>
      </c>
      <c r="Q1087" s="3">
        <v>0</v>
      </c>
      <c r="R1087" s="22" t="s">
        <v>2764</v>
      </c>
      <c r="S1087" s="22" t="s">
        <v>5098</v>
      </c>
      <c r="T1087" s="51">
        <v>30</v>
      </c>
      <c r="U1087" s="3" t="s">
        <v>5216</v>
      </c>
      <c r="V1087" s="41" t="str">
        <f>HYPERLINK("http://ictvonline.org/taxonomy/p/taxonomy-history?taxnode_id=20180851","ICTVonline=20180851")</f>
        <v>ICTVonline=20180851</v>
      </c>
    </row>
    <row r="1088" spans="1:22">
      <c r="A1088" s="3">
        <v>1087</v>
      </c>
      <c r="J1088" s="1" t="s">
        <v>1338</v>
      </c>
      <c r="L1088" s="1" t="s">
        <v>903</v>
      </c>
      <c r="N1088" s="1" t="s">
        <v>3179</v>
      </c>
      <c r="P1088" s="1" t="s">
        <v>3187</v>
      </c>
      <c r="Q1088" s="3">
        <v>0</v>
      </c>
      <c r="R1088" s="22" t="s">
        <v>2764</v>
      </c>
      <c r="S1088" s="22" t="s">
        <v>5098</v>
      </c>
      <c r="T1088" s="51">
        <v>30</v>
      </c>
      <c r="U1088" s="3" t="s">
        <v>5216</v>
      </c>
      <c r="V1088" s="41" t="str">
        <f>HYPERLINK("http://ictvonline.org/taxonomy/p/taxonomy-history?taxnode_id=20180852","ICTVonline=20180852")</f>
        <v>ICTVonline=20180852</v>
      </c>
    </row>
    <row r="1089" spans="1:22">
      <c r="A1089" s="3">
        <v>1088</v>
      </c>
      <c r="J1089" s="1" t="s">
        <v>1338</v>
      </c>
      <c r="L1089" s="1" t="s">
        <v>903</v>
      </c>
      <c r="N1089" s="1" t="s">
        <v>5365</v>
      </c>
      <c r="P1089" s="1" t="s">
        <v>5366</v>
      </c>
      <c r="Q1089" s="3">
        <v>1</v>
      </c>
      <c r="R1089" s="22" t="s">
        <v>2764</v>
      </c>
      <c r="S1089" s="22" t="s">
        <v>5097</v>
      </c>
      <c r="T1089" s="51">
        <v>32</v>
      </c>
      <c r="U1089" s="3" t="s">
        <v>5367</v>
      </c>
      <c r="V1089" s="41" t="str">
        <f>HYPERLINK("http://ictvonline.org/taxonomy/p/taxonomy-history?taxnode_id=20185541","ICTVonline=20185541")</f>
        <v>ICTVonline=20185541</v>
      </c>
    </row>
    <row r="1090" spans="1:22">
      <c r="A1090" s="3">
        <v>1089</v>
      </c>
      <c r="J1090" s="1" t="s">
        <v>1338</v>
      </c>
      <c r="L1090" s="1" t="s">
        <v>903</v>
      </c>
      <c r="N1090" s="1" t="s">
        <v>3188</v>
      </c>
      <c r="P1090" s="1" t="s">
        <v>3189</v>
      </c>
      <c r="Q1090" s="3">
        <v>1</v>
      </c>
      <c r="R1090" s="22" t="s">
        <v>2764</v>
      </c>
      <c r="S1090" s="22" t="s">
        <v>5098</v>
      </c>
      <c r="T1090" s="51">
        <v>30</v>
      </c>
      <c r="U1090" s="3" t="s">
        <v>5216</v>
      </c>
      <c r="V1090" s="41" t="str">
        <f>HYPERLINK("http://ictvonline.org/taxonomy/p/taxonomy-history?taxnode_id=20180854","ICTVonline=20180854")</f>
        <v>ICTVonline=20180854</v>
      </c>
    </row>
    <row r="1091" spans="1:22">
      <c r="A1091" s="3">
        <v>1090</v>
      </c>
      <c r="J1091" s="1" t="s">
        <v>1338</v>
      </c>
      <c r="L1091" s="1" t="s">
        <v>903</v>
      </c>
      <c r="N1091" s="1" t="s">
        <v>3188</v>
      </c>
      <c r="P1091" s="1" t="s">
        <v>3190</v>
      </c>
      <c r="Q1091" s="3">
        <v>0</v>
      </c>
      <c r="R1091" s="22" t="s">
        <v>2764</v>
      </c>
      <c r="S1091" s="22" t="s">
        <v>5098</v>
      </c>
      <c r="T1091" s="51">
        <v>30</v>
      </c>
      <c r="U1091" s="3" t="s">
        <v>5216</v>
      </c>
      <c r="V1091" s="41" t="str">
        <f>HYPERLINK("http://ictvonline.org/taxonomy/p/taxonomy-history?taxnode_id=20180855","ICTVonline=20180855")</f>
        <v>ICTVonline=20180855</v>
      </c>
    </row>
    <row r="1092" spans="1:22">
      <c r="A1092" s="3">
        <v>1091</v>
      </c>
      <c r="J1092" s="1" t="s">
        <v>1338</v>
      </c>
      <c r="L1092" s="1" t="s">
        <v>903</v>
      </c>
      <c r="N1092" s="1" t="s">
        <v>3188</v>
      </c>
      <c r="P1092" s="1" t="s">
        <v>3192</v>
      </c>
      <c r="Q1092" s="3">
        <v>0</v>
      </c>
      <c r="R1092" s="22" t="s">
        <v>2764</v>
      </c>
      <c r="S1092" s="22" t="s">
        <v>5098</v>
      </c>
      <c r="T1092" s="51">
        <v>30</v>
      </c>
      <c r="U1092" s="3" t="s">
        <v>5216</v>
      </c>
      <c r="V1092" s="41" t="str">
        <f>HYPERLINK("http://ictvonline.org/taxonomy/p/taxonomy-history?taxnode_id=20180856","ICTVonline=20180856")</f>
        <v>ICTVonline=20180856</v>
      </c>
    </row>
    <row r="1093" spans="1:22">
      <c r="A1093" s="3">
        <v>1092</v>
      </c>
      <c r="J1093" s="1" t="s">
        <v>1338</v>
      </c>
      <c r="L1093" s="1" t="s">
        <v>903</v>
      </c>
      <c r="N1093" s="1" t="s">
        <v>4502</v>
      </c>
      <c r="P1093" s="1" t="s">
        <v>4503</v>
      </c>
      <c r="Q1093" s="3">
        <v>1</v>
      </c>
      <c r="R1093" s="22" t="s">
        <v>2764</v>
      </c>
      <c r="S1093" s="22" t="s">
        <v>5097</v>
      </c>
      <c r="T1093" s="51">
        <v>31</v>
      </c>
      <c r="U1093" s="3" t="s">
        <v>5368</v>
      </c>
      <c r="V1093" s="41" t="str">
        <f>HYPERLINK("http://ictvonline.org/taxonomy/p/taxonomy-history?taxnode_id=20180858","ICTVonline=20180858")</f>
        <v>ICTVonline=20180858</v>
      </c>
    </row>
    <row r="1094" spans="1:22">
      <c r="A1094" s="3">
        <v>1093</v>
      </c>
      <c r="J1094" s="1" t="s">
        <v>1338</v>
      </c>
      <c r="L1094" s="1" t="s">
        <v>903</v>
      </c>
      <c r="N1094" s="1" t="s">
        <v>3196</v>
      </c>
      <c r="P1094" s="1" t="s">
        <v>3197</v>
      </c>
      <c r="Q1094" s="3">
        <v>0</v>
      </c>
      <c r="R1094" s="22" t="s">
        <v>2764</v>
      </c>
      <c r="S1094" s="22" t="s">
        <v>5098</v>
      </c>
      <c r="T1094" s="51">
        <v>30</v>
      </c>
      <c r="U1094" s="3" t="s">
        <v>5216</v>
      </c>
      <c r="V1094" s="41" t="str">
        <f>HYPERLINK("http://ictvonline.org/taxonomy/p/taxonomy-history?taxnode_id=20180860","ICTVonline=20180860")</f>
        <v>ICTVonline=20180860</v>
      </c>
    </row>
    <row r="1095" spans="1:22">
      <c r="A1095" s="3">
        <v>1094</v>
      </c>
      <c r="J1095" s="1" t="s">
        <v>1338</v>
      </c>
      <c r="L1095" s="1" t="s">
        <v>903</v>
      </c>
      <c r="N1095" s="1" t="s">
        <v>3196</v>
      </c>
      <c r="P1095" s="1" t="s">
        <v>3198</v>
      </c>
      <c r="Q1095" s="3">
        <v>1</v>
      </c>
      <c r="R1095" s="22" t="s">
        <v>2764</v>
      </c>
      <c r="S1095" s="22" t="s">
        <v>5098</v>
      </c>
      <c r="T1095" s="51">
        <v>30</v>
      </c>
      <c r="U1095" s="3" t="s">
        <v>5216</v>
      </c>
      <c r="V1095" s="41" t="str">
        <f>HYPERLINK("http://ictvonline.org/taxonomy/p/taxonomy-history?taxnode_id=20180861","ICTVonline=20180861")</f>
        <v>ICTVonline=20180861</v>
      </c>
    </row>
    <row r="1096" spans="1:22">
      <c r="A1096" s="3">
        <v>1095</v>
      </c>
      <c r="J1096" s="1" t="s">
        <v>1338</v>
      </c>
      <c r="L1096" s="1" t="s">
        <v>903</v>
      </c>
      <c r="N1096" s="1" t="s">
        <v>3196</v>
      </c>
      <c r="P1096" s="1" t="s">
        <v>3199</v>
      </c>
      <c r="Q1096" s="3">
        <v>0</v>
      </c>
      <c r="R1096" s="22" t="s">
        <v>2764</v>
      </c>
      <c r="S1096" s="22" t="s">
        <v>5098</v>
      </c>
      <c r="T1096" s="51">
        <v>30</v>
      </c>
      <c r="U1096" s="3" t="s">
        <v>5216</v>
      </c>
      <c r="V1096" s="41" t="str">
        <f>HYPERLINK("http://ictvonline.org/taxonomy/p/taxonomy-history?taxnode_id=20180862","ICTVonline=20180862")</f>
        <v>ICTVonline=20180862</v>
      </c>
    </row>
    <row r="1097" spans="1:22">
      <c r="A1097" s="3">
        <v>1096</v>
      </c>
      <c r="J1097" s="1" t="s">
        <v>1338</v>
      </c>
      <c r="L1097" s="1" t="s">
        <v>903</v>
      </c>
      <c r="N1097" s="1" t="s">
        <v>3200</v>
      </c>
      <c r="P1097" s="1" t="s">
        <v>3201</v>
      </c>
      <c r="Q1097" s="3">
        <v>1</v>
      </c>
      <c r="R1097" s="22" t="s">
        <v>2764</v>
      </c>
      <c r="S1097" s="22" t="s">
        <v>5098</v>
      </c>
      <c r="T1097" s="51">
        <v>30</v>
      </c>
      <c r="U1097" s="3" t="s">
        <v>5216</v>
      </c>
      <c r="V1097" s="41" t="str">
        <f>HYPERLINK("http://ictvonline.org/taxonomy/p/taxonomy-history?taxnode_id=20180864","ICTVonline=20180864")</f>
        <v>ICTVonline=20180864</v>
      </c>
    </row>
    <row r="1098" spans="1:22">
      <c r="A1098" s="3">
        <v>1097</v>
      </c>
      <c r="J1098" s="1" t="s">
        <v>1338</v>
      </c>
      <c r="L1098" s="1" t="s">
        <v>903</v>
      </c>
      <c r="N1098" s="1" t="s">
        <v>3200</v>
      </c>
      <c r="P1098" s="1" t="s">
        <v>3202</v>
      </c>
      <c r="Q1098" s="3">
        <v>0</v>
      </c>
      <c r="R1098" s="22" t="s">
        <v>2764</v>
      </c>
      <c r="S1098" s="22" t="s">
        <v>5098</v>
      </c>
      <c r="T1098" s="51">
        <v>30</v>
      </c>
      <c r="U1098" s="3" t="s">
        <v>5216</v>
      </c>
      <c r="V1098" s="41" t="str">
        <f>HYPERLINK("http://ictvonline.org/taxonomy/p/taxonomy-history?taxnode_id=20180865","ICTVonline=20180865")</f>
        <v>ICTVonline=20180865</v>
      </c>
    </row>
    <row r="1099" spans="1:22">
      <c r="A1099" s="3">
        <v>1098</v>
      </c>
      <c r="J1099" s="1" t="s">
        <v>1338</v>
      </c>
      <c r="L1099" s="1" t="s">
        <v>903</v>
      </c>
      <c r="N1099" s="1" t="s">
        <v>3200</v>
      </c>
      <c r="P1099" s="1" t="s">
        <v>3203</v>
      </c>
      <c r="Q1099" s="3">
        <v>0</v>
      </c>
      <c r="R1099" s="22" t="s">
        <v>2764</v>
      </c>
      <c r="S1099" s="22" t="s">
        <v>5098</v>
      </c>
      <c r="T1099" s="51">
        <v>30</v>
      </c>
      <c r="U1099" s="3" t="s">
        <v>5216</v>
      </c>
      <c r="V1099" s="41" t="str">
        <f>HYPERLINK("http://ictvonline.org/taxonomy/p/taxonomy-history?taxnode_id=20180866","ICTVonline=20180866")</f>
        <v>ICTVonline=20180866</v>
      </c>
    </row>
    <row r="1100" spans="1:22">
      <c r="A1100" s="3">
        <v>1099</v>
      </c>
      <c r="J1100" s="1" t="s">
        <v>1338</v>
      </c>
      <c r="L1100" s="1" t="s">
        <v>903</v>
      </c>
      <c r="N1100" s="1" t="s">
        <v>3200</v>
      </c>
      <c r="P1100" s="1" t="s">
        <v>3204</v>
      </c>
      <c r="Q1100" s="3">
        <v>0</v>
      </c>
      <c r="R1100" s="22" t="s">
        <v>2764</v>
      </c>
      <c r="S1100" s="22" t="s">
        <v>5098</v>
      </c>
      <c r="T1100" s="51">
        <v>30</v>
      </c>
      <c r="U1100" s="3" t="s">
        <v>5216</v>
      </c>
      <c r="V1100" s="41" t="str">
        <f>HYPERLINK("http://ictvonline.org/taxonomy/p/taxonomy-history?taxnode_id=20180867","ICTVonline=20180867")</f>
        <v>ICTVonline=20180867</v>
      </c>
    </row>
    <row r="1101" spans="1:22">
      <c r="A1101" s="3">
        <v>1100</v>
      </c>
      <c r="J1101" s="1" t="s">
        <v>1338</v>
      </c>
      <c r="L1101" s="1" t="s">
        <v>903</v>
      </c>
      <c r="N1101" s="1" t="s">
        <v>3205</v>
      </c>
      <c r="P1101" s="1" t="s">
        <v>3206</v>
      </c>
      <c r="Q1101" s="3">
        <v>0</v>
      </c>
      <c r="R1101" s="22" t="s">
        <v>2764</v>
      </c>
      <c r="S1101" s="22" t="s">
        <v>5098</v>
      </c>
      <c r="T1101" s="51">
        <v>30</v>
      </c>
      <c r="U1101" s="3" t="s">
        <v>5216</v>
      </c>
      <c r="V1101" s="41" t="str">
        <f>HYPERLINK("http://ictvonline.org/taxonomy/p/taxonomy-history?taxnode_id=20180869","ICTVonline=20180869")</f>
        <v>ICTVonline=20180869</v>
      </c>
    </row>
    <row r="1102" spans="1:22">
      <c r="A1102" s="3">
        <v>1101</v>
      </c>
      <c r="J1102" s="1" t="s">
        <v>1338</v>
      </c>
      <c r="L1102" s="1" t="s">
        <v>903</v>
      </c>
      <c r="N1102" s="1" t="s">
        <v>3205</v>
      </c>
      <c r="P1102" s="1" t="s">
        <v>3207</v>
      </c>
      <c r="Q1102" s="3">
        <v>1</v>
      </c>
      <c r="R1102" s="22" t="s">
        <v>2764</v>
      </c>
      <c r="S1102" s="22" t="s">
        <v>5098</v>
      </c>
      <c r="T1102" s="51">
        <v>30</v>
      </c>
      <c r="U1102" s="3" t="s">
        <v>5216</v>
      </c>
      <c r="V1102" s="41" t="str">
        <f>HYPERLINK("http://ictvonline.org/taxonomy/p/taxonomy-history?taxnode_id=20180870","ICTVonline=20180870")</f>
        <v>ICTVonline=20180870</v>
      </c>
    </row>
    <row r="1103" spans="1:22">
      <c r="A1103" s="3">
        <v>1102</v>
      </c>
      <c r="J1103" s="1" t="s">
        <v>1338</v>
      </c>
      <c r="L1103" s="1" t="s">
        <v>903</v>
      </c>
      <c r="N1103" s="1" t="s">
        <v>3208</v>
      </c>
      <c r="P1103" s="1" t="s">
        <v>3209</v>
      </c>
      <c r="Q1103" s="3">
        <v>1</v>
      </c>
      <c r="R1103" s="22" t="s">
        <v>2764</v>
      </c>
      <c r="S1103" s="22" t="s">
        <v>5098</v>
      </c>
      <c r="T1103" s="51">
        <v>30</v>
      </c>
      <c r="U1103" s="3" t="s">
        <v>5216</v>
      </c>
      <c r="V1103" s="41" t="str">
        <f>HYPERLINK("http://ictvonline.org/taxonomy/p/taxonomy-history?taxnode_id=20180872","ICTVonline=20180872")</f>
        <v>ICTVonline=20180872</v>
      </c>
    </row>
    <row r="1104" spans="1:22">
      <c r="A1104" s="3">
        <v>1103</v>
      </c>
      <c r="J1104" s="1" t="s">
        <v>1338</v>
      </c>
      <c r="L1104" s="1" t="s">
        <v>903</v>
      </c>
      <c r="N1104" s="1" t="s">
        <v>3208</v>
      </c>
      <c r="P1104" s="1" t="s">
        <v>4504</v>
      </c>
      <c r="Q1104" s="3">
        <v>0</v>
      </c>
      <c r="R1104" s="22" t="s">
        <v>2764</v>
      </c>
      <c r="S1104" s="22" t="s">
        <v>5097</v>
      </c>
      <c r="T1104" s="51">
        <v>31</v>
      </c>
      <c r="U1104" s="3" t="s">
        <v>5217</v>
      </c>
      <c r="V1104" s="41" t="str">
        <f>HYPERLINK("http://ictvonline.org/taxonomy/p/taxonomy-history?taxnode_id=20180873","ICTVonline=20180873")</f>
        <v>ICTVonline=20180873</v>
      </c>
    </row>
    <row r="1105" spans="1:22">
      <c r="A1105" s="3">
        <v>1104</v>
      </c>
      <c r="J1105" s="1" t="s">
        <v>1338</v>
      </c>
      <c r="L1105" s="1" t="s">
        <v>903</v>
      </c>
      <c r="N1105" s="1" t="s">
        <v>3208</v>
      </c>
      <c r="P1105" s="1" t="s">
        <v>4505</v>
      </c>
      <c r="Q1105" s="3">
        <v>0</v>
      </c>
      <c r="R1105" s="22" t="s">
        <v>2764</v>
      </c>
      <c r="S1105" s="22" t="s">
        <v>5097</v>
      </c>
      <c r="T1105" s="51">
        <v>31</v>
      </c>
      <c r="U1105" s="3" t="s">
        <v>5217</v>
      </c>
      <c r="V1105" s="41" t="str">
        <f>HYPERLINK("http://ictvonline.org/taxonomy/p/taxonomy-history?taxnode_id=20180874","ICTVonline=20180874")</f>
        <v>ICTVonline=20180874</v>
      </c>
    </row>
    <row r="1106" spans="1:22">
      <c r="A1106" s="3">
        <v>1105</v>
      </c>
      <c r="J1106" s="1" t="s">
        <v>1338</v>
      </c>
      <c r="L1106" s="1" t="s">
        <v>903</v>
      </c>
      <c r="N1106" s="1" t="s">
        <v>3208</v>
      </c>
      <c r="P1106" s="1" t="s">
        <v>4506</v>
      </c>
      <c r="Q1106" s="3">
        <v>0</v>
      </c>
      <c r="R1106" s="22" t="s">
        <v>2764</v>
      </c>
      <c r="S1106" s="22" t="s">
        <v>5097</v>
      </c>
      <c r="T1106" s="51">
        <v>31</v>
      </c>
      <c r="U1106" s="3" t="s">
        <v>5217</v>
      </c>
      <c r="V1106" s="41" t="str">
        <f>HYPERLINK("http://ictvonline.org/taxonomy/p/taxonomy-history?taxnode_id=20180875","ICTVonline=20180875")</f>
        <v>ICTVonline=20180875</v>
      </c>
    </row>
    <row r="1107" spans="1:22">
      <c r="A1107" s="3">
        <v>1106</v>
      </c>
      <c r="J1107" s="1" t="s">
        <v>1338</v>
      </c>
      <c r="L1107" s="1" t="s">
        <v>903</v>
      </c>
      <c r="N1107" s="1" t="s">
        <v>3208</v>
      </c>
      <c r="P1107" s="1" t="s">
        <v>3210</v>
      </c>
      <c r="Q1107" s="3">
        <v>0</v>
      </c>
      <c r="R1107" s="22" t="s">
        <v>2764</v>
      </c>
      <c r="S1107" s="22" t="s">
        <v>5098</v>
      </c>
      <c r="T1107" s="51">
        <v>30</v>
      </c>
      <c r="U1107" s="3" t="s">
        <v>5216</v>
      </c>
      <c r="V1107" s="41" t="str">
        <f>HYPERLINK("http://ictvonline.org/taxonomy/p/taxonomy-history?taxnode_id=20180876","ICTVonline=20180876")</f>
        <v>ICTVonline=20180876</v>
      </c>
    </row>
    <row r="1108" spans="1:22">
      <c r="A1108" s="3">
        <v>1107</v>
      </c>
      <c r="J1108" s="1" t="s">
        <v>1338</v>
      </c>
      <c r="L1108" s="1" t="s">
        <v>903</v>
      </c>
      <c r="N1108" s="1" t="s">
        <v>3208</v>
      </c>
      <c r="P1108" s="1" t="s">
        <v>4507</v>
      </c>
      <c r="Q1108" s="3">
        <v>0</v>
      </c>
      <c r="R1108" s="22" t="s">
        <v>2764</v>
      </c>
      <c r="S1108" s="22" t="s">
        <v>5097</v>
      </c>
      <c r="T1108" s="51">
        <v>31</v>
      </c>
      <c r="U1108" s="3" t="s">
        <v>5217</v>
      </c>
      <c r="V1108" s="41" t="str">
        <f>HYPERLINK("http://ictvonline.org/taxonomy/p/taxonomy-history?taxnode_id=20180877","ICTVonline=20180877")</f>
        <v>ICTVonline=20180877</v>
      </c>
    </row>
    <row r="1109" spans="1:22">
      <c r="A1109" s="3">
        <v>1108</v>
      </c>
      <c r="J1109" s="1" t="s">
        <v>1338</v>
      </c>
      <c r="L1109" s="1" t="s">
        <v>903</v>
      </c>
      <c r="N1109" s="1" t="s">
        <v>3211</v>
      </c>
      <c r="P1109" s="1" t="s">
        <v>3212</v>
      </c>
      <c r="Q1109" s="3">
        <v>0</v>
      </c>
      <c r="R1109" s="22" t="s">
        <v>2764</v>
      </c>
      <c r="S1109" s="22" t="s">
        <v>5097</v>
      </c>
      <c r="T1109" s="51">
        <v>30</v>
      </c>
      <c r="U1109" s="3" t="s">
        <v>5369</v>
      </c>
      <c r="V1109" s="41" t="str">
        <f>HYPERLINK("http://ictvonline.org/taxonomy/p/taxonomy-history?taxnode_id=20180879","ICTVonline=20180879")</f>
        <v>ICTVonline=20180879</v>
      </c>
    </row>
    <row r="1110" spans="1:22">
      <c r="A1110" s="3">
        <v>1109</v>
      </c>
      <c r="J1110" s="1" t="s">
        <v>1338</v>
      </c>
      <c r="L1110" s="1" t="s">
        <v>903</v>
      </c>
      <c r="N1110" s="1" t="s">
        <v>3211</v>
      </c>
      <c r="P1110" s="1" t="s">
        <v>3213</v>
      </c>
      <c r="Q1110" s="3">
        <v>0</v>
      </c>
      <c r="R1110" s="22" t="s">
        <v>2764</v>
      </c>
      <c r="S1110" s="22" t="s">
        <v>5097</v>
      </c>
      <c r="T1110" s="51">
        <v>30</v>
      </c>
      <c r="U1110" s="3" t="s">
        <v>5369</v>
      </c>
      <c r="V1110" s="41" t="str">
        <f>HYPERLINK("http://ictvonline.org/taxonomy/p/taxonomy-history?taxnode_id=20180880","ICTVonline=20180880")</f>
        <v>ICTVonline=20180880</v>
      </c>
    </row>
    <row r="1111" spans="1:22">
      <c r="A1111" s="3">
        <v>1110</v>
      </c>
      <c r="J1111" s="1" t="s">
        <v>1338</v>
      </c>
      <c r="L1111" s="1" t="s">
        <v>903</v>
      </c>
      <c r="N1111" s="1" t="s">
        <v>3211</v>
      </c>
      <c r="P1111" s="1" t="s">
        <v>3214</v>
      </c>
      <c r="Q1111" s="3">
        <v>1</v>
      </c>
      <c r="R1111" s="22" t="s">
        <v>2764</v>
      </c>
      <c r="S1111" s="22" t="s">
        <v>5097</v>
      </c>
      <c r="T1111" s="51">
        <v>30</v>
      </c>
      <c r="U1111" s="3" t="s">
        <v>5369</v>
      </c>
      <c r="V1111" s="41" t="str">
        <f>HYPERLINK("http://ictvonline.org/taxonomy/p/taxonomy-history?taxnode_id=20180881","ICTVonline=20180881")</f>
        <v>ICTVonline=20180881</v>
      </c>
    </row>
    <row r="1112" spans="1:22">
      <c r="A1112" s="3">
        <v>1111</v>
      </c>
      <c r="J1112" s="1" t="s">
        <v>1338</v>
      </c>
      <c r="L1112" s="1" t="s">
        <v>903</v>
      </c>
      <c r="N1112" s="1" t="s">
        <v>3215</v>
      </c>
      <c r="P1112" s="1" t="s">
        <v>3216</v>
      </c>
      <c r="Q1112" s="3">
        <v>1</v>
      </c>
      <c r="R1112" s="22" t="s">
        <v>2764</v>
      </c>
      <c r="S1112" s="22" t="s">
        <v>5097</v>
      </c>
      <c r="T1112" s="51">
        <v>30</v>
      </c>
      <c r="U1112" s="3" t="s">
        <v>5370</v>
      </c>
      <c r="V1112" s="41" t="str">
        <f>HYPERLINK("http://ictvonline.org/taxonomy/p/taxonomy-history?taxnode_id=20180883","ICTVonline=20180883")</f>
        <v>ICTVonline=20180883</v>
      </c>
    </row>
    <row r="1113" spans="1:22">
      <c r="A1113" s="3">
        <v>1112</v>
      </c>
      <c r="J1113" s="1" t="s">
        <v>1338</v>
      </c>
      <c r="L1113" s="1" t="s">
        <v>903</v>
      </c>
      <c r="N1113" s="1" t="s">
        <v>3217</v>
      </c>
      <c r="P1113" s="1" t="s">
        <v>3218</v>
      </c>
      <c r="Q1113" s="3">
        <v>0</v>
      </c>
      <c r="R1113" s="22" t="s">
        <v>2764</v>
      </c>
      <c r="S1113" s="22" t="s">
        <v>5098</v>
      </c>
      <c r="T1113" s="51">
        <v>30</v>
      </c>
      <c r="U1113" s="3" t="s">
        <v>5216</v>
      </c>
      <c r="V1113" s="41" t="str">
        <f>HYPERLINK("http://ictvonline.org/taxonomy/p/taxonomy-history?taxnode_id=20180885","ICTVonline=20180885")</f>
        <v>ICTVonline=20180885</v>
      </c>
    </row>
    <row r="1114" spans="1:22">
      <c r="A1114" s="3">
        <v>1113</v>
      </c>
      <c r="J1114" s="1" t="s">
        <v>1338</v>
      </c>
      <c r="L1114" s="1" t="s">
        <v>903</v>
      </c>
      <c r="N1114" s="1" t="s">
        <v>3217</v>
      </c>
      <c r="P1114" s="1" t="s">
        <v>3219</v>
      </c>
      <c r="Q1114" s="3">
        <v>1</v>
      </c>
      <c r="R1114" s="22" t="s">
        <v>2764</v>
      </c>
      <c r="S1114" s="22" t="s">
        <v>5098</v>
      </c>
      <c r="T1114" s="51">
        <v>30</v>
      </c>
      <c r="U1114" s="3" t="s">
        <v>5216</v>
      </c>
      <c r="V1114" s="41" t="str">
        <f>HYPERLINK("http://ictvonline.org/taxonomy/p/taxonomy-history?taxnode_id=20180886","ICTVonline=20180886")</f>
        <v>ICTVonline=20180886</v>
      </c>
    </row>
    <row r="1115" spans="1:22">
      <c r="A1115" s="3">
        <v>1114</v>
      </c>
      <c r="J1115" s="1" t="s">
        <v>1338</v>
      </c>
      <c r="L1115" s="1" t="s">
        <v>903</v>
      </c>
      <c r="N1115" s="1" t="s">
        <v>3223</v>
      </c>
      <c r="P1115" s="1" t="s">
        <v>3224</v>
      </c>
      <c r="Q1115" s="3">
        <v>0</v>
      </c>
      <c r="R1115" s="22" t="s">
        <v>2764</v>
      </c>
      <c r="S1115" s="22" t="s">
        <v>5098</v>
      </c>
      <c r="T1115" s="51">
        <v>30</v>
      </c>
      <c r="U1115" s="3" t="s">
        <v>5216</v>
      </c>
      <c r="V1115" s="41" t="str">
        <f>HYPERLINK("http://ictvonline.org/taxonomy/p/taxonomy-history?taxnode_id=20180891","ICTVonline=20180891")</f>
        <v>ICTVonline=20180891</v>
      </c>
    </row>
    <row r="1116" spans="1:22">
      <c r="A1116" s="3">
        <v>1115</v>
      </c>
      <c r="J1116" s="1" t="s">
        <v>1338</v>
      </c>
      <c r="L1116" s="1" t="s">
        <v>903</v>
      </c>
      <c r="N1116" s="1" t="s">
        <v>3223</v>
      </c>
      <c r="P1116" s="1" t="s">
        <v>3225</v>
      </c>
      <c r="Q1116" s="3">
        <v>0</v>
      </c>
      <c r="R1116" s="22" t="s">
        <v>2764</v>
      </c>
      <c r="S1116" s="22" t="s">
        <v>5098</v>
      </c>
      <c r="T1116" s="51">
        <v>30</v>
      </c>
      <c r="U1116" s="3" t="s">
        <v>5216</v>
      </c>
      <c r="V1116" s="41" t="str">
        <f>HYPERLINK("http://ictvonline.org/taxonomy/p/taxonomy-history?taxnode_id=20180892","ICTVonline=20180892")</f>
        <v>ICTVonline=20180892</v>
      </c>
    </row>
    <row r="1117" spans="1:22">
      <c r="A1117" s="3">
        <v>1116</v>
      </c>
      <c r="J1117" s="1" t="s">
        <v>1338</v>
      </c>
      <c r="L1117" s="1" t="s">
        <v>903</v>
      </c>
      <c r="N1117" s="1" t="s">
        <v>3223</v>
      </c>
      <c r="P1117" s="1" t="s">
        <v>3226</v>
      </c>
      <c r="Q1117" s="3">
        <v>0</v>
      </c>
      <c r="R1117" s="22" t="s">
        <v>2764</v>
      </c>
      <c r="S1117" s="22" t="s">
        <v>5098</v>
      </c>
      <c r="T1117" s="51">
        <v>30</v>
      </c>
      <c r="U1117" s="3" t="s">
        <v>5216</v>
      </c>
      <c r="V1117" s="41" t="str">
        <f>HYPERLINK("http://ictvonline.org/taxonomy/p/taxonomy-history?taxnode_id=20180893","ICTVonline=20180893")</f>
        <v>ICTVonline=20180893</v>
      </c>
    </row>
    <row r="1118" spans="1:22">
      <c r="A1118" s="3">
        <v>1117</v>
      </c>
      <c r="J1118" s="1" t="s">
        <v>1338</v>
      </c>
      <c r="L1118" s="1" t="s">
        <v>903</v>
      </c>
      <c r="N1118" s="1" t="s">
        <v>3223</v>
      </c>
      <c r="P1118" s="1" t="s">
        <v>3227</v>
      </c>
      <c r="Q1118" s="3">
        <v>1</v>
      </c>
      <c r="R1118" s="22" t="s">
        <v>2764</v>
      </c>
      <c r="S1118" s="22" t="s">
        <v>5098</v>
      </c>
      <c r="T1118" s="51">
        <v>30</v>
      </c>
      <c r="U1118" s="3" t="s">
        <v>5216</v>
      </c>
      <c r="V1118" s="41" t="str">
        <f>HYPERLINK("http://ictvonline.org/taxonomy/p/taxonomy-history?taxnode_id=20180894","ICTVonline=20180894")</f>
        <v>ICTVonline=20180894</v>
      </c>
    </row>
    <row r="1119" spans="1:22">
      <c r="A1119" s="3">
        <v>1118</v>
      </c>
      <c r="J1119" s="1" t="s">
        <v>1338</v>
      </c>
      <c r="L1119" s="1" t="s">
        <v>903</v>
      </c>
      <c r="N1119" s="1" t="s">
        <v>3223</v>
      </c>
      <c r="P1119" s="1" t="s">
        <v>3228</v>
      </c>
      <c r="Q1119" s="3">
        <v>0</v>
      </c>
      <c r="R1119" s="22" t="s">
        <v>2764</v>
      </c>
      <c r="S1119" s="22" t="s">
        <v>5098</v>
      </c>
      <c r="T1119" s="51">
        <v>30</v>
      </c>
      <c r="U1119" s="3" t="s">
        <v>5216</v>
      </c>
      <c r="V1119" s="41" t="str">
        <f>HYPERLINK("http://ictvonline.org/taxonomy/p/taxonomy-history?taxnode_id=20180895","ICTVonline=20180895")</f>
        <v>ICTVonline=20180895</v>
      </c>
    </row>
    <row r="1120" spans="1:22">
      <c r="A1120" s="3">
        <v>1119</v>
      </c>
      <c r="J1120" s="1" t="s">
        <v>1338</v>
      </c>
      <c r="L1120" s="1" t="s">
        <v>903</v>
      </c>
      <c r="N1120" s="1" t="s">
        <v>3223</v>
      </c>
      <c r="P1120" s="1" t="s">
        <v>3229</v>
      </c>
      <c r="Q1120" s="3">
        <v>0</v>
      </c>
      <c r="R1120" s="22" t="s">
        <v>2764</v>
      </c>
      <c r="S1120" s="22" t="s">
        <v>5098</v>
      </c>
      <c r="T1120" s="51">
        <v>30</v>
      </c>
      <c r="U1120" s="3" t="s">
        <v>5216</v>
      </c>
      <c r="V1120" s="41" t="str">
        <f>HYPERLINK("http://ictvonline.org/taxonomy/p/taxonomy-history?taxnode_id=20180896","ICTVonline=20180896")</f>
        <v>ICTVonline=20180896</v>
      </c>
    </row>
    <row r="1121" spans="1:22">
      <c r="A1121" s="3">
        <v>1120</v>
      </c>
      <c r="J1121" s="1" t="s">
        <v>1338</v>
      </c>
      <c r="L1121" s="1" t="s">
        <v>903</v>
      </c>
      <c r="N1121" s="1" t="s">
        <v>3223</v>
      </c>
      <c r="P1121" s="1" t="s">
        <v>3230</v>
      </c>
      <c r="Q1121" s="3">
        <v>0</v>
      </c>
      <c r="R1121" s="22" t="s">
        <v>2764</v>
      </c>
      <c r="S1121" s="22" t="s">
        <v>5098</v>
      </c>
      <c r="T1121" s="51">
        <v>30</v>
      </c>
      <c r="U1121" s="3" t="s">
        <v>5216</v>
      </c>
      <c r="V1121" s="41" t="str">
        <f>HYPERLINK("http://ictvonline.org/taxonomy/p/taxonomy-history?taxnode_id=20180897","ICTVonline=20180897")</f>
        <v>ICTVonline=20180897</v>
      </c>
    </row>
    <row r="1122" spans="1:22">
      <c r="A1122" s="3">
        <v>1121</v>
      </c>
      <c r="J1122" s="1" t="s">
        <v>1338</v>
      </c>
      <c r="L1122" s="1" t="s">
        <v>903</v>
      </c>
      <c r="N1122" s="1" t="s">
        <v>3223</v>
      </c>
      <c r="P1122" s="1" t="s">
        <v>3231</v>
      </c>
      <c r="Q1122" s="3">
        <v>0</v>
      </c>
      <c r="R1122" s="22" t="s">
        <v>2764</v>
      </c>
      <c r="S1122" s="22" t="s">
        <v>5098</v>
      </c>
      <c r="T1122" s="51">
        <v>30</v>
      </c>
      <c r="U1122" s="3" t="s">
        <v>5216</v>
      </c>
      <c r="V1122" s="41" t="str">
        <f>HYPERLINK("http://ictvonline.org/taxonomy/p/taxonomy-history?taxnode_id=20180898","ICTVonline=20180898")</f>
        <v>ICTVonline=20180898</v>
      </c>
    </row>
    <row r="1123" spans="1:22">
      <c r="A1123" s="3">
        <v>1122</v>
      </c>
      <c r="J1123" s="1" t="s">
        <v>1338</v>
      </c>
      <c r="L1123" s="1" t="s">
        <v>903</v>
      </c>
      <c r="N1123" s="1" t="s">
        <v>3223</v>
      </c>
      <c r="P1123" s="1" t="s">
        <v>3232</v>
      </c>
      <c r="Q1123" s="3">
        <v>0</v>
      </c>
      <c r="R1123" s="22" t="s">
        <v>2764</v>
      </c>
      <c r="S1123" s="22" t="s">
        <v>5098</v>
      </c>
      <c r="T1123" s="51">
        <v>30</v>
      </c>
      <c r="U1123" s="3" t="s">
        <v>5216</v>
      </c>
      <c r="V1123" s="41" t="str">
        <f>HYPERLINK("http://ictvonline.org/taxonomy/p/taxonomy-history?taxnode_id=20180899","ICTVonline=20180899")</f>
        <v>ICTVonline=20180899</v>
      </c>
    </row>
    <row r="1124" spans="1:22">
      <c r="A1124" s="3">
        <v>1123</v>
      </c>
      <c r="J1124" s="1" t="s">
        <v>1338</v>
      </c>
      <c r="L1124" s="1" t="s">
        <v>903</v>
      </c>
      <c r="N1124" s="1" t="s">
        <v>3223</v>
      </c>
      <c r="P1124" s="1" t="s">
        <v>3233</v>
      </c>
      <c r="Q1124" s="3">
        <v>0</v>
      </c>
      <c r="R1124" s="22" t="s">
        <v>2764</v>
      </c>
      <c r="S1124" s="22" t="s">
        <v>5098</v>
      </c>
      <c r="T1124" s="51">
        <v>30</v>
      </c>
      <c r="U1124" s="3" t="s">
        <v>5216</v>
      </c>
      <c r="V1124" s="41" t="str">
        <f>HYPERLINK("http://ictvonline.org/taxonomy/p/taxonomy-history?taxnode_id=20180900","ICTVonline=20180900")</f>
        <v>ICTVonline=20180900</v>
      </c>
    </row>
    <row r="1125" spans="1:22">
      <c r="A1125" s="3">
        <v>1124</v>
      </c>
      <c r="J1125" s="1" t="s">
        <v>1338</v>
      </c>
      <c r="L1125" s="1" t="s">
        <v>903</v>
      </c>
      <c r="N1125" s="1" t="s">
        <v>3223</v>
      </c>
      <c r="P1125" s="1" t="s">
        <v>3234</v>
      </c>
      <c r="Q1125" s="3">
        <v>0</v>
      </c>
      <c r="R1125" s="22" t="s">
        <v>2764</v>
      </c>
      <c r="S1125" s="22" t="s">
        <v>5098</v>
      </c>
      <c r="T1125" s="51">
        <v>30</v>
      </c>
      <c r="U1125" s="3" t="s">
        <v>5216</v>
      </c>
      <c r="V1125" s="41" t="str">
        <f>HYPERLINK("http://ictvonline.org/taxonomy/p/taxonomy-history?taxnode_id=20180901","ICTVonline=20180901")</f>
        <v>ICTVonline=20180901</v>
      </c>
    </row>
    <row r="1126" spans="1:22">
      <c r="A1126" s="3">
        <v>1125</v>
      </c>
      <c r="J1126" s="1" t="s">
        <v>1338</v>
      </c>
      <c r="L1126" s="1" t="s">
        <v>903</v>
      </c>
      <c r="N1126" s="1" t="s">
        <v>3223</v>
      </c>
      <c r="P1126" s="1" t="s">
        <v>3235</v>
      </c>
      <c r="Q1126" s="3">
        <v>0</v>
      </c>
      <c r="R1126" s="22" t="s">
        <v>2764</v>
      </c>
      <c r="S1126" s="22" t="s">
        <v>5098</v>
      </c>
      <c r="T1126" s="51">
        <v>30</v>
      </c>
      <c r="U1126" s="3" t="s">
        <v>5216</v>
      </c>
      <c r="V1126" s="41" t="str">
        <f>HYPERLINK("http://ictvonline.org/taxonomy/p/taxonomy-history?taxnode_id=20180902","ICTVonline=20180902")</f>
        <v>ICTVonline=20180902</v>
      </c>
    </row>
    <row r="1127" spans="1:22">
      <c r="A1127" s="3">
        <v>1126</v>
      </c>
      <c r="J1127" s="1" t="s">
        <v>1338</v>
      </c>
      <c r="L1127" s="1" t="s">
        <v>903</v>
      </c>
      <c r="N1127" s="1" t="s">
        <v>3223</v>
      </c>
      <c r="P1127" s="1" t="s">
        <v>3236</v>
      </c>
      <c r="Q1127" s="3">
        <v>0</v>
      </c>
      <c r="R1127" s="22" t="s">
        <v>2764</v>
      </c>
      <c r="S1127" s="22" t="s">
        <v>5098</v>
      </c>
      <c r="T1127" s="51">
        <v>30</v>
      </c>
      <c r="U1127" s="3" t="s">
        <v>5216</v>
      </c>
      <c r="V1127" s="41" t="str">
        <f>HYPERLINK("http://ictvonline.org/taxonomy/p/taxonomy-history?taxnode_id=20180903","ICTVonline=20180903")</f>
        <v>ICTVonline=20180903</v>
      </c>
    </row>
    <row r="1128" spans="1:22">
      <c r="A1128" s="3">
        <v>1127</v>
      </c>
      <c r="J1128" s="1" t="s">
        <v>1338</v>
      </c>
      <c r="L1128" s="1" t="s">
        <v>903</v>
      </c>
      <c r="N1128" s="1" t="s">
        <v>3223</v>
      </c>
      <c r="P1128" s="1" t="s">
        <v>3237</v>
      </c>
      <c r="Q1128" s="3">
        <v>0</v>
      </c>
      <c r="R1128" s="22" t="s">
        <v>2764</v>
      </c>
      <c r="S1128" s="22" t="s">
        <v>5098</v>
      </c>
      <c r="T1128" s="51">
        <v>30</v>
      </c>
      <c r="U1128" s="3" t="s">
        <v>5216</v>
      </c>
      <c r="V1128" s="41" t="str">
        <f>HYPERLINK("http://ictvonline.org/taxonomy/p/taxonomy-history?taxnode_id=20180904","ICTVonline=20180904")</f>
        <v>ICTVonline=20180904</v>
      </c>
    </row>
    <row r="1129" spans="1:22">
      <c r="A1129" s="3">
        <v>1128</v>
      </c>
      <c r="J1129" s="1" t="s">
        <v>1338</v>
      </c>
      <c r="L1129" s="1" t="s">
        <v>903</v>
      </c>
      <c r="N1129" s="1" t="s">
        <v>3223</v>
      </c>
      <c r="P1129" s="1" t="s">
        <v>3238</v>
      </c>
      <c r="Q1129" s="3">
        <v>0</v>
      </c>
      <c r="R1129" s="22" t="s">
        <v>2764</v>
      </c>
      <c r="S1129" s="22" t="s">
        <v>5098</v>
      </c>
      <c r="T1129" s="51">
        <v>30</v>
      </c>
      <c r="U1129" s="3" t="s">
        <v>5216</v>
      </c>
      <c r="V1129" s="41" t="str">
        <f>HYPERLINK("http://ictvonline.org/taxonomy/p/taxonomy-history?taxnode_id=20180905","ICTVonline=20180905")</f>
        <v>ICTVonline=20180905</v>
      </c>
    </row>
    <row r="1130" spans="1:22">
      <c r="A1130" s="3">
        <v>1129</v>
      </c>
      <c r="J1130" s="1" t="s">
        <v>1338</v>
      </c>
      <c r="L1130" s="1" t="s">
        <v>903</v>
      </c>
      <c r="N1130" s="1" t="s">
        <v>3223</v>
      </c>
      <c r="P1130" s="1" t="s">
        <v>3239</v>
      </c>
      <c r="Q1130" s="3">
        <v>0</v>
      </c>
      <c r="R1130" s="22" t="s">
        <v>2764</v>
      </c>
      <c r="S1130" s="22" t="s">
        <v>5098</v>
      </c>
      <c r="T1130" s="51">
        <v>30</v>
      </c>
      <c r="U1130" s="3" t="s">
        <v>5216</v>
      </c>
      <c r="V1130" s="41" t="str">
        <f>HYPERLINK("http://ictvonline.org/taxonomy/p/taxonomy-history?taxnode_id=20180906","ICTVonline=20180906")</f>
        <v>ICTVonline=20180906</v>
      </c>
    </row>
    <row r="1131" spans="1:22">
      <c r="A1131" s="3">
        <v>1130</v>
      </c>
      <c r="J1131" s="1" t="s">
        <v>1338</v>
      </c>
      <c r="L1131" s="1" t="s">
        <v>903</v>
      </c>
      <c r="N1131" s="1" t="s">
        <v>3223</v>
      </c>
      <c r="P1131" s="1" t="s">
        <v>3240</v>
      </c>
      <c r="Q1131" s="3">
        <v>0</v>
      </c>
      <c r="R1131" s="22" t="s">
        <v>2764</v>
      </c>
      <c r="S1131" s="22" t="s">
        <v>5098</v>
      </c>
      <c r="T1131" s="51">
        <v>30</v>
      </c>
      <c r="U1131" s="3" t="s">
        <v>5216</v>
      </c>
      <c r="V1131" s="41" t="str">
        <f>HYPERLINK("http://ictvonline.org/taxonomy/p/taxonomy-history?taxnode_id=20180907","ICTVonline=20180907")</f>
        <v>ICTVonline=20180907</v>
      </c>
    </row>
    <row r="1132" spans="1:22">
      <c r="A1132" s="3">
        <v>1131</v>
      </c>
      <c r="J1132" s="1" t="s">
        <v>1338</v>
      </c>
      <c r="L1132" s="1" t="s">
        <v>903</v>
      </c>
      <c r="N1132" s="1" t="s">
        <v>3223</v>
      </c>
      <c r="P1132" s="1" t="s">
        <v>3241</v>
      </c>
      <c r="Q1132" s="3">
        <v>0</v>
      </c>
      <c r="R1132" s="22" t="s">
        <v>2764</v>
      </c>
      <c r="S1132" s="22" t="s">
        <v>5098</v>
      </c>
      <c r="T1132" s="51">
        <v>30</v>
      </c>
      <c r="U1132" s="3" t="s">
        <v>5216</v>
      </c>
      <c r="V1132" s="41" t="str">
        <f>HYPERLINK("http://ictvonline.org/taxonomy/p/taxonomy-history?taxnode_id=20180908","ICTVonline=20180908")</f>
        <v>ICTVonline=20180908</v>
      </c>
    </row>
    <row r="1133" spans="1:22">
      <c r="A1133" s="3">
        <v>1132</v>
      </c>
      <c r="J1133" s="1" t="s">
        <v>1338</v>
      </c>
      <c r="L1133" s="1" t="s">
        <v>903</v>
      </c>
      <c r="N1133" s="1" t="s">
        <v>3223</v>
      </c>
      <c r="P1133" s="1" t="s">
        <v>3242</v>
      </c>
      <c r="Q1133" s="3">
        <v>0</v>
      </c>
      <c r="R1133" s="22" t="s">
        <v>2764</v>
      </c>
      <c r="S1133" s="22" t="s">
        <v>5098</v>
      </c>
      <c r="T1133" s="51">
        <v>30</v>
      </c>
      <c r="U1133" s="3" t="s">
        <v>5216</v>
      </c>
      <c r="V1133" s="41" t="str">
        <f>HYPERLINK("http://ictvonline.org/taxonomy/p/taxonomy-history?taxnode_id=20180909","ICTVonline=20180909")</f>
        <v>ICTVonline=20180909</v>
      </c>
    </row>
    <row r="1134" spans="1:22">
      <c r="A1134" s="3">
        <v>1133</v>
      </c>
      <c r="J1134" s="1" t="s">
        <v>1338</v>
      </c>
      <c r="L1134" s="1" t="s">
        <v>903</v>
      </c>
      <c r="N1134" s="1" t="s">
        <v>3223</v>
      </c>
      <c r="P1134" s="1" t="s">
        <v>3243</v>
      </c>
      <c r="Q1134" s="3">
        <v>0</v>
      </c>
      <c r="R1134" s="22" t="s">
        <v>2764</v>
      </c>
      <c r="S1134" s="22" t="s">
        <v>5098</v>
      </c>
      <c r="T1134" s="51">
        <v>30</v>
      </c>
      <c r="U1134" s="3" t="s">
        <v>5216</v>
      </c>
      <c r="V1134" s="41" t="str">
        <f>HYPERLINK("http://ictvonline.org/taxonomy/p/taxonomy-history?taxnode_id=20180910","ICTVonline=20180910")</f>
        <v>ICTVonline=20180910</v>
      </c>
    </row>
    <row r="1135" spans="1:22">
      <c r="A1135" s="3">
        <v>1134</v>
      </c>
      <c r="J1135" s="1" t="s">
        <v>1338</v>
      </c>
      <c r="L1135" s="1" t="s">
        <v>903</v>
      </c>
      <c r="N1135" s="1" t="s">
        <v>3223</v>
      </c>
      <c r="P1135" s="1" t="s">
        <v>3244</v>
      </c>
      <c r="Q1135" s="3">
        <v>0</v>
      </c>
      <c r="R1135" s="22" t="s">
        <v>2764</v>
      </c>
      <c r="S1135" s="22" t="s">
        <v>5098</v>
      </c>
      <c r="T1135" s="51">
        <v>30</v>
      </c>
      <c r="U1135" s="3" t="s">
        <v>5216</v>
      </c>
      <c r="V1135" s="41" t="str">
        <f>HYPERLINK("http://ictvonline.org/taxonomy/p/taxonomy-history?taxnode_id=20180911","ICTVonline=20180911")</f>
        <v>ICTVonline=20180911</v>
      </c>
    </row>
    <row r="1136" spans="1:22">
      <c r="A1136" s="3">
        <v>1135</v>
      </c>
      <c r="J1136" s="1" t="s">
        <v>1338</v>
      </c>
      <c r="L1136" s="1" t="s">
        <v>903</v>
      </c>
      <c r="N1136" s="1" t="s">
        <v>3223</v>
      </c>
      <c r="P1136" s="1" t="s">
        <v>3245</v>
      </c>
      <c r="Q1136" s="3">
        <v>0</v>
      </c>
      <c r="R1136" s="22" t="s">
        <v>2764</v>
      </c>
      <c r="S1136" s="22" t="s">
        <v>5098</v>
      </c>
      <c r="T1136" s="51">
        <v>30</v>
      </c>
      <c r="U1136" s="3" t="s">
        <v>5216</v>
      </c>
      <c r="V1136" s="41" t="str">
        <f>HYPERLINK("http://ictvonline.org/taxonomy/p/taxonomy-history?taxnode_id=20180912","ICTVonline=20180912")</f>
        <v>ICTVonline=20180912</v>
      </c>
    </row>
    <row r="1137" spans="1:22">
      <c r="A1137" s="3">
        <v>1136</v>
      </c>
      <c r="J1137" s="1" t="s">
        <v>1338</v>
      </c>
      <c r="L1137" s="1" t="s">
        <v>903</v>
      </c>
      <c r="N1137" s="1" t="s">
        <v>3223</v>
      </c>
      <c r="P1137" s="1" t="s">
        <v>3246</v>
      </c>
      <c r="Q1137" s="3">
        <v>0</v>
      </c>
      <c r="R1137" s="22" t="s">
        <v>2764</v>
      </c>
      <c r="S1137" s="22" t="s">
        <v>5098</v>
      </c>
      <c r="T1137" s="51">
        <v>30</v>
      </c>
      <c r="U1137" s="3" t="s">
        <v>5216</v>
      </c>
      <c r="V1137" s="41" t="str">
        <f>HYPERLINK("http://ictvonline.org/taxonomy/p/taxonomy-history?taxnode_id=20180913","ICTVonline=20180913")</f>
        <v>ICTVonline=20180913</v>
      </c>
    </row>
    <row r="1138" spans="1:22">
      <c r="A1138" s="3">
        <v>1137</v>
      </c>
      <c r="J1138" s="1" t="s">
        <v>1338</v>
      </c>
      <c r="L1138" s="1" t="s">
        <v>903</v>
      </c>
      <c r="N1138" s="1" t="s">
        <v>3223</v>
      </c>
      <c r="P1138" s="1" t="s">
        <v>3247</v>
      </c>
      <c r="Q1138" s="3">
        <v>0</v>
      </c>
      <c r="R1138" s="22" t="s">
        <v>2764</v>
      </c>
      <c r="S1138" s="22" t="s">
        <v>5098</v>
      </c>
      <c r="T1138" s="51">
        <v>30</v>
      </c>
      <c r="U1138" s="3" t="s">
        <v>5216</v>
      </c>
      <c r="V1138" s="41" t="str">
        <f>HYPERLINK("http://ictvonline.org/taxonomy/p/taxonomy-history?taxnode_id=20180914","ICTVonline=20180914")</f>
        <v>ICTVonline=20180914</v>
      </c>
    </row>
    <row r="1139" spans="1:22">
      <c r="A1139" s="3">
        <v>1138</v>
      </c>
      <c r="J1139" s="1" t="s">
        <v>1338</v>
      </c>
      <c r="L1139" s="1" t="s">
        <v>903</v>
      </c>
      <c r="N1139" s="1" t="s">
        <v>3223</v>
      </c>
      <c r="P1139" s="1" t="s">
        <v>3248</v>
      </c>
      <c r="Q1139" s="3">
        <v>0</v>
      </c>
      <c r="R1139" s="22" t="s">
        <v>2764</v>
      </c>
      <c r="S1139" s="22" t="s">
        <v>5098</v>
      </c>
      <c r="T1139" s="51">
        <v>30</v>
      </c>
      <c r="U1139" s="3" t="s">
        <v>5216</v>
      </c>
      <c r="V1139" s="41" t="str">
        <f>HYPERLINK("http://ictvonline.org/taxonomy/p/taxonomy-history?taxnode_id=20180915","ICTVonline=20180915")</f>
        <v>ICTVonline=20180915</v>
      </c>
    </row>
    <row r="1140" spans="1:22">
      <c r="A1140" s="3">
        <v>1139</v>
      </c>
      <c r="J1140" s="1" t="s">
        <v>1338</v>
      </c>
      <c r="L1140" s="1" t="s">
        <v>903</v>
      </c>
      <c r="N1140" s="1" t="s">
        <v>3223</v>
      </c>
      <c r="P1140" s="1" t="s">
        <v>3249</v>
      </c>
      <c r="Q1140" s="3">
        <v>0</v>
      </c>
      <c r="R1140" s="22" t="s">
        <v>2764</v>
      </c>
      <c r="S1140" s="22" t="s">
        <v>5098</v>
      </c>
      <c r="T1140" s="51">
        <v>30</v>
      </c>
      <c r="U1140" s="3" t="s">
        <v>5216</v>
      </c>
      <c r="V1140" s="41" t="str">
        <f>HYPERLINK("http://ictvonline.org/taxonomy/p/taxonomy-history?taxnode_id=20180916","ICTVonline=20180916")</f>
        <v>ICTVonline=20180916</v>
      </c>
    </row>
    <row r="1141" spans="1:22">
      <c r="A1141" s="3">
        <v>1140</v>
      </c>
      <c r="J1141" s="1" t="s">
        <v>1338</v>
      </c>
      <c r="L1141" s="1" t="s">
        <v>903</v>
      </c>
      <c r="N1141" s="1" t="s">
        <v>3223</v>
      </c>
      <c r="P1141" s="1" t="s">
        <v>3250</v>
      </c>
      <c r="Q1141" s="3">
        <v>0</v>
      </c>
      <c r="R1141" s="22" t="s">
        <v>2764</v>
      </c>
      <c r="S1141" s="22" t="s">
        <v>5098</v>
      </c>
      <c r="T1141" s="51">
        <v>30</v>
      </c>
      <c r="U1141" s="3" t="s">
        <v>5216</v>
      </c>
      <c r="V1141" s="41" t="str">
        <f>HYPERLINK("http://ictvonline.org/taxonomy/p/taxonomy-history?taxnode_id=20180917","ICTVonline=20180917")</f>
        <v>ICTVonline=20180917</v>
      </c>
    </row>
    <row r="1142" spans="1:22">
      <c r="A1142" s="3">
        <v>1141</v>
      </c>
      <c r="J1142" s="1" t="s">
        <v>1338</v>
      </c>
      <c r="L1142" s="1" t="s">
        <v>903</v>
      </c>
      <c r="N1142" s="1" t="s">
        <v>3223</v>
      </c>
      <c r="P1142" s="1" t="s">
        <v>3251</v>
      </c>
      <c r="Q1142" s="3">
        <v>0</v>
      </c>
      <c r="R1142" s="22" t="s">
        <v>2764</v>
      </c>
      <c r="S1142" s="22" t="s">
        <v>5098</v>
      </c>
      <c r="T1142" s="51">
        <v>30</v>
      </c>
      <c r="U1142" s="3" t="s">
        <v>5216</v>
      </c>
      <c r="V1142" s="41" t="str">
        <f>HYPERLINK("http://ictvonline.org/taxonomy/p/taxonomy-history?taxnode_id=20180918","ICTVonline=20180918")</f>
        <v>ICTVonline=20180918</v>
      </c>
    </row>
    <row r="1143" spans="1:22">
      <c r="A1143" s="3">
        <v>1142</v>
      </c>
      <c r="J1143" s="1" t="s">
        <v>1338</v>
      </c>
      <c r="L1143" s="1" t="s">
        <v>903</v>
      </c>
      <c r="N1143" s="1" t="s">
        <v>3256</v>
      </c>
      <c r="P1143" s="1" t="s">
        <v>3257</v>
      </c>
      <c r="Q1143" s="3">
        <v>1</v>
      </c>
      <c r="R1143" s="22" t="s">
        <v>2764</v>
      </c>
      <c r="S1143" s="22" t="s">
        <v>5098</v>
      </c>
      <c r="T1143" s="51">
        <v>30</v>
      </c>
      <c r="U1143" s="3" t="s">
        <v>5216</v>
      </c>
      <c r="V1143" s="41" t="str">
        <f>HYPERLINK("http://ictvonline.org/taxonomy/p/taxonomy-history?taxnode_id=20180924","ICTVonline=20180924")</f>
        <v>ICTVonline=20180924</v>
      </c>
    </row>
    <row r="1144" spans="1:22">
      <c r="A1144" s="3">
        <v>1143</v>
      </c>
      <c r="J1144" s="1" t="s">
        <v>1338</v>
      </c>
      <c r="L1144" s="1" t="s">
        <v>903</v>
      </c>
      <c r="N1144" s="1" t="s">
        <v>3256</v>
      </c>
      <c r="P1144" s="1" t="s">
        <v>3258</v>
      </c>
      <c r="Q1144" s="3">
        <v>0</v>
      </c>
      <c r="R1144" s="22" t="s">
        <v>2764</v>
      </c>
      <c r="S1144" s="22" t="s">
        <v>5098</v>
      </c>
      <c r="T1144" s="51">
        <v>30</v>
      </c>
      <c r="U1144" s="3" t="s">
        <v>5216</v>
      </c>
      <c r="V1144" s="41" t="str">
        <f>HYPERLINK("http://ictvonline.org/taxonomy/p/taxonomy-history?taxnode_id=20180925","ICTVonline=20180925")</f>
        <v>ICTVonline=20180925</v>
      </c>
    </row>
    <row r="1145" spans="1:22">
      <c r="A1145" s="3">
        <v>1144</v>
      </c>
      <c r="J1145" s="1" t="s">
        <v>1338</v>
      </c>
      <c r="L1145" s="1" t="s">
        <v>903</v>
      </c>
      <c r="N1145" s="1" t="s">
        <v>3256</v>
      </c>
      <c r="P1145" s="1" t="s">
        <v>3259</v>
      </c>
      <c r="Q1145" s="3">
        <v>0</v>
      </c>
      <c r="R1145" s="22" t="s">
        <v>2764</v>
      </c>
      <c r="S1145" s="22" t="s">
        <v>5098</v>
      </c>
      <c r="T1145" s="51">
        <v>30</v>
      </c>
      <c r="U1145" s="3" t="s">
        <v>5216</v>
      </c>
      <c r="V1145" s="41" t="str">
        <f>HYPERLINK("http://ictvonline.org/taxonomy/p/taxonomy-history?taxnode_id=20180926","ICTVonline=20180926")</f>
        <v>ICTVonline=20180926</v>
      </c>
    </row>
    <row r="1146" spans="1:22">
      <c r="A1146" s="3">
        <v>1145</v>
      </c>
      <c r="J1146" s="1" t="s">
        <v>1338</v>
      </c>
      <c r="L1146" s="1" t="s">
        <v>903</v>
      </c>
      <c r="N1146" s="1" t="s">
        <v>3256</v>
      </c>
      <c r="P1146" s="1" t="s">
        <v>3260</v>
      </c>
      <c r="Q1146" s="3">
        <v>0</v>
      </c>
      <c r="R1146" s="22" t="s">
        <v>2764</v>
      </c>
      <c r="S1146" s="22" t="s">
        <v>5098</v>
      </c>
      <c r="T1146" s="51">
        <v>30</v>
      </c>
      <c r="U1146" s="3" t="s">
        <v>5216</v>
      </c>
      <c r="V1146" s="41" t="str">
        <f>HYPERLINK("http://ictvonline.org/taxonomy/p/taxonomy-history?taxnode_id=20180927","ICTVonline=20180927")</f>
        <v>ICTVonline=20180927</v>
      </c>
    </row>
    <row r="1147" spans="1:22">
      <c r="A1147" s="3">
        <v>1146</v>
      </c>
      <c r="J1147" s="1" t="s">
        <v>1338</v>
      </c>
      <c r="L1147" s="1" t="s">
        <v>903</v>
      </c>
      <c r="N1147" s="1" t="s">
        <v>3256</v>
      </c>
      <c r="P1147" s="1" t="s">
        <v>3261</v>
      </c>
      <c r="Q1147" s="3">
        <v>0</v>
      </c>
      <c r="R1147" s="22" t="s">
        <v>2764</v>
      </c>
      <c r="S1147" s="22" t="s">
        <v>5098</v>
      </c>
      <c r="T1147" s="51">
        <v>30</v>
      </c>
      <c r="U1147" s="3" t="s">
        <v>5216</v>
      </c>
      <c r="V1147" s="41" t="str">
        <f>HYPERLINK("http://ictvonline.org/taxonomy/p/taxonomy-history?taxnode_id=20180928","ICTVonline=20180928")</f>
        <v>ICTVonline=20180928</v>
      </c>
    </row>
    <row r="1148" spans="1:22">
      <c r="A1148" s="3">
        <v>1147</v>
      </c>
      <c r="J1148" s="1" t="s">
        <v>1338</v>
      </c>
      <c r="L1148" s="1" t="s">
        <v>903</v>
      </c>
      <c r="N1148" s="1" t="s">
        <v>3262</v>
      </c>
      <c r="P1148" s="1" t="s">
        <v>3263</v>
      </c>
      <c r="Q1148" s="3">
        <v>0</v>
      </c>
      <c r="R1148" s="22" t="s">
        <v>2764</v>
      </c>
      <c r="S1148" s="22" t="s">
        <v>5098</v>
      </c>
      <c r="T1148" s="51">
        <v>30</v>
      </c>
      <c r="U1148" s="3" t="s">
        <v>5216</v>
      </c>
      <c r="V1148" s="41" t="str">
        <f>HYPERLINK("http://ictvonline.org/taxonomy/p/taxonomy-history?taxnode_id=20180930","ICTVonline=20180930")</f>
        <v>ICTVonline=20180930</v>
      </c>
    </row>
    <row r="1149" spans="1:22">
      <c r="A1149" s="3">
        <v>1148</v>
      </c>
      <c r="J1149" s="1" t="s">
        <v>1338</v>
      </c>
      <c r="L1149" s="1" t="s">
        <v>903</v>
      </c>
      <c r="N1149" s="1" t="s">
        <v>3262</v>
      </c>
      <c r="P1149" s="1" t="s">
        <v>3264</v>
      </c>
      <c r="Q1149" s="3">
        <v>0</v>
      </c>
      <c r="R1149" s="22" t="s">
        <v>2764</v>
      </c>
      <c r="S1149" s="22" t="s">
        <v>5098</v>
      </c>
      <c r="T1149" s="51">
        <v>30</v>
      </c>
      <c r="U1149" s="3" t="s">
        <v>5216</v>
      </c>
      <c r="V1149" s="41" t="str">
        <f>HYPERLINK("http://ictvonline.org/taxonomy/p/taxonomy-history?taxnode_id=20180931","ICTVonline=20180931")</f>
        <v>ICTVonline=20180931</v>
      </c>
    </row>
    <row r="1150" spans="1:22">
      <c r="A1150" s="3">
        <v>1149</v>
      </c>
      <c r="J1150" s="1" t="s">
        <v>1338</v>
      </c>
      <c r="L1150" s="1" t="s">
        <v>903</v>
      </c>
      <c r="N1150" s="1" t="s">
        <v>3262</v>
      </c>
      <c r="P1150" s="1" t="s">
        <v>3265</v>
      </c>
      <c r="Q1150" s="3">
        <v>1</v>
      </c>
      <c r="R1150" s="22" t="s">
        <v>2764</v>
      </c>
      <c r="S1150" s="22" t="s">
        <v>5098</v>
      </c>
      <c r="T1150" s="51">
        <v>30</v>
      </c>
      <c r="U1150" s="3" t="s">
        <v>5216</v>
      </c>
      <c r="V1150" s="41" t="str">
        <f>HYPERLINK("http://ictvonline.org/taxonomy/p/taxonomy-history?taxnode_id=20180932","ICTVonline=20180932")</f>
        <v>ICTVonline=20180932</v>
      </c>
    </row>
    <row r="1151" spans="1:22">
      <c r="A1151" s="3">
        <v>1150</v>
      </c>
      <c r="J1151" s="1" t="s">
        <v>1338</v>
      </c>
      <c r="L1151" s="1" t="s">
        <v>903</v>
      </c>
      <c r="N1151" s="1" t="s">
        <v>3262</v>
      </c>
      <c r="P1151" s="1" t="s">
        <v>3266</v>
      </c>
      <c r="Q1151" s="3">
        <v>0</v>
      </c>
      <c r="R1151" s="22" t="s">
        <v>2764</v>
      </c>
      <c r="S1151" s="22" t="s">
        <v>5098</v>
      </c>
      <c r="T1151" s="51">
        <v>30</v>
      </c>
      <c r="U1151" s="3" t="s">
        <v>5216</v>
      </c>
      <c r="V1151" s="41" t="str">
        <f>HYPERLINK("http://ictvonline.org/taxonomy/p/taxonomy-history?taxnode_id=20180933","ICTVonline=20180933")</f>
        <v>ICTVonline=20180933</v>
      </c>
    </row>
    <row r="1152" spans="1:22">
      <c r="A1152" s="3">
        <v>1151</v>
      </c>
      <c r="J1152" s="1" t="s">
        <v>1338</v>
      </c>
      <c r="L1152" s="1" t="s">
        <v>903</v>
      </c>
      <c r="N1152" s="1" t="s">
        <v>3262</v>
      </c>
      <c r="P1152" s="1" t="s">
        <v>3267</v>
      </c>
      <c r="Q1152" s="3">
        <v>0</v>
      </c>
      <c r="R1152" s="22" t="s">
        <v>2764</v>
      </c>
      <c r="S1152" s="22" t="s">
        <v>5098</v>
      </c>
      <c r="T1152" s="51">
        <v>30</v>
      </c>
      <c r="U1152" s="3" t="s">
        <v>5216</v>
      </c>
      <c r="V1152" s="41" t="str">
        <f>HYPERLINK("http://ictvonline.org/taxonomy/p/taxonomy-history?taxnode_id=20180934","ICTVonline=20180934")</f>
        <v>ICTVonline=20180934</v>
      </c>
    </row>
    <row r="1153" spans="1:22">
      <c r="A1153" s="3">
        <v>1152</v>
      </c>
      <c r="J1153" s="1" t="s">
        <v>1338</v>
      </c>
      <c r="L1153" s="1" t="s">
        <v>903</v>
      </c>
      <c r="N1153" s="1" t="s">
        <v>3262</v>
      </c>
      <c r="P1153" s="1" t="s">
        <v>3268</v>
      </c>
      <c r="Q1153" s="3">
        <v>0</v>
      </c>
      <c r="R1153" s="22" t="s">
        <v>2764</v>
      </c>
      <c r="S1153" s="22" t="s">
        <v>5098</v>
      </c>
      <c r="T1153" s="51">
        <v>30</v>
      </c>
      <c r="U1153" s="3" t="s">
        <v>5216</v>
      </c>
      <c r="V1153" s="41" t="str">
        <f>HYPERLINK("http://ictvonline.org/taxonomy/p/taxonomy-history?taxnode_id=20180935","ICTVonline=20180935")</f>
        <v>ICTVonline=20180935</v>
      </c>
    </row>
    <row r="1154" spans="1:22">
      <c r="A1154" s="3">
        <v>1153</v>
      </c>
      <c r="J1154" s="1" t="s">
        <v>1338</v>
      </c>
      <c r="L1154" s="1" t="s">
        <v>903</v>
      </c>
      <c r="N1154" s="1" t="s">
        <v>3262</v>
      </c>
      <c r="P1154" s="1" t="s">
        <v>3269</v>
      </c>
      <c r="Q1154" s="3">
        <v>0</v>
      </c>
      <c r="R1154" s="22" t="s">
        <v>2764</v>
      </c>
      <c r="S1154" s="22" t="s">
        <v>5098</v>
      </c>
      <c r="T1154" s="51">
        <v>30</v>
      </c>
      <c r="U1154" s="3" t="s">
        <v>5216</v>
      </c>
      <c r="V1154" s="41" t="str">
        <f>HYPERLINK("http://ictvonline.org/taxonomy/p/taxonomy-history?taxnode_id=20180936","ICTVonline=20180936")</f>
        <v>ICTVonline=20180936</v>
      </c>
    </row>
    <row r="1155" spans="1:22">
      <c r="A1155" s="3">
        <v>1154</v>
      </c>
      <c r="J1155" s="1" t="s">
        <v>1338</v>
      </c>
      <c r="L1155" s="1" t="s">
        <v>903</v>
      </c>
      <c r="N1155" s="1" t="s">
        <v>3262</v>
      </c>
      <c r="P1155" s="1" t="s">
        <v>3270</v>
      </c>
      <c r="Q1155" s="3">
        <v>0</v>
      </c>
      <c r="R1155" s="22" t="s">
        <v>2764</v>
      </c>
      <c r="S1155" s="22" t="s">
        <v>5098</v>
      </c>
      <c r="T1155" s="51">
        <v>30</v>
      </c>
      <c r="U1155" s="3" t="s">
        <v>5216</v>
      </c>
      <c r="V1155" s="41" t="str">
        <f>HYPERLINK("http://ictvonline.org/taxonomy/p/taxonomy-history?taxnode_id=20180937","ICTVonline=20180937")</f>
        <v>ICTVonline=20180937</v>
      </c>
    </row>
    <row r="1156" spans="1:22">
      <c r="A1156" s="3">
        <v>1155</v>
      </c>
      <c r="J1156" s="1" t="s">
        <v>1338</v>
      </c>
      <c r="L1156" s="1" t="s">
        <v>903</v>
      </c>
      <c r="N1156" s="1" t="s">
        <v>3262</v>
      </c>
      <c r="P1156" s="1" t="s">
        <v>3271</v>
      </c>
      <c r="Q1156" s="3">
        <v>0</v>
      </c>
      <c r="R1156" s="22" t="s">
        <v>2764</v>
      </c>
      <c r="S1156" s="22" t="s">
        <v>5098</v>
      </c>
      <c r="T1156" s="51">
        <v>30</v>
      </c>
      <c r="U1156" s="3" t="s">
        <v>5216</v>
      </c>
      <c r="V1156" s="41" t="str">
        <f>HYPERLINK("http://ictvonline.org/taxonomy/p/taxonomy-history?taxnode_id=20180938","ICTVonline=20180938")</f>
        <v>ICTVonline=20180938</v>
      </c>
    </row>
    <row r="1157" spans="1:22">
      <c r="A1157" s="3">
        <v>1156</v>
      </c>
      <c r="J1157" s="1" t="s">
        <v>1338</v>
      </c>
      <c r="L1157" s="1" t="s">
        <v>903</v>
      </c>
      <c r="N1157" s="1" t="s">
        <v>3272</v>
      </c>
      <c r="P1157" s="1" t="s">
        <v>3273</v>
      </c>
      <c r="Q1157" s="3">
        <v>1</v>
      </c>
      <c r="R1157" s="22" t="s">
        <v>2764</v>
      </c>
      <c r="S1157" s="22" t="s">
        <v>5098</v>
      </c>
      <c r="T1157" s="51">
        <v>30</v>
      </c>
      <c r="U1157" s="3" t="s">
        <v>5216</v>
      </c>
      <c r="V1157" s="41" t="str">
        <f>HYPERLINK("http://ictvonline.org/taxonomy/p/taxonomy-history?taxnode_id=20180940","ICTVonline=20180940")</f>
        <v>ICTVonline=20180940</v>
      </c>
    </row>
    <row r="1158" spans="1:22">
      <c r="A1158" s="3">
        <v>1157</v>
      </c>
      <c r="J1158" s="1" t="s">
        <v>1338</v>
      </c>
      <c r="L1158" s="1" t="s">
        <v>903</v>
      </c>
      <c r="N1158" s="1" t="s">
        <v>3272</v>
      </c>
      <c r="P1158" s="1" t="s">
        <v>3274</v>
      </c>
      <c r="Q1158" s="3">
        <v>0</v>
      </c>
      <c r="R1158" s="22" t="s">
        <v>2764</v>
      </c>
      <c r="S1158" s="22" t="s">
        <v>5098</v>
      </c>
      <c r="T1158" s="51">
        <v>30</v>
      </c>
      <c r="U1158" s="3" t="s">
        <v>5216</v>
      </c>
      <c r="V1158" s="41" t="str">
        <f>HYPERLINK("http://ictvonline.org/taxonomy/p/taxonomy-history?taxnode_id=20180941","ICTVonline=20180941")</f>
        <v>ICTVonline=20180941</v>
      </c>
    </row>
    <row r="1159" spans="1:22">
      <c r="A1159" s="3">
        <v>1158</v>
      </c>
      <c r="J1159" s="1" t="s">
        <v>1338</v>
      </c>
      <c r="L1159" s="1" t="s">
        <v>903</v>
      </c>
      <c r="N1159" s="1" t="s">
        <v>4508</v>
      </c>
      <c r="P1159" s="1" t="s">
        <v>4509</v>
      </c>
      <c r="Q1159" s="3">
        <v>1</v>
      </c>
      <c r="R1159" s="22" t="s">
        <v>2764</v>
      </c>
      <c r="S1159" s="22" t="s">
        <v>5097</v>
      </c>
      <c r="T1159" s="51">
        <v>31</v>
      </c>
      <c r="U1159" s="3" t="s">
        <v>5371</v>
      </c>
      <c r="V1159" s="41" t="str">
        <f>HYPERLINK("http://ictvonline.org/taxonomy/p/taxonomy-history?taxnode_id=20180943","ICTVonline=20180943")</f>
        <v>ICTVonline=20180943</v>
      </c>
    </row>
    <row r="1160" spans="1:22">
      <c r="A1160" s="3">
        <v>1159</v>
      </c>
      <c r="J1160" s="1" t="s">
        <v>1338</v>
      </c>
      <c r="L1160" s="1" t="s">
        <v>903</v>
      </c>
      <c r="N1160" s="1" t="s">
        <v>3275</v>
      </c>
      <c r="P1160" s="1" t="s">
        <v>3276</v>
      </c>
      <c r="Q1160" s="3">
        <v>1</v>
      </c>
      <c r="R1160" s="22" t="s">
        <v>2764</v>
      </c>
      <c r="S1160" s="22" t="s">
        <v>5098</v>
      </c>
      <c r="T1160" s="51">
        <v>30</v>
      </c>
      <c r="U1160" s="3" t="s">
        <v>5216</v>
      </c>
      <c r="V1160" s="41" t="str">
        <f>HYPERLINK("http://ictvonline.org/taxonomy/p/taxonomy-history?taxnode_id=20180945","ICTVonline=20180945")</f>
        <v>ICTVonline=20180945</v>
      </c>
    </row>
    <row r="1161" spans="1:22">
      <c r="A1161" s="3">
        <v>1160</v>
      </c>
      <c r="J1161" s="1" t="s">
        <v>1338</v>
      </c>
      <c r="L1161" s="1" t="s">
        <v>903</v>
      </c>
      <c r="N1161" s="1" t="s">
        <v>3275</v>
      </c>
      <c r="P1161" s="1" t="s">
        <v>3277</v>
      </c>
      <c r="Q1161" s="3">
        <v>0</v>
      </c>
      <c r="R1161" s="22" t="s">
        <v>2764</v>
      </c>
      <c r="S1161" s="22" t="s">
        <v>5098</v>
      </c>
      <c r="T1161" s="51">
        <v>30</v>
      </c>
      <c r="U1161" s="3" t="s">
        <v>5216</v>
      </c>
      <c r="V1161" s="41" t="str">
        <f>HYPERLINK("http://ictvonline.org/taxonomy/p/taxonomy-history?taxnode_id=20180946","ICTVonline=20180946")</f>
        <v>ICTVonline=20180946</v>
      </c>
    </row>
    <row r="1162" spans="1:22">
      <c r="A1162" s="3">
        <v>1161</v>
      </c>
      <c r="J1162" s="1" t="s">
        <v>1338</v>
      </c>
      <c r="L1162" s="1" t="s">
        <v>903</v>
      </c>
      <c r="N1162" s="1" t="s">
        <v>3275</v>
      </c>
      <c r="P1162" s="1" t="s">
        <v>3278</v>
      </c>
      <c r="Q1162" s="3">
        <v>0</v>
      </c>
      <c r="R1162" s="22" t="s">
        <v>2764</v>
      </c>
      <c r="S1162" s="22" t="s">
        <v>5098</v>
      </c>
      <c r="T1162" s="51">
        <v>30</v>
      </c>
      <c r="U1162" s="3" t="s">
        <v>5216</v>
      </c>
      <c r="V1162" s="41" t="str">
        <f>HYPERLINK("http://ictvonline.org/taxonomy/p/taxonomy-history?taxnode_id=20180947","ICTVonline=20180947")</f>
        <v>ICTVonline=20180947</v>
      </c>
    </row>
    <row r="1163" spans="1:22">
      <c r="A1163" s="3">
        <v>1162</v>
      </c>
      <c r="J1163" s="1" t="s">
        <v>1338</v>
      </c>
      <c r="L1163" s="1" t="s">
        <v>903</v>
      </c>
      <c r="N1163" s="1" t="s">
        <v>3275</v>
      </c>
      <c r="P1163" s="1" t="s">
        <v>3279</v>
      </c>
      <c r="Q1163" s="3">
        <v>0</v>
      </c>
      <c r="R1163" s="22" t="s">
        <v>2764</v>
      </c>
      <c r="S1163" s="22" t="s">
        <v>5098</v>
      </c>
      <c r="T1163" s="51">
        <v>30</v>
      </c>
      <c r="U1163" s="3" t="s">
        <v>5216</v>
      </c>
      <c r="V1163" s="41" t="str">
        <f>HYPERLINK("http://ictvonline.org/taxonomy/p/taxonomy-history?taxnode_id=20180948","ICTVonline=20180948")</f>
        <v>ICTVonline=20180948</v>
      </c>
    </row>
    <row r="1164" spans="1:22">
      <c r="A1164" s="3">
        <v>1163</v>
      </c>
      <c r="J1164" s="1" t="s">
        <v>1338</v>
      </c>
      <c r="L1164" s="1" t="s">
        <v>903</v>
      </c>
      <c r="N1164" s="1" t="s">
        <v>3275</v>
      </c>
      <c r="P1164" s="1" t="s">
        <v>3280</v>
      </c>
      <c r="Q1164" s="3">
        <v>0</v>
      </c>
      <c r="R1164" s="22" t="s">
        <v>2764</v>
      </c>
      <c r="S1164" s="22" t="s">
        <v>5098</v>
      </c>
      <c r="T1164" s="51">
        <v>30</v>
      </c>
      <c r="U1164" s="3" t="s">
        <v>5216</v>
      </c>
      <c r="V1164" s="41" t="str">
        <f>HYPERLINK("http://ictvonline.org/taxonomy/p/taxonomy-history?taxnode_id=20180949","ICTVonline=20180949")</f>
        <v>ICTVonline=20180949</v>
      </c>
    </row>
    <row r="1165" spans="1:22">
      <c r="A1165" s="3">
        <v>1164</v>
      </c>
      <c r="J1165" s="1" t="s">
        <v>1338</v>
      </c>
      <c r="L1165" s="1" t="s">
        <v>903</v>
      </c>
      <c r="N1165" s="1" t="s">
        <v>3275</v>
      </c>
      <c r="P1165" s="1" t="s">
        <v>3281</v>
      </c>
      <c r="Q1165" s="3">
        <v>0</v>
      </c>
      <c r="R1165" s="22" t="s">
        <v>2764</v>
      </c>
      <c r="S1165" s="22" t="s">
        <v>5098</v>
      </c>
      <c r="T1165" s="51">
        <v>30</v>
      </c>
      <c r="U1165" s="3" t="s">
        <v>5216</v>
      </c>
      <c r="V1165" s="41" t="str">
        <f>HYPERLINK("http://ictvonline.org/taxonomy/p/taxonomy-history?taxnode_id=20180950","ICTVonline=20180950")</f>
        <v>ICTVonline=20180950</v>
      </c>
    </row>
    <row r="1166" spans="1:22">
      <c r="A1166" s="3">
        <v>1165</v>
      </c>
      <c r="J1166" s="1" t="s">
        <v>1338</v>
      </c>
      <c r="L1166" s="1" t="s">
        <v>903</v>
      </c>
      <c r="N1166" s="1" t="s">
        <v>3275</v>
      </c>
      <c r="P1166" s="1" t="s">
        <v>3282</v>
      </c>
      <c r="Q1166" s="3">
        <v>0</v>
      </c>
      <c r="R1166" s="22" t="s">
        <v>2764</v>
      </c>
      <c r="S1166" s="22" t="s">
        <v>5098</v>
      </c>
      <c r="T1166" s="51">
        <v>30</v>
      </c>
      <c r="U1166" s="3" t="s">
        <v>5216</v>
      </c>
      <c r="V1166" s="41" t="str">
        <f>HYPERLINK("http://ictvonline.org/taxonomy/p/taxonomy-history?taxnode_id=20180951","ICTVonline=20180951")</f>
        <v>ICTVonline=20180951</v>
      </c>
    </row>
    <row r="1167" spans="1:22">
      <c r="A1167" s="3">
        <v>1166</v>
      </c>
      <c r="J1167" s="1" t="s">
        <v>1338</v>
      </c>
      <c r="L1167" s="1" t="s">
        <v>903</v>
      </c>
      <c r="N1167" s="1" t="s">
        <v>3275</v>
      </c>
      <c r="P1167" s="1" t="s">
        <v>3283</v>
      </c>
      <c r="Q1167" s="3">
        <v>0</v>
      </c>
      <c r="R1167" s="22" t="s">
        <v>2764</v>
      </c>
      <c r="S1167" s="22" t="s">
        <v>5098</v>
      </c>
      <c r="T1167" s="51">
        <v>30</v>
      </c>
      <c r="U1167" s="3" t="s">
        <v>5216</v>
      </c>
      <c r="V1167" s="41" t="str">
        <f>HYPERLINK("http://ictvonline.org/taxonomy/p/taxonomy-history?taxnode_id=20180952","ICTVonline=20180952")</f>
        <v>ICTVonline=20180952</v>
      </c>
    </row>
    <row r="1168" spans="1:22">
      <c r="A1168" s="3">
        <v>1167</v>
      </c>
      <c r="J1168" s="1" t="s">
        <v>1338</v>
      </c>
      <c r="L1168" s="1" t="s">
        <v>903</v>
      </c>
      <c r="N1168" s="1" t="s">
        <v>3284</v>
      </c>
      <c r="P1168" s="1" t="s">
        <v>3285</v>
      </c>
      <c r="Q1168" s="3">
        <v>1</v>
      </c>
      <c r="R1168" s="22" t="s">
        <v>2764</v>
      </c>
      <c r="S1168" s="22" t="s">
        <v>5098</v>
      </c>
      <c r="T1168" s="51">
        <v>30</v>
      </c>
      <c r="U1168" s="3" t="s">
        <v>5216</v>
      </c>
      <c r="V1168" s="41" t="str">
        <f>HYPERLINK("http://ictvonline.org/taxonomy/p/taxonomy-history?taxnode_id=20180954","ICTVonline=20180954")</f>
        <v>ICTVonline=20180954</v>
      </c>
    </row>
    <row r="1169" spans="1:22">
      <c r="A1169" s="3">
        <v>1168</v>
      </c>
      <c r="J1169" s="1" t="s">
        <v>1338</v>
      </c>
      <c r="L1169" s="1" t="s">
        <v>903</v>
      </c>
      <c r="N1169" s="1" t="s">
        <v>3284</v>
      </c>
      <c r="P1169" s="1" t="s">
        <v>3286</v>
      </c>
      <c r="Q1169" s="3">
        <v>0</v>
      </c>
      <c r="R1169" s="22" t="s">
        <v>2764</v>
      </c>
      <c r="S1169" s="22" t="s">
        <v>5098</v>
      </c>
      <c r="T1169" s="51">
        <v>30</v>
      </c>
      <c r="U1169" s="3" t="s">
        <v>5216</v>
      </c>
      <c r="V1169" s="41" t="str">
        <f>HYPERLINK("http://ictvonline.org/taxonomy/p/taxonomy-history?taxnode_id=20180955","ICTVonline=20180955")</f>
        <v>ICTVonline=20180955</v>
      </c>
    </row>
    <row r="1170" spans="1:22">
      <c r="A1170" s="3">
        <v>1169</v>
      </c>
      <c r="J1170" s="1" t="s">
        <v>1338</v>
      </c>
      <c r="L1170" s="1" t="s">
        <v>903</v>
      </c>
      <c r="N1170" s="1" t="s">
        <v>4510</v>
      </c>
      <c r="P1170" s="1" t="s">
        <v>4511</v>
      </c>
      <c r="Q1170" s="3">
        <v>1</v>
      </c>
      <c r="R1170" s="22" t="s">
        <v>2764</v>
      </c>
      <c r="S1170" s="22" t="s">
        <v>5097</v>
      </c>
      <c r="T1170" s="51">
        <v>31</v>
      </c>
      <c r="U1170" s="3" t="s">
        <v>5372</v>
      </c>
      <c r="V1170" s="41" t="str">
        <f>HYPERLINK("http://ictvonline.org/taxonomy/p/taxonomy-history?taxnode_id=20180957","ICTVonline=20180957")</f>
        <v>ICTVonline=20180957</v>
      </c>
    </row>
    <row r="1171" spans="1:22">
      <c r="A1171" s="3">
        <v>1170</v>
      </c>
      <c r="J1171" s="1" t="s">
        <v>1338</v>
      </c>
      <c r="L1171" s="1" t="s">
        <v>903</v>
      </c>
      <c r="N1171" s="1" t="s">
        <v>4512</v>
      </c>
      <c r="P1171" s="1" t="s">
        <v>4513</v>
      </c>
      <c r="Q1171" s="3">
        <v>1</v>
      </c>
      <c r="R1171" s="22" t="s">
        <v>2764</v>
      </c>
      <c r="S1171" s="22" t="s">
        <v>5097</v>
      </c>
      <c r="T1171" s="51">
        <v>31</v>
      </c>
      <c r="U1171" s="3" t="s">
        <v>5373</v>
      </c>
      <c r="V1171" s="41" t="str">
        <f>HYPERLINK("http://ictvonline.org/taxonomy/p/taxonomy-history?taxnode_id=20180959","ICTVonline=20180959")</f>
        <v>ICTVonline=20180959</v>
      </c>
    </row>
    <row r="1172" spans="1:22">
      <c r="A1172" s="3">
        <v>1171</v>
      </c>
      <c r="J1172" s="1" t="s">
        <v>1338</v>
      </c>
      <c r="L1172" s="1" t="s">
        <v>903</v>
      </c>
      <c r="N1172" s="1" t="s">
        <v>4512</v>
      </c>
      <c r="P1172" s="1" t="s">
        <v>4514</v>
      </c>
      <c r="Q1172" s="3">
        <v>0</v>
      </c>
      <c r="R1172" s="22" t="s">
        <v>2764</v>
      </c>
      <c r="S1172" s="22" t="s">
        <v>5097</v>
      </c>
      <c r="T1172" s="51">
        <v>31</v>
      </c>
      <c r="U1172" s="3" t="s">
        <v>5373</v>
      </c>
      <c r="V1172" s="41" t="str">
        <f>HYPERLINK("http://ictvonline.org/taxonomy/p/taxonomy-history?taxnode_id=20180960","ICTVonline=20180960")</f>
        <v>ICTVonline=20180960</v>
      </c>
    </row>
    <row r="1173" spans="1:22">
      <c r="A1173" s="3">
        <v>1172</v>
      </c>
      <c r="J1173" s="1" t="s">
        <v>1338</v>
      </c>
      <c r="L1173" s="1" t="s">
        <v>903</v>
      </c>
      <c r="N1173" s="1" t="s">
        <v>4512</v>
      </c>
      <c r="P1173" s="1" t="s">
        <v>4515</v>
      </c>
      <c r="Q1173" s="3">
        <v>0</v>
      </c>
      <c r="R1173" s="22" t="s">
        <v>2764</v>
      </c>
      <c r="S1173" s="22" t="s">
        <v>5097</v>
      </c>
      <c r="T1173" s="51">
        <v>31</v>
      </c>
      <c r="U1173" s="3" t="s">
        <v>5373</v>
      </c>
      <c r="V1173" s="41" t="str">
        <f>HYPERLINK("http://ictvonline.org/taxonomy/p/taxonomy-history?taxnode_id=20180961","ICTVonline=20180961")</f>
        <v>ICTVonline=20180961</v>
      </c>
    </row>
    <row r="1174" spans="1:22">
      <c r="A1174" s="3">
        <v>1173</v>
      </c>
      <c r="J1174" s="1" t="s">
        <v>1338</v>
      </c>
      <c r="L1174" s="1" t="s">
        <v>903</v>
      </c>
      <c r="N1174" s="1" t="s">
        <v>5374</v>
      </c>
      <c r="P1174" s="1" t="s">
        <v>5375</v>
      </c>
      <c r="Q1174" s="3">
        <v>0</v>
      </c>
      <c r="R1174" s="22" t="s">
        <v>2764</v>
      </c>
      <c r="S1174" s="22" t="s">
        <v>5097</v>
      </c>
      <c r="T1174" s="51">
        <v>32</v>
      </c>
      <c r="U1174" s="3" t="s">
        <v>5376</v>
      </c>
      <c r="V1174" s="41" t="str">
        <f>HYPERLINK("http://ictvonline.org/taxonomy/p/taxonomy-history?taxnode_id=20185543","ICTVonline=20185543")</f>
        <v>ICTVonline=20185543</v>
      </c>
    </row>
    <row r="1175" spans="1:22">
      <c r="A1175" s="3">
        <v>1174</v>
      </c>
      <c r="J1175" s="1" t="s">
        <v>1338</v>
      </c>
      <c r="L1175" s="1" t="s">
        <v>903</v>
      </c>
      <c r="N1175" s="1" t="s">
        <v>5374</v>
      </c>
      <c r="P1175" s="1" t="s">
        <v>5377</v>
      </c>
      <c r="Q1175" s="3">
        <v>1</v>
      </c>
      <c r="R1175" s="22" t="s">
        <v>2764</v>
      </c>
      <c r="S1175" s="22" t="s">
        <v>5097</v>
      </c>
      <c r="T1175" s="51">
        <v>32</v>
      </c>
      <c r="U1175" s="3" t="s">
        <v>5376</v>
      </c>
      <c r="V1175" s="41" t="str">
        <f>HYPERLINK("http://ictvonline.org/taxonomy/p/taxonomy-history?taxnode_id=20185544","ICTVonline=20185544")</f>
        <v>ICTVonline=20185544</v>
      </c>
    </row>
    <row r="1176" spans="1:22">
      <c r="A1176" s="3">
        <v>1175</v>
      </c>
      <c r="J1176" s="1" t="s">
        <v>1338</v>
      </c>
      <c r="L1176" s="1" t="s">
        <v>903</v>
      </c>
      <c r="N1176" s="1" t="s">
        <v>5374</v>
      </c>
      <c r="P1176" s="1" t="s">
        <v>5378</v>
      </c>
      <c r="Q1176" s="3">
        <v>0</v>
      </c>
      <c r="R1176" s="22" t="s">
        <v>2764</v>
      </c>
      <c r="S1176" s="22" t="s">
        <v>5097</v>
      </c>
      <c r="T1176" s="51">
        <v>32</v>
      </c>
      <c r="U1176" s="3" t="s">
        <v>5376</v>
      </c>
      <c r="V1176" s="41" t="str">
        <f>HYPERLINK("http://ictvonline.org/taxonomy/p/taxonomy-history?taxnode_id=20185545","ICTVonline=20185545")</f>
        <v>ICTVonline=20185545</v>
      </c>
    </row>
    <row r="1177" spans="1:22">
      <c r="A1177" s="3">
        <v>1176</v>
      </c>
      <c r="J1177" s="1" t="s">
        <v>1338</v>
      </c>
      <c r="L1177" s="1" t="s">
        <v>903</v>
      </c>
      <c r="N1177" s="1" t="s">
        <v>5374</v>
      </c>
      <c r="P1177" s="1" t="s">
        <v>5379</v>
      </c>
      <c r="Q1177" s="3">
        <v>0</v>
      </c>
      <c r="R1177" s="22" t="s">
        <v>2764</v>
      </c>
      <c r="S1177" s="22" t="s">
        <v>5097</v>
      </c>
      <c r="T1177" s="51">
        <v>32</v>
      </c>
      <c r="U1177" s="3" t="s">
        <v>5376</v>
      </c>
      <c r="V1177" s="41" t="str">
        <f>HYPERLINK("http://ictvonline.org/taxonomy/p/taxonomy-history?taxnode_id=20185546","ICTVonline=20185546")</f>
        <v>ICTVonline=20185546</v>
      </c>
    </row>
    <row r="1178" spans="1:22">
      <c r="A1178" s="3">
        <v>1177</v>
      </c>
      <c r="J1178" s="1" t="s">
        <v>1338</v>
      </c>
      <c r="L1178" s="1" t="s">
        <v>903</v>
      </c>
      <c r="N1178" s="1" t="s">
        <v>3287</v>
      </c>
      <c r="P1178" s="1" t="s">
        <v>3288</v>
      </c>
      <c r="Q1178" s="3">
        <v>0</v>
      </c>
      <c r="R1178" s="22" t="s">
        <v>2764</v>
      </c>
      <c r="S1178" s="22" t="s">
        <v>5098</v>
      </c>
      <c r="T1178" s="51">
        <v>30</v>
      </c>
      <c r="U1178" s="3" t="s">
        <v>5216</v>
      </c>
      <c r="V1178" s="41" t="str">
        <f>HYPERLINK("http://ictvonline.org/taxonomy/p/taxonomy-history?taxnode_id=20180963","ICTVonline=20180963")</f>
        <v>ICTVonline=20180963</v>
      </c>
    </row>
    <row r="1179" spans="1:22">
      <c r="A1179" s="3">
        <v>1178</v>
      </c>
      <c r="J1179" s="1" t="s">
        <v>1338</v>
      </c>
      <c r="L1179" s="1" t="s">
        <v>903</v>
      </c>
      <c r="N1179" s="1" t="s">
        <v>3287</v>
      </c>
      <c r="P1179" s="1" t="s">
        <v>3289</v>
      </c>
      <c r="Q1179" s="3">
        <v>0</v>
      </c>
      <c r="R1179" s="22" t="s">
        <v>2764</v>
      </c>
      <c r="S1179" s="22" t="s">
        <v>5098</v>
      </c>
      <c r="T1179" s="51">
        <v>30</v>
      </c>
      <c r="U1179" s="3" t="s">
        <v>5216</v>
      </c>
      <c r="V1179" s="41" t="str">
        <f>HYPERLINK("http://ictvonline.org/taxonomy/p/taxonomy-history?taxnode_id=20180964","ICTVonline=20180964")</f>
        <v>ICTVonline=20180964</v>
      </c>
    </row>
    <row r="1180" spans="1:22">
      <c r="A1180" s="3">
        <v>1179</v>
      </c>
      <c r="J1180" s="1" t="s">
        <v>1338</v>
      </c>
      <c r="L1180" s="1" t="s">
        <v>903</v>
      </c>
      <c r="N1180" s="1" t="s">
        <v>3287</v>
      </c>
      <c r="P1180" s="1" t="s">
        <v>3290</v>
      </c>
      <c r="Q1180" s="3">
        <v>1</v>
      </c>
      <c r="R1180" s="22" t="s">
        <v>2764</v>
      </c>
      <c r="S1180" s="22" t="s">
        <v>5098</v>
      </c>
      <c r="T1180" s="51">
        <v>30</v>
      </c>
      <c r="U1180" s="3" t="s">
        <v>5216</v>
      </c>
      <c r="V1180" s="41" t="str">
        <f>HYPERLINK("http://ictvonline.org/taxonomy/p/taxonomy-history?taxnode_id=20180965","ICTVonline=20180965")</f>
        <v>ICTVonline=20180965</v>
      </c>
    </row>
    <row r="1181" spans="1:22">
      <c r="A1181" s="3">
        <v>1180</v>
      </c>
      <c r="J1181" s="1" t="s">
        <v>1338</v>
      </c>
      <c r="L1181" s="1" t="s">
        <v>903</v>
      </c>
      <c r="N1181" s="1" t="s">
        <v>4516</v>
      </c>
      <c r="P1181" s="1" t="s">
        <v>4517</v>
      </c>
      <c r="Q1181" s="3">
        <v>1</v>
      </c>
      <c r="R1181" s="22" t="s">
        <v>2764</v>
      </c>
      <c r="S1181" s="22" t="s">
        <v>5097</v>
      </c>
      <c r="T1181" s="51">
        <v>31</v>
      </c>
      <c r="U1181" s="3" t="s">
        <v>5380</v>
      </c>
      <c r="V1181" s="41" t="str">
        <f>HYPERLINK("http://ictvonline.org/taxonomy/p/taxonomy-history?taxnode_id=20180967","ICTVonline=20180967")</f>
        <v>ICTVonline=20180967</v>
      </c>
    </row>
    <row r="1182" spans="1:22">
      <c r="A1182" s="3">
        <v>1181</v>
      </c>
      <c r="J1182" s="1" t="s">
        <v>1338</v>
      </c>
      <c r="L1182" s="1" t="s">
        <v>903</v>
      </c>
      <c r="N1182" s="1" t="s">
        <v>3076</v>
      </c>
      <c r="P1182" s="1" t="s">
        <v>3077</v>
      </c>
      <c r="Q1182" s="3">
        <v>1</v>
      </c>
      <c r="R1182" s="22" t="s">
        <v>2764</v>
      </c>
      <c r="S1182" s="22" t="s">
        <v>5097</v>
      </c>
      <c r="T1182" s="51">
        <v>30</v>
      </c>
      <c r="U1182" s="3" t="s">
        <v>5381</v>
      </c>
      <c r="V1182" s="41" t="str">
        <f>HYPERLINK("http://ictvonline.org/taxonomy/p/taxonomy-history?taxnode_id=20180969","ICTVonline=20180969")</f>
        <v>ICTVonline=20180969</v>
      </c>
    </row>
    <row r="1183" spans="1:22">
      <c r="A1183" s="3">
        <v>1182</v>
      </c>
      <c r="J1183" s="1" t="s">
        <v>1338</v>
      </c>
      <c r="L1183" s="1" t="s">
        <v>903</v>
      </c>
      <c r="N1183" s="1" t="s">
        <v>3076</v>
      </c>
      <c r="P1183" s="1" t="s">
        <v>3078</v>
      </c>
      <c r="Q1183" s="3">
        <v>0</v>
      </c>
      <c r="R1183" s="22" t="s">
        <v>2764</v>
      </c>
      <c r="S1183" s="22" t="s">
        <v>5097</v>
      </c>
      <c r="T1183" s="51">
        <v>30</v>
      </c>
      <c r="U1183" s="3" t="s">
        <v>5381</v>
      </c>
      <c r="V1183" s="41" t="str">
        <f>HYPERLINK("http://ictvonline.org/taxonomy/p/taxonomy-history?taxnode_id=20180970","ICTVonline=20180970")</f>
        <v>ICTVonline=20180970</v>
      </c>
    </row>
    <row r="1184" spans="1:22">
      <c r="A1184" s="3">
        <v>1183</v>
      </c>
      <c r="J1184" s="1" t="s">
        <v>1338</v>
      </c>
      <c r="L1184" s="1" t="s">
        <v>903</v>
      </c>
      <c r="N1184" s="1" t="s">
        <v>4518</v>
      </c>
      <c r="P1184" s="1" t="s">
        <v>4519</v>
      </c>
      <c r="Q1184" s="3">
        <v>1</v>
      </c>
      <c r="R1184" s="22" t="s">
        <v>2764</v>
      </c>
      <c r="S1184" s="22" t="s">
        <v>5097</v>
      </c>
      <c r="T1184" s="51">
        <v>31</v>
      </c>
      <c r="U1184" s="3" t="s">
        <v>5382</v>
      </c>
      <c r="V1184" s="41" t="str">
        <f>HYPERLINK("http://ictvonline.org/taxonomy/p/taxonomy-history?taxnode_id=20180972","ICTVonline=20180972")</f>
        <v>ICTVonline=20180972</v>
      </c>
    </row>
    <row r="1185" spans="1:22">
      <c r="A1185" s="3">
        <v>1184</v>
      </c>
      <c r="J1185" s="1" t="s">
        <v>1338</v>
      </c>
      <c r="L1185" s="1" t="s">
        <v>903</v>
      </c>
      <c r="N1185" s="1" t="s">
        <v>4520</v>
      </c>
      <c r="P1185" s="1" t="s">
        <v>4521</v>
      </c>
      <c r="Q1185" s="3">
        <v>1</v>
      </c>
      <c r="R1185" s="22" t="s">
        <v>2764</v>
      </c>
      <c r="S1185" s="22" t="s">
        <v>5097</v>
      </c>
      <c r="T1185" s="51">
        <v>31</v>
      </c>
      <c r="U1185" s="3" t="s">
        <v>5383</v>
      </c>
      <c r="V1185" s="41" t="str">
        <f>HYPERLINK("http://ictvonline.org/taxonomy/p/taxonomy-history?taxnode_id=20180974","ICTVonline=20180974")</f>
        <v>ICTVonline=20180974</v>
      </c>
    </row>
    <row r="1186" spans="1:22">
      <c r="A1186" s="3">
        <v>1185</v>
      </c>
      <c r="J1186" s="1" t="s">
        <v>1338</v>
      </c>
      <c r="L1186" s="1" t="s">
        <v>903</v>
      </c>
      <c r="N1186" s="1" t="s">
        <v>4522</v>
      </c>
      <c r="P1186" s="1" t="s">
        <v>4523</v>
      </c>
      <c r="Q1186" s="3">
        <v>0</v>
      </c>
      <c r="R1186" s="22" t="s">
        <v>2764</v>
      </c>
      <c r="S1186" s="22" t="s">
        <v>5097</v>
      </c>
      <c r="T1186" s="51">
        <v>31</v>
      </c>
      <c r="U1186" s="3" t="s">
        <v>5384</v>
      </c>
      <c r="V1186" s="41" t="str">
        <f>HYPERLINK("http://ictvonline.org/taxonomy/p/taxonomy-history?taxnode_id=20180976","ICTVonline=20180976")</f>
        <v>ICTVonline=20180976</v>
      </c>
    </row>
    <row r="1187" spans="1:22">
      <c r="A1187" s="3">
        <v>1186</v>
      </c>
      <c r="J1187" s="1" t="s">
        <v>1338</v>
      </c>
      <c r="L1187" s="1" t="s">
        <v>903</v>
      </c>
      <c r="N1187" s="1" t="s">
        <v>4522</v>
      </c>
      <c r="P1187" s="1" t="s">
        <v>4524</v>
      </c>
      <c r="Q1187" s="3">
        <v>1</v>
      </c>
      <c r="R1187" s="22" t="s">
        <v>2764</v>
      </c>
      <c r="S1187" s="22" t="s">
        <v>5097</v>
      </c>
      <c r="T1187" s="51">
        <v>31</v>
      </c>
      <c r="U1187" s="3" t="s">
        <v>5384</v>
      </c>
      <c r="V1187" s="41" t="str">
        <f>HYPERLINK("http://ictvonline.org/taxonomy/p/taxonomy-history?taxnode_id=20180977","ICTVonline=20180977")</f>
        <v>ICTVonline=20180977</v>
      </c>
    </row>
    <row r="1188" spans="1:22">
      <c r="A1188" s="3">
        <v>1187</v>
      </c>
      <c r="J1188" s="1" t="s">
        <v>1338</v>
      </c>
      <c r="L1188" s="1" t="s">
        <v>903</v>
      </c>
      <c r="N1188" s="1" t="s">
        <v>4525</v>
      </c>
      <c r="P1188" s="1" t="s">
        <v>4526</v>
      </c>
      <c r="Q1188" s="3">
        <v>1</v>
      </c>
      <c r="R1188" s="22" t="s">
        <v>2764</v>
      </c>
      <c r="S1188" s="22" t="s">
        <v>5097</v>
      </c>
      <c r="T1188" s="51">
        <v>31</v>
      </c>
      <c r="U1188" s="3" t="s">
        <v>5385</v>
      </c>
      <c r="V1188" s="41" t="str">
        <f>HYPERLINK("http://ictvonline.org/taxonomy/p/taxonomy-history?taxnode_id=20180979","ICTVonline=20180979")</f>
        <v>ICTVonline=20180979</v>
      </c>
    </row>
    <row r="1189" spans="1:22">
      <c r="A1189" s="3">
        <v>1188</v>
      </c>
      <c r="J1189" s="1" t="s">
        <v>1338</v>
      </c>
      <c r="L1189" s="1" t="s">
        <v>903</v>
      </c>
      <c r="N1189" s="1" t="s">
        <v>4527</v>
      </c>
      <c r="P1189" s="1" t="s">
        <v>4528</v>
      </c>
      <c r="Q1189" s="3">
        <v>1</v>
      </c>
      <c r="R1189" s="22" t="s">
        <v>2764</v>
      </c>
      <c r="S1189" s="22" t="s">
        <v>5097</v>
      </c>
      <c r="T1189" s="51">
        <v>31</v>
      </c>
      <c r="U1189" s="3" t="s">
        <v>5386</v>
      </c>
      <c r="V1189" s="41" t="str">
        <f>HYPERLINK("http://ictvonline.org/taxonomy/p/taxonomy-history?taxnode_id=20180981","ICTVonline=20180981")</f>
        <v>ICTVonline=20180981</v>
      </c>
    </row>
    <row r="1190" spans="1:22">
      <c r="A1190" s="3">
        <v>1189</v>
      </c>
      <c r="J1190" s="1" t="s">
        <v>1338</v>
      </c>
      <c r="L1190" s="1" t="s">
        <v>903</v>
      </c>
      <c r="N1190" s="1" t="s">
        <v>3291</v>
      </c>
      <c r="P1190" s="1" t="s">
        <v>4529</v>
      </c>
      <c r="Q1190" s="3">
        <v>0</v>
      </c>
      <c r="R1190" s="22" t="s">
        <v>2764</v>
      </c>
      <c r="S1190" s="22" t="s">
        <v>5097</v>
      </c>
      <c r="T1190" s="51">
        <v>31</v>
      </c>
      <c r="U1190" s="3" t="s">
        <v>5217</v>
      </c>
      <c r="V1190" s="41" t="str">
        <f>HYPERLINK("http://ictvonline.org/taxonomy/p/taxonomy-history?taxnode_id=20180983","ICTVonline=20180983")</f>
        <v>ICTVonline=20180983</v>
      </c>
    </row>
    <row r="1191" spans="1:22">
      <c r="A1191" s="3">
        <v>1190</v>
      </c>
      <c r="J1191" s="1" t="s">
        <v>1338</v>
      </c>
      <c r="L1191" s="1" t="s">
        <v>903</v>
      </c>
      <c r="N1191" s="1" t="s">
        <v>3291</v>
      </c>
      <c r="P1191" s="1" t="s">
        <v>3292</v>
      </c>
      <c r="Q1191" s="3">
        <v>1</v>
      </c>
      <c r="R1191" s="22" t="s">
        <v>2764</v>
      </c>
      <c r="S1191" s="22" t="s">
        <v>5098</v>
      </c>
      <c r="T1191" s="51">
        <v>30</v>
      </c>
      <c r="U1191" s="3" t="s">
        <v>5216</v>
      </c>
      <c r="V1191" s="41" t="str">
        <f>HYPERLINK("http://ictvonline.org/taxonomy/p/taxonomy-history?taxnode_id=20180984","ICTVonline=20180984")</f>
        <v>ICTVonline=20180984</v>
      </c>
    </row>
    <row r="1192" spans="1:22">
      <c r="A1192" s="3">
        <v>1191</v>
      </c>
      <c r="J1192" s="1" t="s">
        <v>1338</v>
      </c>
      <c r="L1192" s="1" t="s">
        <v>903</v>
      </c>
      <c r="N1192" s="1" t="s">
        <v>3291</v>
      </c>
      <c r="P1192" s="1" t="s">
        <v>3293</v>
      </c>
      <c r="Q1192" s="3">
        <v>0</v>
      </c>
      <c r="R1192" s="22" t="s">
        <v>2764</v>
      </c>
      <c r="S1192" s="22" t="s">
        <v>5098</v>
      </c>
      <c r="T1192" s="51">
        <v>30</v>
      </c>
      <c r="U1192" s="3" t="s">
        <v>5216</v>
      </c>
      <c r="V1192" s="41" t="str">
        <f>HYPERLINK("http://ictvonline.org/taxonomy/p/taxonomy-history?taxnode_id=20180985","ICTVonline=20180985")</f>
        <v>ICTVonline=20180985</v>
      </c>
    </row>
    <row r="1193" spans="1:22">
      <c r="A1193" s="3">
        <v>1192</v>
      </c>
      <c r="J1193" s="1" t="s">
        <v>1338</v>
      </c>
      <c r="L1193" s="1" t="s">
        <v>903</v>
      </c>
      <c r="N1193" s="1" t="s">
        <v>3291</v>
      </c>
      <c r="P1193" s="1" t="s">
        <v>3294</v>
      </c>
      <c r="Q1193" s="3">
        <v>0</v>
      </c>
      <c r="R1193" s="22" t="s">
        <v>2764</v>
      </c>
      <c r="S1193" s="22" t="s">
        <v>5098</v>
      </c>
      <c r="T1193" s="51">
        <v>30</v>
      </c>
      <c r="U1193" s="3" t="s">
        <v>5216</v>
      </c>
      <c r="V1193" s="41" t="str">
        <f>HYPERLINK("http://ictvonline.org/taxonomy/p/taxonomy-history?taxnode_id=20180986","ICTVonline=20180986")</f>
        <v>ICTVonline=20180986</v>
      </c>
    </row>
    <row r="1194" spans="1:22">
      <c r="A1194" s="3">
        <v>1193</v>
      </c>
      <c r="J1194" s="1" t="s">
        <v>1338</v>
      </c>
      <c r="L1194" s="1" t="s">
        <v>903</v>
      </c>
      <c r="N1194" s="1" t="s">
        <v>3291</v>
      </c>
      <c r="P1194" s="1" t="s">
        <v>4530</v>
      </c>
      <c r="Q1194" s="3">
        <v>0</v>
      </c>
      <c r="R1194" s="22" t="s">
        <v>2764</v>
      </c>
      <c r="S1194" s="22" t="s">
        <v>5097</v>
      </c>
      <c r="T1194" s="51">
        <v>31</v>
      </c>
      <c r="U1194" s="3" t="s">
        <v>5217</v>
      </c>
      <c r="V1194" s="41" t="str">
        <f>HYPERLINK("http://ictvonline.org/taxonomy/p/taxonomy-history?taxnode_id=20180987","ICTVonline=20180987")</f>
        <v>ICTVonline=20180987</v>
      </c>
    </row>
    <row r="1195" spans="1:22">
      <c r="A1195" s="3">
        <v>1194</v>
      </c>
      <c r="J1195" s="1" t="s">
        <v>1338</v>
      </c>
      <c r="L1195" s="1" t="s">
        <v>903</v>
      </c>
      <c r="N1195" s="1" t="s">
        <v>3291</v>
      </c>
      <c r="P1195" s="1" t="s">
        <v>3295</v>
      </c>
      <c r="Q1195" s="3">
        <v>0</v>
      </c>
      <c r="R1195" s="22" t="s">
        <v>2764</v>
      </c>
      <c r="S1195" s="22" t="s">
        <v>5098</v>
      </c>
      <c r="T1195" s="51">
        <v>30</v>
      </c>
      <c r="U1195" s="3" t="s">
        <v>5216</v>
      </c>
      <c r="V1195" s="41" t="str">
        <f>HYPERLINK("http://ictvonline.org/taxonomy/p/taxonomy-history?taxnode_id=20180988","ICTVonline=20180988")</f>
        <v>ICTVonline=20180988</v>
      </c>
    </row>
    <row r="1196" spans="1:22">
      <c r="A1196" s="3">
        <v>1195</v>
      </c>
      <c r="J1196" s="1" t="s">
        <v>1338</v>
      </c>
      <c r="L1196" s="1" t="s">
        <v>903</v>
      </c>
      <c r="N1196" s="1" t="s">
        <v>3291</v>
      </c>
      <c r="P1196" s="1" t="s">
        <v>3296</v>
      </c>
      <c r="Q1196" s="3">
        <v>0</v>
      </c>
      <c r="R1196" s="22" t="s">
        <v>2764</v>
      </c>
      <c r="S1196" s="22" t="s">
        <v>5098</v>
      </c>
      <c r="T1196" s="51">
        <v>30</v>
      </c>
      <c r="U1196" s="3" t="s">
        <v>5216</v>
      </c>
      <c r="V1196" s="41" t="str">
        <f>HYPERLINK("http://ictvonline.org/taxonomy/p/taxonomy-history?taxnode_id=20180989","ICTVonline=20180989")</f>
        <v>ICTVonline=20180989</v>
      </c>
    </row>
    <row r="1197" spans="1:22">
      <c r="A1197" s="3">
        <v>1196</v>
      </c>
      <c r="J1197" s="1" t="s">
        <v>1338</v>
      </c>
      <c r="L1197" s="1" t="s">
        <v>903</v>
      </c>
      <c r="N1197" s="1" t="s">
        <v>5387</v>
      </c>
      <c r="P1197" s="1" t="s">
        <v>3361</v>
      </c>
      <c r="Q1197" s="3">
        <v>0</v>
      </c>
      <c r="R1197" s="22" t="s">
        <v>2764</v>
      </c>
      <c r="S1197" s="22" t="s">
        <v>5097</v>
      </c>
      <c r="T1197" s="51">
        <v>32</v>
      </c>
      <c r="U1197" s="3" t="s">
        <v>5388</v>
      </c>
      <c r="V1197" s="41" t="str">
        <f>HYPERLINK("http://ictvonline.org/taxonomy/p/taxonomy-history?taxnode_id=20181070","ICTVonline=20181070")</f>
        <v>ICTVonline=20181070</v>
      </c>
    </row>
    <row r="1198" spans="1:22">
      <c r="A1198" s="3">
        <v>1197</v>
      </c>
      <c r="J1198" s="1" t="s">
        <v>1338</v>
      </c>
      <c r="L1198" s="1" t="s">
        <v>903</v>
      </c>
      <c r="N1198" s="1" t="s">
        <v>5387</v>
      </c>
      <c r="P1198" s="1" t="s">
        <v>5389</v>
      </c>
      <c r="Q1198" s="3">
        <v>0</v>
      </c>
      <c r="R1198" s="22" t="s">
        <v>2764</v>
      </c>
      <c r="S1198" s="22" t="s">
        <v>5097</v>
      </c>
      <c r="T1198" s="51">
        <v>32</v>
      </c>
      <c r="U1198" s="3" t="s">
        <v>5388</v>
      </c>
      <c r="V1198" s="41" t="str">
        <f>HYPERLINK("http://ictvonline.org/taxonomy/p/taxonomy-history?taxnode_id=20185553","ICTVonline=20185553")</f>
        <v>ICTVonline=20185553</v>
      </c>
    </row>
    <row r="1199" spans="1:22">
      <c r="A1199" s="3">
        <v>1198</v>
      </c>
      <c r="J1199" s="1" t="s">
        <v>1338</v>
      </c>
      <c r="L1199" s="1" t="s">
        <v>903</v>
      </c>
      <c r="N1199" s="1" t="s">
        <v>5387</v>
      </c>
      <c r="P1199" s="1" t="s">
        <v>3362</v>
      </c>
      <c r="Q1199" s="3">
        <v>1</v>
      </c>
      <c r="R1199" s="22" t="s">
        <v>2764</v>
      </c>
      <c r="S1199" s="22" t="s">
        <v>5097</v>
      </c>
      <c r="T1199" s="51">
        <v>32</v>
      </c>
      <c r="U1199" s="3" t="s">
        <v>5388</v>
      </c>
      <c r="V1199" s="41" t="str">
        <f>HYPERLINK("http://ictvonline.org/taxonomy/p/taxonomy-history?taxnode_id=20181071","ICTVonline=20181071")</f>
        <v>ICTVonline=20181071</v>
      </c>
    </row>
    <row r="1200" spans="1:22">
      <c r="A1200" s="3">
        <v>1199</v>
      </c>
      <c r="J1200" s="1" t="s">
        <v>1338</v>
      </c>
      <c r="L1200" s="1" t="s">
        <v>903</v>
      </c>
      <c r="N1200" s="1" t="s">
        <v>5387</v>
      </c>
      <c r="P1200" s="1" t="s">
        <v>5390</v>
      </c>
      <c r="Q1200" s="3">
        <v>0</v>
      </c>
      <c r="R1200" s="22" t="s">
        <v>2764</v>
      </c>
      <c r="S1200" s="22" t="s">
        <v>5097</v>
      </c>
      <c r="T1200" s="51">
        <v>32</v>
      </c>
      <c r="U1200" s="3" t="s">
        <v>5388</v>
      </c>
      <c r="V1200" s="41" t="str">
        <f>HYPERLINK("http://ictvonline.org/taxonomy/p/taxonomy-history?taxnode_id=20185548","ICTVonline=20185548")</f>
        <v>ICTVonline=20185548</v>
      </c>
    </row>
    <row r="1201" spans="1:22">
      <c r="A1201" s="3">
        <v>1200</v>
      </c>
      <c r="J1201" s="1" t="s">
        <v>1338</v>
      </c>
      <c r="L1201" s="1" t="s">
        <v>903</v>
      </c>
      <c r="N1201" s="1" t="s">
        <v>5387</v>
      </c>
      <c r="P1201" s="1" t="s">
        <v>5391</v>
      </c>
      <c r="Q1201" s="3">
        <v>0</v>
      </c>
      <c r="R1201" s="22" t="s">
        <v>2764</v>
      </c>
      <c r="S1201" s="22" t="s">
        <v>5097</v>
      </c>
      <c r="T1201" s="51">
        <v>32</v>
      </c>
      <c r="U1201" s="3" t="s">
        <v>5388</v>
      </c>
      <c r="V1201" s="41" t="str">
        <f>HYPERLINK("http://ictvonline.org/taxonomy/p/taxonomy-history?taxnode_id=20185549","ICTVonline=20185549")</f>
        <v>ICTVonline=20185549</v>
      </c>
    </row>
    <row r="1202" spans="1:22">
      <c r="A1202" s="3">
        <v>1201</v>
      </c>
      <c r="J1202" s="1" t="s">
        <v>1338</v>
      </c>
      <c r="L1202" s="1" t="s">
        <v>903</v>
      </c>
      <c r="N1202" s="1" t="s">
        <v>5387</v>
      </c>
      <c r="P1202" s="1" t="s">
        <v>5392</v>
      </c>
      <c r="Q1202" s="3">
        <v>0</v>
      </c>
      <c r="R1202" s="22" t="s">
        <v>2764</v>
      </c>
      <c r="S1202" s="22" t="s">
        <v>5097</v>
      </c>
      <c r="T1202" s="51">
        <v>32</v>
      </c>
      <c r="U1202" s="3" t="s">
        <v>5388</v>
      </c>
      <c r="V1202" s="41" t="str">
        <f>HYPERLINK("http://ictvonline.org/taxonomy/p/taxonomy-history?taxnode_id=20185550","ICTVonline=20185550")</f>
        <v>ICTVonline=20185550</v>
      </c>
    </row>
    <row r="1203" spans="1:22">
      <c r="A1203" s="3">
        <v>1202</v>
      </c>
      <c r="J1203" s="1" t="s">
        <v>1338</v>
      </c>
      <c r="L1203" s="1" t="s">
        <v>903</v>
      </c>
      <c r="N1203" s="1" t="s">
        <v>5387</v>
      </c>
      <c r="P1203" s="1" t="s">
        <v>5393</v>
      </c>
      <c r="Q1203" s="3">
        <v>0</v>
      </c>
      <c r="R1203" s="22" t="s">
        <v>2764</v>
      </c>
      <c r="S1203" s="22" t="s">
        <v>5097</v>
      </c>
      <c r="T1203" s="51">
        <v>32</v>
      </c>
      <c r="U1203" s="3" t="s">
        <v>5388</v>
      </c>
      <c r="V1203" s="41" t="str">
        <f>HYPERLINK("http://ictvonline.org/taxonomy/p/taxonomy-history?taxnode_id=20185551","ICTVonline=20185551")</f>
        <v>ICTVonline=20185551</v>
      </c>
    </row>
    <row r="1204" spans="1:22">
      <c r="A1204" s="3">
        <v>1203</v>
      </c>
      <c r="J1204" s="1" t="s">
        <v>1338</v>
      </c>
      <c r="L1204" s="1" t="s">
        <v>903</v>
      </c>
      <c r="N1204" s="1" t="s">
        <v>5387</v>
      </c>
      <c r="P1204" s="1" t="s">
        <v>5394</v>
      </c>
      <c r="Q1204" s="3">
        <v>0</v>
      </c>
      <c r="R1204" s="22" t="s">
        <v>2764</v>
      </c>
      <c r="S1204" s="22" t="s">
        <v>5097</v>
      </c>
      <c r="T1204" s="51">
        <v>32</v>
      </c>
      <c r="U1204" s="3" t="s">
        <v>5388</v>
      </c>
      <c r="V1204" s="41" t="str">
        <f>HYPERLINK("http://ictvonline.org/taxonomy/p/taxonomy-history?taxnode_id=20185552","ICTVonline=20185552")</f>
        <v>ICTVonline=20185552</v>
      </c>
    </row>
    <row r="1205" spans="1:22">
      <c r="A1205" s="3">
        <v>1204</v>
      </c>
      <c r="J1205" s="1" t="s">
        <v>1338</v>
      </c>
      <c r="L1205" s="1" t="s">
        <v>903</v>
      </c>
      <c r="N1205" s="1" t="s">
        <v>5387</v>
      </c>
      <c r="P1205" s="1" t="s">
        <v>5395</v>
      </c>
      <c r="Q1205" s="3">
        <v>0</v>
      </c>
      <c r="R1205" s="22" t="s">
        <v>2764</v>
      </c>
      <c r="S1205" s="22" t="s">
        <v>5097</v>
      </c>
      <c r="T1205" s="51">
        <v>32</v>
      </c>
      <c r="U1205" s="3" t="s">
        <v>5388</v>
      </c>
      <c r="V1205" s="41" t="str">
        <f>HYPERLINK("http://ictvonline.org/taxonomy/p/taxonomy-history?taxnode_id=20185554","ICTVonline=20185554")</f>
        <v>ICTVonline=20185554</v>
      </c>
    </row>
    <row r="1206" spans="1:22">
      <c r="A1206" s="3">
        <v>1205</v>
      </c>
      <c r="J1206" s="1" t="s">
        <v>1338</v>
      </c>
      <c r="L1206" s="1" t="s">
        <v>903</v>
      </c>
      <c r="N1206" s="1" t="s">
        <v>5387</v>
      </c>
      <c r="P1206" s="1" t="s">
        <v>5396</v>
      </c>
      <c r="Q1206" s="3">
        <v>0</v>
      </c>
      <c r="R1206" s="22" t="s">
        <v>2764</v>
      </c>
      <c r="S1206" s="22" t="s">
        <v>5097</v>
      </c>
      <c r="T1206" s="51">
        <v>32</v>
      </c>
      <c r="U1206" s="3" t="s">
        <v>5388</v>
      </c>
      <c r="V1206" s="41" t="str">
        <f>HYPERLINK("http://ictvonline.org/taxonomy/p/taxonomy-history?taxnode_id=20185555","ICTVonline=20185555")</f>
        <v>ICTVonline=20185555</v>
      </c>
    </row>
    <row r="1207" spans="1:22">
      <c r="A1207" s="3">
        <v>1206</v>
      </c>
      <c r="J1207" s="1" t="s">
        <v>1338</v>
      </c>
      <c r="L1207" s="1" t="s">
        <v>903</v>
      </c>
      <c r="N1207" s="1" t="s">
        <v>5387</v>
      </c>
      <c r="P1207" s="1" t="s">
        <v>5397</v>
      </c>
      <c r="Q1207" s="3">
        <v>0</v>
      </c>
      <c r="R1207" s="22" t="s">
        <v>2764</v>
      </c>
      <c r="S1207" s="22" t="s">
        <v>5097</v>
      </c>
      <c r="T1207" s="51">
        <v>32</v>
      </c>
      <c r="U1207" s="3" t="s">
        <v>5388</v>
      </c>
      <c r="V1207" s="41" t="str">
        <f>HYPERLINK("http://ictvonline.org/taxonomy/p/taxonomy-history?taxnode_id=20185556","ICTVonline=20185556")</f>
        <v>ICTVonline=20185556</v>
      </c>
    </row>
    <row r="1208" spans="1:22">
      <c r="A1208" s="3">
        <v>1207</v>
      </c>
      <c r="J1208" s="1" t="s">
        <v>1338</v>
      </c>
      <c r="L1208" s="1" t="s">
        <v>903</v>
      </c>
      <c r="N1208" s="1" t="s">
        <v>4531</v>
      </c>
      <c r="P1208" s="1" t="s">
        <v>4532</v>
      </c>
      <c r="Q1208" s="3">
        <v>1</v>
      </c>
      <c r="R1208" s="22" t="s">
        <v>2764</v>
      </c>
      <c r="S1208" s="22" t="s">
        <v>5097</v>
      </c>
      <c r="T1208" s="51">
        <v>31</v>
      </c>
      <c r="U1208" s="3" t="s">
        <v>5398</v>
      </c>
      <c r="V1208" s="41" t="str">
        <f>HYPERLINK("http://ictvonline.org/taxonomy/p/taxonomy-history?taxnode_id=20180991","ICTVonline=20180991")</f>
        <v>ICTVonline=20180991</v>
      </c>
    </row>
    <row r="1209" spans="1:22">
      <c r="A1209" s="3">
        <v>1208</v>
      </c>
      <c r="J1209" s="1" t="s">
        <v>1338</v>
      </c>
      <c r="L1209" s="1" t="s">
        <v>903</v>
      </c>
      <c r="N1209" s="1" t="s">
        <v>4533</v>
      </c>
      <c r="P1209" s="1" t="s">
        <v>4534</v>
      </c>
      <c r="Q1209" s="3">
        <v>0</v>
      </c>
      <c r="R1209" s="22" t="s">
        <v>2764</v>
      </c>
      <c r="S1209" s="22" t="s">
        <v>5097</v>
      </c>
      <c r="T1209" s="51">
        <v>31</v>
      </c>
      <c r="U1209" s="3" t="s">
        <v>5399</v>
      </c>
      <c r="V1209" s="41" t="str">
        <f>HYPERLINK("http://ictvonline.org/taxonomy/p/taxonomy-history?taxnode_id=20180993","ICTVonline=20180993")</f>
        <v>ICTVonline=20180993</v>
      </c>
    </row>
    <row r="1210" spans="1:22">
      <c r="A1210" s="3">
        <v>1209</v>
      </c>
      <c r="J1210" s="1" t="s">
        <v>1338</v>
      </c>
      <c r="L1210" s="1" t="s">
        <v>903</v>
      </c>
      <c r="N1210" s="1" t="s">
        <v>4533</v>
      </c>
      <c r="P1210" s="1" t="s">
        <v>4535</v>
      </c>
      <c r="Q1210" s="3">
        <v>1</v>
      </c>
      <c r="R1210" s="22" t="s">
        <v>2764</v>
      </c>
      <c r="S1210" s="22" t="s">
        <v>5097</v>
      </c>
      <c r="T1210" s="51">
        <v>31</v>
      </c>
      <c r="U1210" s="3" t="s">
        <v>5399</v>
      </c>
      <c r="V1210" s="41" t="str">
        <f>HYPERLINK("http://ictvonline.org/taxonomy/p/taxonomy-history?taxnode_id=20180994","ICTVonline=20180994")</f>
        <v>ICTVonline=20180994</v>
      </c>
    </row>
    <row r="1211" spans="1:22">
      <c r="A1211" s="3">
        <v>1210</v>
      </c>
      <c r="J1211" s="1" t="s">
        <v>1338</v>
      </c>
      <c r="L1211" s="1" t="s">
        <v>903</v>
      </c>
      <c r="N1211" s="1" t="s">
        <v>4536</v>
      </c>
      <c r="P1211" s="1" t="s">
        <v>4537</v>
      </c>
      <c r="Q1211" s="3">
        <v>1</v>
      </c>
      <c r="R1211" s="22" t="s">
        <v>2764</v>
      </c>
      <c r="S1211" s="22" t="s">
        <v>5097</v>
      </c>
      <c r="T1211" s="51">
        <v>31</v>
      </c>
      <c r="U1211" s="3" t="s">
        <v>5400</v>
      </c>
      <c r="V1211" s="41" t="str">
        <f>HYPERLINK("http://ictvonline.org/taxonomy/p/taxonomy-history?taxnode_id=20180996","ICTVonline=20180996")</f>
        <v>ICTVonline=20180996</v>
      </c>
    </row>
    <row r="1212" spans="1:22">
      <c r="A1212" s="3">
        <v>1211</v>
      </c>
      <c r="J1212" s="1" t="s">
        <v>1338</v>
      </c>
      <c r="L1212" s="1" t="s">
        <v>903</v>
      </c>
      <c r="N1212" s="1" t="s">
        <v>4536</v>
      </c>
      <c r="P1212" s="1" t="s">
        <v>4538</v>
      </c>
      <c r="Q1212" s="3">
        <v>0</v>
      </c>
      <c r="R1212" s="22" t="s">
        <v>2764</v>
      </c>
      <c r="S1212" s="22" t="s">
        <v>5097</v>
      </c>
      <c r="T1212" s="51">
        <v>31</v>
      </c>
      <c r="U1212" s="3" t="s">
        <v>5400</v>
      </c>
      <c r="V1212" s="41" t="str">
        <f>HYPERLINK("http://ictvonline.org/taxonomy/p/taxonomy-history?taxnode_id=20180997","ICTVonline=20180997")</f>
        <v>ICTVonline=20180997</v>
      </c>
    </row>
    <row r="1213" spans="1:22">
      <c r="A1213" s="3">
        <v>1212</v>
      </c>
      <c r="J1213" s="1" t="s">
        <v>1338</v>
      </c>
      <c r="L1213" s="1" t="s">
        <v>903</v>
      </c>
      <c r="N1213" s="1" t="s">
        <v>4539</v>
      </c>
      <c r="P1213" s="1" t="s">
        <v>4540</v>
      </c>
      <c r="Q1213" s="3">
        <v>0</v>
      </c>
      <c r="R1213" s="22" t="s">
        <v>2764</v>
      </c>
      <c r="S1213" s="22" t="s">
        <v>5097</v>
      </c>
      <c r="T1213" s="51">
        <v>31</v>
      </c>
      <c r="U1213" s="3" t="s">
        <v>5401</v>
      </c>
      <c r="V1213" s="41" t="str">
        <f>HYPERLINK("http://ictvonline.org/taxonomy/p/taxonomy-history?taxnode_id=20180999","ICTVonline=20180999")</f>
        <v>ICTVonline=20180999</v>
      </c>
    </row>
    <row r="1214" spans="1:22">
      <c r="A1214" s="3">
        <v>1213</v>
      </c>
      <c r="J1214" s="1" t="s">
        <v>1338</v>
      </c>
      <c r="L1214" s="1" t="s">
        <v>903</v>
      </c>
      <c r="N1214" s="1" t="s">
        <v>4539</v>
      </c>
      <c r="P1214" s="1" t="s">
        <v>4541</v>
      </c>
      <c r="Q1214" s="3">
        <v>0</v>
      </c>
      <c r="R1214" s="22" t="s">
        <v>2764</v>
      </c>
      <c r="S1214" s="22" t="s">
        <v>5097</v>
      </c>
      <c r="T1214" s="51">
        <v>31</v>
      </c>
      <c r="U1214" s="3" t="s">
        <v>5401</v>
      </c>
      <c r="V1214" s="41" t="str">
        <f>HYPERLINK("http://ictvonline.org/taxonomy/p/taxonomy-history?taxnode_id=20181000","ICTVonline=20181000")</f>
        <v>ICTVonline=20181000</v>
      </c>
    </row>
    <row r="1215" spans="1:22">
      <c r="A1215" s="3">
        <v>1214</v>
      </c>
      <c r="J1215" s="1" t="s">
        <v>1338</v>
      </c>
      <c r="L1215" s="1" t="s">
        <v>903</v>
      </c>
      <c r="N1215" s="1" t="s">
        <v>4539</v>
      </c>
      <c r="P1215" s="1" t="s">
        <v>4542</v>
      </c>
      <c r="Q1215" s="3">
        <v>0</v>
      </c>
      <c r="R1215" s="22" t="s">
        <v>2764</v>
      </c>
      <c r="S1215" s="22" t="s">
        <v>5097</v>
      </c>
      <c r="T1215" s="51">
        <v>31</v>
      </c>
      <c r="U1215" s="3" t="s">
        <v>5401</v>
      </c>
      <c r="V1215" s="41" t="str">
        <f>HYPERLINK("http://ictvonline.org/taxonomy/p/taxonomy-history?taxnode_id=20181001","ICTVonline=20181001")</f>
        <v>ICTVonline=20181001</v>
      </c>
    </row>
    <row r="1216" spans="1:22">
      <c r="A1216" s="3">
        <v>1215</v>
      </c>
      <c r="J1216" s="1" t="s">
        <v>1338</v>
      </c>
      <c r="L1216" s="1" t="s">
        <v>903</v>
      </c>
      <c r="N1216" s="1" t="s">
        <v>4539</v>
      </c>
      <c r="P1216" s="1" t="s">
        <v>4543</v>
      </c>
      <c r="Q1216" s="3">
        <v>0</v>
      </c>
      <c r="R1216" s="22" t="s">
        <v>2764</v>
      </c>
      <c r="S1216" s="22" t="s">
        <v>5097</v>
      </c>
      <c r="T1216" s="51">
        <v>31</v>
      </c>
      <c r="U1216" s="3" t="s">
        <v>5401</v>
      </c>
      <c r="V1216" s="41" t="str">
        <f>HYPERLINK("http://ictvonline.org/taxonomy/p/taxonomy-history?taxnode_id=20181002","ICTVonline=20181002")</f>
        <v>ICTVonline=20181002</v>
      </c>
    </row>
    <row r="1217" spans="1:22">
      <c r="A1217" s="3">
        <v>1216</v>
      </c>
      <c r="J1217" s="1" t="s">
        <v>1338</v>
      </c>
      <c r="L1217" s="1" t="s">
        <v>903</v>
      </c>
      <c r="N1217" s="1" t="s">
        <v>4539</v>
      </c>
      <c r="P1217" s="1" t="s">
        <v>4544</v>
      </c>
      <c r="Q1217" s="3">
        <v>0</v>
      </c>
      <c r="R1217" s="22" t="s">
        <v>2764</v>
      </c>
      <c r="S1217" s="22" t="s">
        <v>5097</v>
      </c>
      <c r="T1217" s="51">
        <v>31</v>
      </c>
      <c r="U1217" s="3" t="s">
        <v>5401</v>
      </c>
      <c r="V1217" s="41" t="str">
        <f>HYPERLINK("http://ictvonline.org/taxonomy/p/taxonomy-history?taxnode_id=20181003","ICTVonline=20181003")</f>
        <v>ICTVonline=20181003</v>
      </c>
    </row>
    <row r="1218" spans="1:22">
      <c r="A1218" s="3">
        <v>1217</v>
      </c>
      <c r="J1218" s="1" t="s">
        <v>1338</v>
      </c>
      <c r="L1218" s="1" t="s">
        <v>903</v>
      </c>
      <c r="N1218" s="1" t="s">
        <v>4539</v>
      </c>
      <c r="P1218" s="1" t="s">
        <v>4545</v>
      </c>
      <c r="Q1218" s="3">
        <v>1</v>
      </c>
      <c r="R1218" s="22" t="s">
        <v>2764</v>
      </c>
      <c r="S1218" s="22" t="s">
        <v>5097</v>
      </c>
      <c r="T1218" s="51">
        <v>31</v>
      </c>
      <c r="U1218" s="3" t="s">
        <v>5401</v>
      </c>
      <c r="V1218" s="41" t="str">
        <f>HYPERLINK("http://ictvonline.org/taxonomy/p/taxonomy-history?taxnode_id=20181004","ICTVonline=20181004")</f>
        <v>ICTVonline=20181004</v>
      </c>
    </row>
    <row r="1219" spans="1:22">
      <c r="A1219" s="3">
        <v>1218</v>
      </c>
      <c r="J1219" s="1" t="s">
        <v>1338</v>
      </c>
      <c r="L1219" s="1" t="s">
        <v>903</v>
      </c>
      <c r="N1219" s="1" t="s">
        <v>4539</v>
      </c>
      <c r="P1219" s="1" t="s">
        <v>4546</v>
      </c>
      <c r="Q1219" s="3">
        <v>0</v>
      </c>
      <c r="R1219" s="22" t="s">
        <v>2764</v>
      </c>
      <c r="S1219" s="22" t="s">
        <v>5097</v>
      </c>
      <c r="T1219" s="51">
        <v>31</v>
      </c>
      <c r="U1219" s="3" t="s">
        <v>5401</v>
      </c>
      <c r="V1219" s="41" t="str">
        <f>HYPERLINK("http://ictvonline.org/taxonomy/p/taxonomy-history?taxnode_id=20181005","ICTVonline=20181005")</f>
        <v>ICTVonline=20181005</v>
      </c>
    </row>
    <row r="1220" spans="1:22">
      <c r="A1220" s="3">
        <v>1219</v>
      </c>
      <c r="J1220" s="1" t="s">
        <v>1338</v>
      </c>
      <c r="L1220" s="1" t="s">
        <v>903</v>
      </c>
      <c r="N1220" s="1" t="s">
        <v>4539</v>
      </c>
      <c r="P1220" s="1" t="s">
        <v>4547</v>
      </c>
      <c r="Q1220" s="3">
        <v>0</v>
      </c>
      <c r="R1220" s="22" t="s">
        <v>2764</v>
      </c>
      <c r="S1220" s="22" t="s">
        <v>5097</v>
      </c>
      <c r="T1220" s="51">
        <v>31</v>
      </c>
      <c r="U1220" s="3" t="s">
        <v>5401</v>
      </c>
      <c r="V1220" s="41" t="str">
        <f>HYPERLINK("http://ictvonline.org/taxonomy/p/taxonomy-history?taxnode_id=20181006","ICTVonline=20181006")</f>
        <v>ICTVonline=20181006</v>
      </c>
    </row>
    <row r="1221" spans="1:22">
      <c r="A1221" s="3">
        <v>1220</v>
      </c>
      <c r="J1221" s="1" t="s">
        <v>1338</v>
      </c>
      <c r="L1221" s="1" t="s">
        <v>903</v>
      </c>
      <c r="N1221" s="1" t="s">
        <v>4539</v>
      </c>
      <c r="P1221" s="1" t="s">
        <v>4548</v>
      </c>
      <c r="Q1221" s="3">
        <v>0</v>
      </c>
      <c r="R1221" s="22" t="s">
        <v>2764</v>
      </c>
      <c r="S1221" s="22" t="s">
        <v>5097</v>
      </c>
      <c r="T1221" s="51">
        <v>31</v>
      </c>
      <c r="U1221" s="3" t="s">
        <v>5401</v>
      </c>
      <c r="V1221" s="41" t="str">
        <f>HYPERLINK("http://ictvonline.org/taxonomy/p/taxonomy-history?taxnode_id=20181007","ICTVonline=20181007")</f>
        <v>ICTVonline=20181007</v>
      </c>
    </row>
    <row r="1222" spans="1:22">
      <c r="A1222" s="3">
        <v>1221</v>
      </c>
      <c r="J1222" s="1" t="s">
        <v>1338</v>
      </c>
      <c r="L1222" s="1" t="s">
        <v>903</v>
      </c>
      <c r="N1222" s="1" t="s">
        <v>3297</v>
      </c>
      <c r="P1222" s="1" t="s">
        <v>3298</v>
      </c>
      <c r="Q1222" s="3">
        <v>0</v>
      </c>
      <c r="R1222" s="22" t="s">
        <v>2764</v>
      </c>
      <c r="S1222" s="22" t="s">
        <v>5098</v>
      </c>
      <c r="T1222" s="51">
        <v>30</v>
      </c>
      <c r="U1222" s="3" t="s">
        <v>5216</v>
      </c>
      <c r="V1222" s="41" t="str">
        <f>HYPERLINK("http://ictvonline.org/taxonomy/p/taxonomy-history?taxnode_id=20181009","ICTVonline=20181009")</f>
        <v>ICTVonline=20181009</v>
      </c>
    </row>
    <row r="1223" spans="1:22">
      <c r="A1223" s="3">
        <v>1222</v>
      </c>
      <c r="J1223" s="1" t="s">
        <v>1338</v>
      </c>
      <c r="L1223" s="1" t="s">
        <v>903</v>
      </c>
      <c r="N1223" s="1" t="s">
        <v>3297</v>
      </c>
      <c r="P1223" s="1" t="s">
        <v>3299</v>
      </c>
      <c r="Q1223" s="3">
        <v>0</v>
      </c>
      <c r="R1223" s="22" t="s">
        <v>2764</v>
      </c>
      <c r="S1223" s="22" t="s">
        <v>5098</v>
      </c>
      <c r="T1223" s="51">
        <v>30</v>
      </c>
      <c r="U1223" s="3" t="s">
        <v>5216</v>
      </c>
      <c r="V1223" s="41" t="str">
        <f>HYPERLINK("http://ictvonline.org/taxonomy/p/taxonomy-history?taxnode_id=20181010","ICTVonline=20181010")</f>
        <v>ICTVonline=20181010</v>
      </c>
    </row>
    <row r="1224" spans="1:22">
      <c r="A1224" s="3">
        <v>1223</v>
      </c>
      <c r="J1224" s="1" t="s">
        <v>1338</v>
      </c>
      <c r="L1224" s="1" t="s">
        <v>903</v>
      </c>
      <c r="N1224" s="1" t="s">
        <v>3297</v>
      </c>
      <c r="P1224" s="1" t="s">
        <v>3300</v>
      </c>
      <c r="Q1224" s="3">
        <v>0</v>
      </c>
      <c r="R1224" s="22" t="s">
        <v>2764</v>
      </c>
      <c r="S1224" s="22" t="s">
        <v>5098</v>
      </c>
      <c r="T1224" s="51">
        <v>30</v>
      </c>
      <c r="U1224" s="3" t="s">
        <v>5216</v>
      </c>
      <c r="V1224" s="41" t="str">
        <f>HYPERLINK("http://ictvonline.org/taxonomy/p/taxonomy-history?taxnode_id=20181011","ICTVonline=20181011")</f>
        <v>ICTVonline=20181011</v>
      </c>
    </row>
    <row r="1225" spans="1:22">
      <c r="A1225" s="3">
        <v>1224</v>
      </c>
      <c r="J1225" s="1" t="s">
        <v>1338</v>
      </c>
      <c r="L1225" s="1" t="s">
        <v>903</v>
      </c>
      <c r="N1225" s="1" t="s">
        <v>3297</v>
      </c>
      <c r="P1225" s="1" t="s">
        <v>3301</v>
      </c>
      <c r="Q1225" s="3">
        <v>0</v>
      </c>
      <c r="R1225" s="22" t="s">
        <v>2764</v>
      </c>
      <c r="S1225" s="22" t="s">
        <v>5098</v>
      </c>
      <c r="T1225" s="51">
        <v>30</v>
      </c>
      <c r="U1225" s="3" t="s">
        <v>5216</v>
      </c>
      <c r="V1225" s="41" t="str">
        <f>HYPERLINK("http://ictvonline.org/taxonomy/p/taxonomy-history?taxnode_id=20181012","ICTVonline=20181012")</f>
        <v>ICTVonline=20181012</v>
      </c>
    </row>
    <row r="1226" spans="1:22">
      <c r="A1226" s="3">
        <v>1225</v>
      </c>
      <c r="J1226" s="1" t="s">
        <v>1338</v>
      </c>
      <c r="L1226" s="1" t="s">
        <v>903</v>
      </c>
      <c r="N1226" s="1" t="s">
        <v>3297</v>
      </c>
      <c r="P1226" s="1" t="s">
        <v>3302</v>
      </c>
      <c r="Q1226" s="3">
        <v>0</v>
      </c>
      <c r="R1226" s="22" t="s">
        <v>2764</v>
      </c>
      <c r="S1226" s="22" t="s">
        <v>5098</v>
      </c>
      <c r="T1226" s="51">
        <v>30</v>
      </c>
      <c r="U1226" s="3" t="s">
        <v>5216</v>
      </c>
      <c r="V1226" s="41" t="str">
        <f>HYPERLINK("http://ictvonline.org/taxonomy/p/taxonomy-history?taxnode_id=20181013","ICTVonline=20181013")</f>
        <v>ICTVonline=20181013</v>
      </c>
    </row>
    <row r="1227" spans="1:22">
      <c r="A1227" s="3">
        <v>1226</v>
      </c>
      <c r="J1227" s="1" t="s">
        <v>1338</v>
      </c>
      <c r="L1227" s="1" t="s">
        <v>903</v>
      </c>
      <c r="N1227" s="1" t="s">
        <v>3297</v>
      </c>
      <c r="P1227" s="1" t="s">
        <v>3303</v>
      </c>
      <c r="Q1227" s="3">
        <v>0</v>
      </c>
      <c r="R1227" s="22" t="s">
        <v>2764</v>
      </c>
      <c r="S1227" s="22" t="s">
        <v>5098</v>
      </c>
      <c r="T1227" s="51">
        <v>30</v>
      </c>
      <c r="U1227" s="3" t="s">
        <v>5216</v>
      </c>
      <c r="V1227" s="41" t="str">
        <f>HYPERLINK("http://ictvonline.org/taxonomy/p/taxonomy-history?taxnode_id=20181014","ICTVonline=20181014")</f>
        <v>ICTVonline=20181014</v>
      </c>
    </row>
    <row r="1228" spans="1:22">
      <c r="A1228" s="3">
        <v>1227</v>
      </c>
      <c r="J1228" s="1" t="s">
        <v>1338</v>
      </c>
      <c r="L1228" s="1" t="s">
        <v>903</v>
      </c>
      <c r="N1228" s="1" t="s">
        <v>3297</v>
      </c>
      <c r="P1228" s="1" t="s">
        <v>3304</v>
      </c>
      <c r="Q1228" s="3">
        <v>0</v>
      </c>
      <c r="R1228" s="22" t="s">
        <v>2764</v>
      </c>
      <c r="S1228" s="22" t="s">
        <v>5098</v>
      </c>
      <c r="T1228" s="51">
        <v>30</v>
      </c>
      <c r="U1228" s="3" t="s">
        <v>5216</v>
      </c>
      <c r="V1228" s="41" t="str">
        <f>HYPERLINK("http://ictvonline.org/taxonomy/p/taxonomy-history?taxnode_id=20181015","ICTVonline=20181015")</f>
        <v>ICTVonline=20181015</v>
      </c>
    </row>
    <row r="1229" spans="1:22">
      <c r="A1229" s="3">
        <v>1228</v>
      </c>
      <c r="J1229" s="1" t="s">
        <v>1338</v>
      </c>
      <c r="L1229" s="1" t="s">
        <v>903</v>
      </c>
      <c r="N1229" s="1" t="s">
        <v>3297</v>
      </c>
      <c r="P1229" s="1" t="s">
        <v>3305</v>
      </c>
      <c r="Q1229" s="3">
        <v>0</v>
      </c>
      <c r="R1229" s="22" t="s">
        <v>2764</v>
      </c>
      <c r="S1229" s="22" t="s">
        <v>5098</v>
      </c>
      <c r="T1229" s="51">
        <v>30</v>
      </c>
      <c r="U1229" s="3" t="s">
        <v>5216</v>
      </c>
      <c r="V1229" s="41" t="str">
        <f>HYPERLINK("http://ictvonline.org/taxonomy/p/taxonomy-history?taxnode_id=20181016","ICTVonline=20181016")</f>
        <v>ICTVonline=20181016</v>
      </c>
    </row>
    <row r="1230" spans="1:22">
      <c r="A1230" s="3">
        <v>1229</v>
      </c>
      <c r="J1230" s="1" t="s">
        <v>1338</v>
      </c>
      <c r="L1230" s="1" t="s">
        <v>903</v>
      </c>
      <c r="N1230" s="1" t="s">
        <v>3297</v>
      </c>
      <c r="P1230" s="1" t="s">
        <v>3306</v>
      </c>
      <c r="Q1230" s="3">
        <v>0</v>
      </c>
      <c r="R1230" s="22" t="s">
        <v>2764</v>
      </c>
      <c r="S1230" s="22" t="s">
        <v>5098</v>
      </c>
      <c r="T1230" s="51">
        <v>30</v>
      </c>
      <c r="U1230" s="3" t="s">
        <v>5216</v>
      </c>
      <c r="V1230" s="41" t="str">
        <f>HYPERLINK("http://ictvonline.org/taxonomy/p/taxonomy-history?taxnode_id=20181017","ICTVonline=20181017")</f>
        <v>ICTVonline=20181017</v>
      </c>
    </row>
    <row r="1231" spans="1:22">
      <c r="A1231" s="3">
        <v>1230</v>
      </c>
      <c r="J1231" s="1" t="s">
        <v>1338</v>
      </c>
      <c r="L1231" s="1" t="s">
        <v>903</v>
      </c>
      <c r="N1231" s="1" t="s">
        <v>3297</v>
      </c>
      <c r="P1231" s="1" t="s">
        <v>3307</v>
      </c>
      <c r="Q1231" s="3">
        <v>0</v>
      </c>
      <c r="R1231" s="22" t="s">
        <v>2764</v>
      </c>
      <c r="S1231" s="22" t="s">
        <v>5098</v>
      </c>
      <c r="T1231" s="51">
        <v>30</v>
      </c>
      <c r="U1231" s="3" t="s">
        <v>5216</v>
      </c>
      <c r="V1231" s="41" t="str">
        <f>HYPERLINK("http://ictvonline.org/taxonomy/p/taxonomy-history?taxnode_id=20181018","ICTVonline=20181018")</f>
        <v>ICTVonline=20181018</v>
      </c>
    </row>
    <row r="1232" spans="1:22">
      <c r="A1232" s="3">
        <v>1231</v>
      </c>
      <c r="J1232" s="1" t="s">
        <v>1338</v>
      </c>
      <c r="L1232" s="1" t="s">
        <v>903</v>
      </c>
      <c r="N1232" s="1" t="s">
        <v>3297</v>
      </c>
      <c r="P1232" s="1" t="s">
        <v>3308</v>
      </c>
      <c r="Q1232" s="3">
        <v>0</v>
      </c>
      <c r="R1232" s="22" t="s">
        <v>2764</v>
      </c>
      <c r="S1232" s="22" t="s">
        <v>5098</v>
      </c>
      <c r="T1232" s="51">
        <v>30</v>
      </c>
      <c r="U1232" s="3" t="s">
        <v>5216</v>
      </c>
      <c r="V1232" s="41" t="str">
        <f>HYPERLINK("http://ictvonline.org/taxonomy/p/taxonomy-history?taxnode_id=20181019","ICTVonline=20181019")</f>
        <v>ICTVonline=20181019</v>
      </c>
    </row>
    <row r="1233" spans="1:22">
      <c r="A1233" s="3">
        <v>1232</v>
      </c>
      <c r="J1233" s="1" t="s">
        <v>1338</v>
      </c>
      <c r="L1233" s="1" t="s">
        <v>903</v>
      </c>
      <c r="N1233" s="1" t="s">
        <v>3297</v>
      </c>
      <c r="P1233" s="1" t="s">
        <v>3309</v>
      </c>
      <c r="Q1233" s="3">
        <v>0</v>
      </c>
      <c r="R1233" s="22" t="s">
        <v>2764</v>
      </c>
      <c r="S1233" s="22" t="s">
        <v>5098</v>
      </c>
      <c r="T1233" s="51">
        <v>30</v>
      </c>
      <c r="U1233" s="3" t="s">
        <v>5216</v>
      </c>
      <c r="V1233" s="41" t="str">
        <f>HYPERLINK("http://ictvonline.org/taxonomy/p/taxonomy-history?taxnode_id=20181020","ICTVonline=20181020")</f>
        <v>ICTVonline=20181020</v>
      </c>
    </row>
    <row r="1234" spans="1:22">
      <c r="A1234" s="3">
        <v>1233</v>
      </c>
      <c r="J1234" s="1" t="s">
        <v>1338</v>
      </c>
      <c r="L1234" s="1" t="s">
        <v>903</v>
      </c>
      <c r="N1234" s="1" t="s">
        <v>3297</v>
      </c>
      <c r="P1234" s="1" t="s">
        <v>3310</v>
      </c>
      <c r="Q1234" s="3">
        <v>0</v>
      </c>
      <c r="R1234" s="22" t="s">
        <v>2764</v>
      </c>
      <c r="S1234" s="22" t="s">
        <v>5098</v>
      </c>
      <c r="T1234" s="51">
        <v>30</v>
      </c>
      <c r="U1234" s="3" t="s">
        <v>5216</v>
      </c>
      <c r="V1234" s="41" t="str">
        <f>HYPERLINK("http://ictvonline.org/taxonomy/p/taxonomy-history?taxnode_id=20181021","ICTVonline=20181021")</f>
        <v>ICTVonline=20181021</v>
      </c>
    </row>
    <row r="1235" spans="1:22">
      <c r="A1235" s="3">
        <v>1234</v>
      </c>
      <c r="J1235" s="1" t="s">
        <v>1338</v>
      </c>
      <c r="L1235" s="1" t="s">
        <v>903</v>
      </c>
      <c r="N1235" s="1" t="s">
        <v>3297</v>
      </c>
      <c r="P1235" s="1" t="s">
        <v>3311</v>
      </c>
      <c r="Q1235" s="3">
        <v>0</v>
      </c>
      <c r="R1235" s="22" t="s">
        <v>2764</v>
      </c>
      <c r="S1235" s="22" t="s">
        <v>5098</v>
      </c>
      <c r="T1235" s="51">
        <v>30</v>
      </c>
      <c r="U1235" s="3" t="s">
        <v>5216</v>
      </c>
      <c r="V1235" s="41" t="str">
        <f>HYPERLINK("http://ictvonline.org/taxonomy/p/taxonomy-history?taxnode_id=20181022","ICTVonline=20181022")</f>
        <v>ICTVonline=20181022</v>
      </c>
    </row>
    <row r="1236" spans="1:22">
      <c r="A1236" s="3">
        <v>1235</v>
      </c>
      <c r="J1236" s="1" t="s">
        <v>1338</v>
      </c>
      <c r="L1236" s="1" t="s">
        <v>903</v>
      </c>
      <c r="N1236" s="1" t="s">
        <v>3297</v>
      </c>
      <c r="P1236" s="1" t="s">
        <v>3312</v>
      </c>
      <c r="Q1236" s="3">
        <v>0</v>
      </c>
      <c r="R1236" s="22" t="s">
        <v>2764</v>
      </c>
      <c r="S1236" s="22" t="s">
        <v>5098</v>
      </c>
      <c r="T1236" s="51">
        <v>30</v>
      </c>
      <c r="U1236" s="3" t="s">
        <v>5216</v>
      </c>
      <c r="V1236" s="41" t="str">
        <f>HYPERLINK("http://ictvonline.org/taxonomy/p/taxonomy-history?taxnode_id=20181023","ICTVonline=20181023")</f>
        <v>ICTVonline=20181023</v>
      </c>
    </row>
    <row r="1237" spans="1:22">
      <c r="A1237" s="3">
        <v>1236</v>
      </c>
      <c r="J1237" s="1" t="s">
        <v>1338</v>
      </c>
      <c r="L1237" s="1" t="s">
        <v>903</v>
      </c>
      <c r="N1237" s="1" t="s">
        <v>3297</v>
      </c>
      <c r="P1237" s="1" t="s">
        <v>3313</v>
      </c>
      <c r="Q1237" s="3">
        <v>0</v>
      </c>
      <c r="R1237" s="22" t="s">
        <v>2764</v>
      </c>
      <c r="S1237" s="22" t="s">
        <v>5098</v>
      </c>
      <c r="T1237" s="51">
        <v>30</v>
      </c>
      <c r="U1237" s="3" t="s">
        <v>5216</v>
      </c>
      <c r="V1237" s="41" t="str">
        <f>HYPERLINK("http://ictvonline.org/taxonomy/p/taxonomy-history?taxnode_id=20181024","ICTVonline=20181024")</f>
        <v>ICTVonline=20181024</v>
      </c>
    </row>
    <row r="1238" spans="1:22">
      <c r="A1238" s="3">
        <v>1237</v>
      </c>
      <c r="J1238" s="1" t="s">
        <v>1338</v>
      </c>
      <c r="L1238" s="1" t="s">
        <v>903</v>
      </c>
      <c r="N1238" s="1" t="s">
        <v>3297</v>
      </c>
      <c r="P1238" s="1" t="s">
        <v>3314</v>
      </c>
      <c r="Q1238" s="3">
        <v>0</v>
      </c>
      <c r="R1238" s="22" t="s">
        <v>2764</v>
      </c>
      <c r="S1238" s="22" t="s">
        <v>5098</v>
      </c>
      <c r="T1238" s="51">
        <v>30</v>
      </c>
      <c r="U1238" s="3" t="s">
        <v>5216</v>
      </c>
      <c r="V1238" s="41" t="str">
        <f>HYPERLINK("http://ictvonline.org/taxonomy/p/taxonomy-history?taxnode_id=20181025","ICTVonline=20181025")</f>
        <v>ICTVonline=20181025</v>
      </c>
    </row>
    <row r="1239" spans="1:22">
      <c r="A1239" s="3">
        <v>1238</v>
      </c>
      <c r="J1239" s="1" t="s">
        <v>1338</v>
      </c>
      <c r="L1239" s="1" t="s">
        <v>903</v>
      </c>
      <c r="N1239" s="1" t="s">
        <v>3297</v>
      </c>
      <c r="P1239" s="1" t="s">
        <v>3315</v>
      </c>
      <c r="Q1239" s="3">
        <v>0</v>
      </c>
      <c r="R1239" s="22" t="s">
        <v>2764</v>
      </c>
      <c r="S1239" s="22" t="s">
        <v>5098</v>
      </c>
      <c r="T1239" s="51">
        <v>30</v>
      </c>
      <c r="U1239" s="3" t="s">
        <v>5216</v>
      </c>
      <c r="V1239" s="41" t="str">
        <f>HYPERLINK("http://ictvonline.org/taxonomy/p/taxonomy-history?taxnode_id=20181026","ICTVonline=20181026")</f>
        <v>ICTVonline=20181026</v>
      </c>
    </row>
    <row r="1240" spans="1:22">
      <c r="A1240" s="3">
        <v>1239</v>
      </c>
      <c r="J1240" s="1" t="s">
        <v>1338</v>
      </c>
      <c r="L1240" s="1" t="s">
        <v>903</v>
      </c>
      <c r="N1240" s="1" t="s">
        <v>3297</v>
      </c>
      <c r="P1240" s="1" t="s">
        <v>3316</v>
      </c>
      <c r="Q1240" s="3">
        <v>0</v>
      </c>
      <c r="R1240" s="22" t="s">
        <v>2764</v>
      </c>
      <c r="S1240" s="22" t="s">
        <v>5098</v>
      </c>
      <c r="T1240" s="51">
        <v>30</v>
      </c>
      <c r="U1240" s="3" t="s">
        <v>5216</v>
      </c>
      <c r="V1240" s="41" t="str">
        <f>HYPERLINK("http://ictvonline.org/taxonomy/p/taxonomy-history?taxnode_id=20181027","ICTVonline=20181027")</f>
        <v>ICTVonline=20181027</v>
      </c>
    </row>
    <row r="1241" spans="1:22">
      <c r="A1241" s="3">
        <v>1240</v>
      </c>
      <c r="J1241" s="1" t="s">
        <v>1338</v>
      </c>
      <c r="L1241" s="1" t="s">
        <v>903</v>
      </c>
      <c r="N1241" s="1" t="s">
        <v>3297</v>
      </c>
      <c r="P1241" s="1" t="s">
        <v>3317</v>
      </c>
      <c r="Q1241" s="3">
        <v>0</v>
      </c>
      <c r="R1241" s="22" t="s">
        <v>2764</v>
      </c>
      <c r="S1241" s="22" t="s">
        <v>5098</v>
      </c>
      <c r="T1241" s="51">
        <v>30</v>
      </c>
      <c r="U1241" s="3" t="s">
        <v>5216</v>
      </c>
      <c r="V1241" s="41" t="str">
        <f>HYPERLINK("http://ictvonline.org/taxonomy/p/taxonomy-history?taxnode_id=20181028","ICTVonline=20181028")</f>
        <v>ICTVonline=20181028</v>
      </c>
    </row>
    <row r="1242" spans="1:22">
      <c r="A1242" s="3">
        <v>1241</v>
      </c>
      <c r="J1242" s="1" t="s">
        <v>1338</v>
      </c>
      <c r="L1242" s="1" t="s">
        <v>903</v>
      </c>
      <c r="N1242" s="1" t="s">
        <v>3297</v>
      </c>
      <c r="P1242" s="1" t="s">
        <v>3318</v>
      </c>
      <c r="Q1242" s="3">
        <v>0</v>
      </c>
      <c r="R1242" s="22" t="s">
        <v>2764</v>
      </c>
      <c r="S1242" s="22" t="s">
        <v>5098</v>
      </c>
      <c r="T1242" s="51">
        <v>30</v>
      </c>
      <c r="U1242" s="3" t="s">
        <v>5216</v>
      </c>
      <c r="V1242" s="41" t="str">
        <f>HYPERLINK("http://ictvonline.org/taxonomy/p/taxonomy-history?taxnode_id=20181029","ICTVonline=20181029")</f>
        <v>ICTVonline=20181029</v>
      </c>
    </row>
    <row r="1243" spans="1:22">
      <c r="A1243" s="3">
        <v>1242</v>
      </c>
      <c r="J1243" s="1" t="s">
        <v>1338</v>
      </c>
      <c r="L1243" s="1" t="s">
        <v>903</v>
      </c>
      <c r="N1243" s="1" t="s">
        <v>3297</v>
      </c>
      <c r="P1243" s="4" t="s">
        <v>3319</v>
      </c>
      <c r="Q1243" s="3">
        <v>0</v>
      </c>
      <c r="R1243" s="23" t="s">
        <v>2764</v>
      </c>
      <c r="S1243" s="23" t="s">
        <v>5098</v>
      </c>
      <c r="T1243" s="51">
        <v>30</v>
      </c>
      <c r="U1243" s="3" t="s">
        <v>5216</v>
      </c>
      <c r="V1243" s="41" t="str">
        <f>HYPERLINK("http://ictvonline.org/taxonomy/p/taxonomy-history?taxnode_id=20181030","ICTVonline=20181030")</f>
        <v>ICTVonline=20181030</v>
      </c>
    </row>
    <row r="1244" spans="1:22">
      <c r="A1244" s="3">
        <v>1243</v>
      </c>
      <c r="J1244" s="1" t="s">
        <v>1338</v>
      </c>
      <c r="L1244" s="1" t="s">
        <v>903</v>
      </c>
      <c r="N1244" s="1" t="s">
        <v>3297</v>
      </c>
      <c r="P1244" s="1" t="s">
        <v>3320</v>
      </c>
      <c r="Q1244" s="3">
        <v>0</v>
      </c>
      <c r="R1244" s="22" t="s">
        <v>2764</v>
      </c>
      <c r="S1244" s="22" t="s">
        <v>5098</v>
      </c>
      <c r="T1244" s="51">
        <v>30</v>
      </c>
      <c r="U1244" s="3" t="s">
        <v>5216</v>
      </c>
      <c r="V1244" s="41" t="str">
        <f>HYPERLINK("http://ictvonline.org/taxonomy/p/taxonomy-history?taxnode_id=20181031","ICTVonline=20181031")</f>
        <v>ICTVonline=20181031</v>
      </c>
    </row>
    <row r="1245" spans="1:22">
      <c r="A1245" s="3">
        <v>1244</v>
      </c>
      <c r="J1245" s="1" t="s">
        <v>1338</v>
      </c>
      <c r="L1245" s="1" t="s">
        <v>903</v>
      </c>
      <c r="N1245" s="1" t="s">
        <v>3297</v>
      </c>
      <c r="P1245" s="1" t="s">
        <v>3321</v>
      </c>
      <c r="Q1245" s="3">
        <v>0</v>
      </c>
      <c r="R1245" s="22" t="s">
        <v>2764</v>
      </c>
      <c r="S1245" s="22" t="s">
        <v>5098</v>
      </c>
      <c r="T1245" s="51">
        <v>30</v>
      </c>
      <c r="U1245" s="3" t="s">
        <v>5216</v>
      </c>
      <c r="V1245" s="41" t="str">
        <f>HYPERLINK("http://ictvonline.org/taxonomy/p/taxonomy-history?taxnode_id=20181032","ICTVonline=20181032")</f>
        <v>ICTVonline=20181032</v>
      </c>
    </row>
    <row r="1246" spans="1:22">
      <c r="A1246" s="3">
        <v>1245</v>
      </c>
      <c r="J1246" s="1" t="s">
        <v>1338</v>
      </c>
      <c r="L1246" s="1" t="s">
        <v>903</v>
      </c>
      <c r="N1246" s="1" t="s">
        <v>3297</v>
      </c>
      <c r="P1246" s="1" t="s">
        <v>3322</v>
      </c>
      <c r="Q1246" s="3">
        <v>0</v>
      </c>
      <c r="R1246" s="22" t="s">
        <v>2764</v>
      </c>
      <c r="S1246" s="22" t="s">
        <v>5098</v>
      </c>
      <c r="T1246" s="51">
        <v>30</v>
      </c>
      <c r="U1246" s="3" t="s">
        <v>5216</v>
      </c>
      <c r="V1246" s="41" t="str">
        <f>HYPERLINK("http://ictvonline.org/taxonomy/p/taxonomy-history?taxnode_id=20181033","ICTVonline=20181033")</f>
        <v>ICTVonline=20181033</v>
      </c>
    </row>
    <row r="1247" spans="1:22">
      <c r="A1247" s="3">
        <v>1246</v>
      </c>
      <c r="J1247" s="1" t="s">
        <v>1338</v>
      </c>
      <c r="L1247" s="1" t="s">
        <v>903</v>
      </c>
      <c r="N1247" s="1" t="s">
        <v>3297</v>
      </c>
      <c r="P1247" s="1" t="s">
        <v>3323</v>
      </c>
      <c r="Q1247" s="3">
        <v>0</v>
      </c>
      <c r="R1247" s="22" t="s">
        <v>2764</v>
      </c>
      <c r="S1247" s="22" t="s">
        <v>5098</v>
      </c>
      <c r="T1247" s="51">
        <v>30</v>
      </c>
      <c r="U1247" s="3" t="s">
        <v>5216</v>
      </c>
      <c r="V1247" s="41" t="str">
        <f>HYPERLINK("http://ictvonline.org/taxonomy/p/taxonomy-history?taxnode_id=20181034","ICTVonline=20181034")</f>
        <v>ICTVonline=20181034</v>
      </c>
    </row>
    <row r="1248" spans="1:22">
      <c r="A1248" s="3">
        <v>1247</v>
      </c>
      <c r="J1248" s="1" t="s">
        <v>1338</v>
      </c>
      <c r="L1248" s="1" t="s">
        <v>903</v>
      </c>
      <c r="N1248" s="1" t="s">
        <v>3297</v>
      </c>
      <c r="P1248" s="1" t="s">
        <v>3324</v>
      </c>
      <c r="Q1248" s="3">
        <v>0</v>
      </c>
      <c r="R1248" s="22" t="s">
        <v>2764</v>
      </c>
      <c r="S1248" s="22" t="s">
        <v>5098</v>
      </c>
      <c r="T1248" s="51">
        <v>30</v>
      </c>
      <c r="U1248" s="3" t="s">
        <v>5216</v>
      </c>
      <c r="V1248" s="41" t="str">
        <f>HYPERLINK("http://ictvonline.org/taxonomy/p/taxonomy-history?taxnode_id=20181035","ICTVonline=20181035")</f>
        <v>ICTVonline=20181035</v>
      </c>
    </row>
    <row r="1249" spans="1:22">
      <c r="A1249" s="3">
        <v>1248</v>
      </c>
      <c r="J1249" s="1" t="s">
        <v>1338</v>
      </c>
      <c r="L1249" s="1" t="s">
        <v>903</v>
      </c>
      <c r="N1249" s="1" t="s">
        <v>3297</v>
      </c>
      <c r="P1249" s="1" t="s">
        <v>3325</v>
      </c>
      <c r="Q1249" s="3">
        <v>0</v>
      </c>
      <c r="R1249" s="22" t="s">
        <v>2764</v>
      </c>
      <c r="S1249" s="22" t="s">
        <v>5098</v>
      </c>
      <c r="T1249" s="51">
        <v>30</v>
      </c>
      <c r="U1249" s="3" t="s">
        <v>5216</v>
      </c>
      <c r="V1249" s="41" t="str">
        <f>HYPERLINK("http://ictvonline.org/taxonomy/p/taxonomy-history?taxnode_id=20181036","ICTVonline=20181036")</f>
        <v>ICTVonline=20181036</v>
      </c>
    </row>
    <row r="1250" spans="1:22">
      <c r="A1250" s="3">
        <v>1249</v>
      </c>
      <c r="J1250" s="1" t="s">
        <v>1338</v>
      </c>
      <c r="L1250" s="1" t="s">
        <v>903</v>
      </c>
      <c r="N1250" s="1" t="s">
        <v>3297</v>
      </c>
      <c r="P1250" s="1" t="s">
        <v>3326</v>
      </c>
      <c r="Q1250" s="3">
        <v>0</v>
      </c>
      <c r="R1250" s="22" t="s">
        <v>2764</v>
      </c>
      <c r="S1250" s="22" t="s">
        <v>5098</v>
      </c>
      <c r="T1250" s="51">
        <v>30</v>
      </c>
      <c r="U1250" s="3" t="s">
        <v>5216</v>
      </c>
      <c r="V1250" s="41" t="str">
        <f>HYPERLINK("http://ictvonline.org/taxonomy/p/taxonomy-history?taxnode_id=20181037","ICTVonline=20181037")</f>
        <v>ICTVonline=20181037</v>
      </c>
    </row>
    <row r="1251" spans="1:22">
      <c r="A1251" s="3">
        <v>1250</v>
      </c>
      <c r="J1251" s="1" t="s">
        <v>1338</v>
      </c>
      <c r="L1251" s="1" t="s">
        <v>903</v>
      </c>
      <c r="N1251" s="1" t="s">
        <v>3297</v>
      </c>
      <c r="P1251" s="1" t="s">
        <v>3327</v>
      </c>
      <c r="Q1251" s="3">
        <v>1</v>
      </c>
      <c r="R1251" s="22" t="s">
        <v>2764</v>
      </c>
      <c r="S1251" s="22" t="s">
        <v>5098</v>
      </c>
      <c r="T1251" s="51">
        <v>30</v>
      </c>
      <c r="U1251" s="3" t="s">
        <v>5216</v>
      </c>
      <c r="V1251" s="41" t="str">
        <f>HYPERLINK("http://ictvonline.org/taxonomy/p/taxonomy-history?taxnode_id=20181038","ICTVonline=20181038")</f>
        <v>ICTVonline=20181038</v>
      </c>
    </row>
    <row r="1252" spans="1:22">
      <c r="A1252" s="3">
        <v>1251</v>
      </c>
      <c r="J1252" s="1" t="s">
        <v>1338</v>
      </c>
      <c r="L1252" s="1" t="s">
        <v>903</v>
      </c>
      <c r="N1252" s="1" t="s">
        <v>3297</v>
      </c>
      <c r="P1252" s="1" t="s">
        <v>3328</v>
      </c>
      <c r="Q1252" s="3">
        <v>0</v>
      </c>
      <c r="R1252" s="22" t="s">
        <v>2764</v>
      </c>
      <c r="S1252" s="22" t="s">
        <v>5098</v>
      </c>
      <c r="T1252" s="51">
        <v>30</v>
      </c>
      <c r="U1252" s="3" t="s">
        <v>5216</v>
      </c>
      <c r="V1252" s="41" t="str">
        <f>HYPERLINK("http://ictvonline.org/taxonomy/p/taxonomy-history?taxnode_id=20181039","ICTVonline=20181039")</f>
        <v>ICTVonline=20181039</v>
      </c>
    </row>
    <row r="1253" spans="1:22">
      <c r="A1253" s="3">
        <v>1252</v>
      </c>
      <c r="J1253" s="1" t="s">
        <v>1338</v>
      </c>
      <c r="L1253" s="1" t="s">
        <v>903</v>
      </c>
      <c r="N1253" s="1" t="s">
        <v>3297</v>
      </c>
      <c r="P1253" s="1" t="s">
        <v>3329</v>
      </c>
      <c r="Q1253" s="3">
        <v>0</v>
      </c>
      <c r="R1253" s="22" t="s">
        <v>2764</v>
      </c>
      <c r="S1253" s="22" t="s">
        <v>5098</v>
      </c>
      <c r="T1253" s="51">
        <v>30</v>
      </c>
      <c r="U1253" s="3" t="s">
        <v>5216</v>
      </c>
      <c r="V1253" s="41" t="str">
        <f>HYPERLINK("http://ictvonline.org/taxonomy/p/taxonomy-history?taxnode_id=20181040","ICTVonline=20181040")</f>
        <v>ICTVonline=20181040</v>
      </c>
    </row>
    <row r="1254" spans="1:22">
      <c r="A1254" s="3">
        <v>1253</v>
      </c>
      <c r="J1254" s="1" t="s">
        <v>1338</v>
      </c>
      <c r="L1254" s="1" t="s">
        <v>903</v>
      </c>
      <c r="N1254" s="1" t="s">
        <v>3297</v>
      </c>
      <c r="P1254" s="1" t="s">
        <v>3330</v>
      </c>
      <c r="Q1254" s="3">
        <v>0</v>
      </c>
      <c r="R1254" s="22" t="s">
        <v>2764</v>
      </c>
      <c r="S1254" s="22" t="s">
        <v>5098</v>
      </c>
      <c r="T1254" s="51">
        <v>30</v>
      </c>
      <c r="U1254" s="3" t="s">
        <v>5216</v>
      </c>
      <c r="V1254" s="41" t="str">
        <f>HYPERLINK("http://ictvonline.org/taxonomy/p/taxonomy-history?taxnode_id=20181041","ICTVonline=20181041")</f>
        <v>ICTVonline=20181041</v>
      </c>
    </row>
    <row r="1255" spans="1:22">
      <c r="A1255" s="3">
        <v>1254</v>
      </c>
      <c r="J1255" s="1" t="s">
        <v>1338</v>
      </c>
      <c r="L1255" s="1" t="s">
        <v>903</v>
      </c>
      <c r="N1255" s="1" t="s">
        <v>3297</v>
      </c>
      <c r="P1255" s="1" t="s">
        <v>3331</v>
      </c>
      <c r="Q1255" s="3">
        <v>0</v>
      </c>
      <c r="R1255" s="22" t="s">
        <v>2764</v>
      </c>
      <c r="S1255" s="22" t="s">
        <v>5098</v>
      </c>
      <c r="T1255" s="51">
        <v>30</v>
      </c>
      <c r="U1255" s="3" t="s">
        <v>5216</v>
      </c>
      <c r="V1255" s="41" t="str">
        <f>HYPERLINK("http://ictvonline.org/taxonomy/p/taxonomy-history?taxnode_id=20181042","ICTVonline=20181042")</f>
        <v>ICTVonline=20181042</v>
      </c>
    </row>
    <row r="1256" spans="1:22">
      <c r="A1256" s="3">
        <v>1255</v>
      </c>
      <c r="J1256" s="1" t="s">
        <v>1338</v>
      </c>
      <c r="L1256" s="1" t="s">
        <v>903</v>
      </c>
      <c r="N1256" s="1" t="s">
        <v>3297</v>
      </c>
      <c r="P1256" s="1" t="s">
        <v>3332</v>
      </c>
      <c r="Q1256" s="3">
        <v>0</v>
      </c>
      <c r="R1256" s="22" t="s">
        <v>2764</v>
      </c>
      <c r="S1256" s="22" t="s">
        <v>5098</v>
      </c>
      <c r="T1256" s="51">
        <v>30</v>
      </c>
      <c r="U1256" s="3" t="s">
        <v>5216</v>
      </c>
      <c r="V1256" s="41" t="str">
        <f>HYPERLINK("http://ictvonline.org/taxonomy/p/taxonomy-history?taxnode_id=20181043","ICTVonline=20181043")</f>
        <v>ICTVonline=20181043</v>
      </c>
    </row>
    <row r="1257" spans="1:22">
      <c r="A1257" s="3">
        <v>1256</v>
      </c>
      <c r="J1257" s="1" t="s">
        <v>1338</v>
      </c>
      <c r="L1257" s="1" t="s">
        <v>903</v>
      </c>
      <c r="N1257" s="1" t="s">
        <v>3297</v>
      </c>
      <c r="P1257" s="1" t="s">
        <v>3333</v>
      </c>
      <c r="Q1257" s="3">
        <v>0</v>
      </c>
      <c r="R1257" s="22" t="s">
        <v>2764</v>
      </c>
      <c r="S1257" s="22" t="s">
        <v>5098</v>
      </c>
      <c r="T1257" s="51">
        <v>30</v>
      </c>
      <c r="U1257" s="3" t="s">
        <v>5216</v>
      </c>
      <c r="V1257" s="41" t="str">
        <f>HYPERLINK("http://ictvonline.org/taxonomy/p/taxonomy-history?taxnode_id=20181044","ICTVonline=20181044")</f>
        <v>ICTVonline=20181044</v>
      </c>
    </row>
    <row r="1258" spans="1:22">
      <c r="A1258" s="3">
        <v>1257</v>
      </c>
      <c r="J1258" s="1" t="s">
        <v>1338</v>
      </c>
      <c r="L1258" s="1" t="s">
        <v>903</v>
      </c>
      <c r="N1258" s="1" t="s">
        <v>3297</v>
      </c>
      <c r="P1258" s="1" t="s">
        <v>3334</v>
      </c>
      <c r="Q1258" s="3">
        <v>0</v>
      </c>
      <c r="R1258" s="22" t="s">
        <v>2764</v>
      </c>
      <c r="S1258" s="22" t="s">
        <v>5098</v>
      </c>
      <c r="T1258" s="51">
        <v>30</v>
      </c>
      <c r="U1258" s="3" t="s">
        <v>5216</v>
      </c>
      <c r="V1258" s="41" t="str">
        <f>HYPERLINK("http://ictvonline.org/taxonomy/p/taxonomy-history?taxnode_id=20181045","ICTVonline=20181045")</f>
        <v>ICTVonline=20181045</v>
      </c>
    </row>
    <row r="1259" spans="1:22">
      <c r="A1259" s="3">
        <v>1258</v>
      </c>
      <c r="J1259" s="1" t="s">
        <v>1338</v>
      </c>
      <c r="L1259" s="1" t="s">
        <v>903</v>
      </c>
      <c r="N1259" s="1" t="s">
        <v>3297</v>
      </c>
      <c r="P1259" s="1" t="s">
        <v>3335</v>
      </c>
      <c r="Q1259" s="3">
        <v>0</v>
      </c>
      <c r="R1259" s="22" t="s">
        <v>2764</v>
      </c>
      <c r="S1259" s="22" t="s">
        <v>5098</v>
      </c>
      <c r="T1259" s="51">
        <v>30</v>
      </c>
      <c r="U1259" s="3" t="s">
        <v>5216</v>
      </c>
      <c r="V1259" s="41" t="str">
        <f>HYPERLINK("http://ictvonline.org/taxonomy/p/taxonomy-history?taxnode_id=20181046","ICTVonline=20181046")</f>
        <v>ICTVonline=20181046</v>
      </c>
    </row>
    <row r="1260" spans="1:22">
      <c r="A1260" s="3">
        <v>1259</v>
      </c>
      <c r="J1260" s="1" t="s">
        <v>1338</v>
      </c>
      <c r="L1260" s="1" t="s">
        <v>903</v>
      </c>
      <c r="N1260" s="1" t="s">
        <v>3297</v>
      </c>
      <c r="P1260" s="1" t="s">
        <v>3336</v>
      </c>
      <c r="Q1260" s="3">
        <v>0</v>
      </c>
      <c r="R1260" s="22" t="s">
        <v>2764</v>
      </c>
      <c r="S1260" s="22" t="s">
        <v>5098</v>
      </c>
      <c r="T1260" s="51">
        <v>30</v>
      </c>
      <c r="U1260" s="3" t="s">
        <v>5216</v>
      </c>
      <c r="V1260" s="41" t="str">
        <f>HYPERLINK("http://ictvonline.org/taxonomy/p/taxonomy-history?taxnode_id=20181047","ICTVonline=20181047")</f>
        <v>ICTVonline=20181047</v>
      </c>
    </row>
    <row r="1261" spans="1:22">
      <c r="A1261" s="3">
        <v>1260</v>
      </c>
      <c r="J1261" s="1" t="s">
        <v>1338</v>
      </c>
      <c r="L1261" s="1" t="s">
        <v>903</v>
      </c>
      <c r="N1261" s="1" t="s">
        <v>3297</v>
      </c>
      <c r="P1261" s="1" t="s">
        <v>3337</v>
      </c>
      <c r="Q1261" s="3">
        <v>0</v>
      </c>
      <c r="R1261" s="22" t="s">
        <v>2764</v>
      </c>
      <c r="S1261" s="22" t="s">
        <v>5098</v>
      </c>
      <c r="T1261" s="51">
        <v>30</v>
      </c>
      <c r="U1261" s="3" t="s">
        <v>5216</v>
      </c>
      <c r="V1261" s="41" t="str">
        <f>HYPERLINK("http://ictvonline.org/taxonomy/p/taxonomy-history?taxnode_id=20181048","ICTVonline=20181048")</f>
        <v>ICTVonline=20181048</v>
      </c>
    </row>
    <row r="1262" spans="1:22">
      <c r="A1262" s="3">
        <v>1261</v>
      </c>
      <c r="J1262" s="1" t="s">
        <v>1338</v>
      </c>
      <c r="L1262" s="1" t="s">
        <v>903</v>
      </c>
      <c r="N1262" s="1" t="s">
        <v>3297</v>
      </c>
      <c r="P1262" s="1" t="s">
        <v>3338</v>
      </c>
      <c r="Q1262" s="3">
        <v>0</v>
      </c>
      <c r="R1262" s="22" t="s">
        <v>2764</v>
      </c>
      <c r="S1262" s="22" t="s">
        <v>5098</v>
      </c>
      <c r="T1262" s="51">
        <v>30</v>
      </c>
      <c r="U1262" s="3" t="s">
        <v>5216</v>
      </c>
      <c r="V1262" s="41" t="str">
        <f>HYPERLINK("http://ictvonline.org/taxonomy/p/taxonomy-history?taxnode_id=20181049","ICTVonline=20181049")</f>
        <v>ICTVonline=20181049</v>
      </c>
    </row>
    <row r="1263" spans="1:22">
      <c r="A1263" s="3">
        <v>1262</v>
      </c>
      <c r="J1263" s="1" t="s">
        <v>1338</v>
      </c>
      <c r="L1263" s="1" t="s">
        <v>903</v>
      </c>
      <c r="N1263" s="1" t="s">
        <v>3297</v>
      </c>
      <c r="P1263" s="1" t="s">
        <v>3339</v>
      </c>
      <c r="Q1263" s="3">
        <v>0</v>
      </c>
      <c r="R1263" s="22" t="s">
        <v>2764</v>
      </c>
      <c r="S1263" s="22" t="s">
        <v>5098</v>
      </c>
      <c r="T1263" s="51">
        <v>30</v>
      </c>
      <c r="U1263" s="3" t="s">
        <v>5216</v>
      </c>
      <c r="V1263" s="41" t="str">
        <f>HYPERLINK("http://ictvonline.org/taxonomy/p/taxonomy-history?taxnode_id=20181050","ICTVonline=20181050")</f>
        <v>ICTVonline=20181050</v>
      </c>
    </row>
    <row r="1264" spans="1:22">
      <c r="A1264" s="3">
        <v>1263</v>
      </c>
      <c r="J1264" s="1" t="s">
        <v>1338</v>
      </c>
      <c r="L1264" s="1" t="s">
        <v>903</v>
      </c>
      <c r="N1264" s="1" t="s">
        <v>3297</v>
      </c>
      <c r="P1264" s="1" t="s">
        <v>3340</v>
      </c>
      <c r="Q1264" s="3">
        <v>0</v>
      </c>
      <c r="R1264" s="22" t="s">
        <v>2764</v>
      </c>
      <c r="S1264" s="22" t="s">
        <v>5098</v>
      </c>
      <c r="T1264" s="51">
        <v>30</v>
      </c>
      <c r="U1264" s="3" t="s">
        <v>5216</v>
      </c>
      <c r="V1264" s="41" t="str">
        <f>HYPERLINK("http://ictvonline.org/taxonomy/p/taxonomy-history?taxnode_id=20181051","ICTVonline=20181051")</f>
        <v>ICTVonline=20181051</v>
      </c>
    </row>
    <row r="1265" spans="1:22">
      <c r="A1265" s="3">
        <v>1264</v>
      </c>
      <c r="J1265" s="1" t="s">
        <v>1338</v>
      </c>
      <c r="L1265" s="1" t="s">
        <v>903</v>
      </c>
      <c r="N1265" s="1" t="s">
        <v>3297</v>
      </c>
      <c r="P1265" s="1" t="s">
        <v>3341</v>
      </c>
      <c r="Q1265" s="3">
        <v>0</v>
      </c>
      <c r="R1265" s="22" t="s">
        <v>2764</v>
      </c>
      <c r="S1265" s="22" t="s">
        <v>5098</v>
      </c>
      <c r="T1265" s="51">
        <v>30</v>
      </c>
      <c r="U1265" s="3" t="s">
        <v>5216</v>
      </c>
      <c r="V1265" s="41" t="str">
        <f>HYPERLINK("http://ictvonline.org/taxonomy/p/taxonomy-history?taxnode_id=20181052","ICTVonline=20181052")</f>
        <v>ICTVonline=20181052</v>
      </c>
    </row>
    <row r="1266" spans="1:22">
      <c r="A1266" s="3">
        <v>1265</v>
      </c>
      <c r="J1266" s="1" t="s">
        <v>1338</v>
      </c>
      <c r="L1266" s="1" t="s">
        <v>903</v>
      </c>
      <c r="N1266" s="1" t="s">
        <v>3297</v>
      </c>
      <c r="P1266" s="1" t="s">
        <v>3342</v>
      </c>
      <c r="Q1266" s="3">
        <v>0</v>
      </c>
      <c r="R1266" s="22" t="s">
        <v>2764</v>
      </c>
      <c r="S1266" s="22" t="s">
        <v>5098</v>
      </c>
      <c r="T1266" s="51">
        <v>30</v>
      </c>
      <c r="U1266" s="3" t="s">
        <v>5216</v>
      </c>
      <c r="V1266" s="41" t="str">
        <f>HYPERLINK("http://ictvonline.org/taxonomy/p/taxonomy-history?taxnode_id=20181053","ICTVonline=20181053")</f>
        <v>ICTVonline=20181053</v>
      </c>
    </row>
    <row r="1267" spans="1:22">
      <c r="A1267" s="3">
        <v>1266</v>
      </c>
      <c r="J1267" s="1" t="s">
        <v>1338</v>
      </c>
      <c r="L1267" s="1" t="s">
        <v>903</v>
      </c>
      <c r="N1267" s="1" t="s">
        <v>3297</v>
      </c>
      <c r="P1267" s="1" t="s">
        <v>3343</v>
      </c>
      <c r="Q1267" s="3">
        <v>0</v>
      </c>
      <c r="R1267" s="22" t="s">
        <v>2764</v>
      </c>
      <c r="S1267" s="22" t="s">
        <v>5098</v>
      </c>
      <c r="T1267" s="51">
        <v>30</v>
      </c>
      <c r="U1267" s="3" t="s">
        <v>5216</v>
      </c>
      <c r="V1267" s="41" t="str">
        <f>HYPERLINK("http://ictvonline.org/taxonomy/p/taxonomy-history?taxnode_id=20181054","ICTVonline=20181054")</f>
        <v>ICTVonline=20181054</v>
      </c>
    </row>
    <row r="1268" spans="1:22">
      <c r="A1268" s="3">
        <v>1267</v>
      </c>
      <c r="J1268" s="1" t="s">
        <v>1338</v>
      </c>
      <c r="L1268" s="1" t="s">
        <v>903</v>
      </c>
      <c r="N1268" s="1" t="s">
        <v>3297</v>
      </c>
      <c r="P1268" s="1" t="s">
        <v>3344</v>
      </c>
      <c r="Q1268" s="3">
        <v>0</v>
      </c>
      <c r="R1268" s="22" t="s">
        <v>2764</v>
      </c>
      <c r="S1268" s="22" t="s">
        <v>5098</v>
      </c>
      <c r="T1268" s="51">
        <v>30</v>
      </c>
      <c r="U1268" s="3" t="s">
        <v>5216</v>
      </c>
      <c r="V1268" s="41" t="str">
        <f>HYPERLINK("http://ictvonline.org/taxonomy/p/taxonomy-history?taxnode_id=20181055","ICTVonline=20181055")</f>
        <v>ICTVonline=20181055</v>
      </c>
    </row>
    <row r="1269" spans="1:22">
      <c r="A1269" s="3">
        <v>1268</v>
      </c>
      <c r="J1269" s="1" t="s">
        <v>1338</v>
      </c>
      <c r="L1269" s="1" t="s">
        <v>903</v>
      </c>
      <c r="N1269" s="1" t="s">
        <v>3297</v>
      </c>
      <c r="P1269" s="1" t="s">
        <v>3345</v>
      </c>
      <c r="Q1269" s="3">
        <v>0</v>
      </c>
      <c r="R1269" s="22" t="s">
        <v>2764</v>
      </c>
      <c r="S1269" s="22" t="s">
        <v>5098</v>
      </c>
      <c r="T1269" s="51">
        <v>30</v>
      </c>
      <c r="U1269" s="3" t="s">
        <v>5216</v>
      </c>
      <c r="V1269" s="41" t="str">
        <f>HYPERLINK("http://ictvonline.org/taxonomy/p/taxonomy-history?taxnode_id=20181056","ICTVonline=20181056")</f>
        <v>ICTVonline=20181056</v>
      </c>
    </row>
    <row r="1270" spans="1:22">
      <c r="A1270" s="3">
        <v>1269</v>
      </c>
      <c r="J1270" s="1" t="s">
        <v>1338</v>
      </c>
      <c r="L1270" s="1" t="s">
        <v>903</v>
      </c>
      <c r="N1270" s="1" t="s">
        <v>3297</v>
      </c>
      <c r="P1270" s="1" t="s">
        <v>3346</v>
      </c>
      <c r="Q1270" s="3">
        <v>0</v>
      </c>
      <c r="R1270" s="22" t="s">
        <v>2764</v>
      </c>
      <c r="S1270" s="22" t="s">
        <v>5098</v>
      </c>
      <c r="T1270" s="51">
        <v>30</v>
      </c>
      <c r="U1270" s="3" t="s">
        <v>5216</v>
      </c>
      <c r="V1270" s="41" t="str">
        <f>HYPERLINK("http://ictvonline.org/taxonomy/p/taxonomy-history?taxnode_id=20181057","ICTVonline=20181057")</f>
        <v>ICTVonline=20181057</v>
      </c>
    </row>
    <row r="1271" spans="1:22">
      <c r="A1271" s="3">
        <v>1270</v>
      </c>
      <c r="J1271" s="1" t="s">
        <v>1338</v>
      </c>
      <c r="L1271" s="1" t="s">
        <v>903</v>
      </c>
      <c r="N1271" s="1" t="s">
        <v>3297</v>
      </c>
      <c r="P1271" s="1" t="s">
        <v>3347</v>
      </c>
      <c r="Q1271" s="3">
        <v>0</v>
      </c>
      <c r="R1271" s="22" t="s">
        <v>2764</v>
      </c>
      <c r="S1271" s="22" t="s">
        <v>5098</v>
      </c>
      <c r="T1271" s="51">
        <v>30</v>
      </c>
      <c r="U1271" s="3" t="s">
        <v>5216</v>
      </c>
      <c r="V1271" s="41" t="str">
        <f>HYPERLINK("http://ictvonline.org/taxonomy/p/taxonomy-history?taxnode_id=20181058","ICTVonline=20181058")</f>
        <v>ICTVonline=20181058</v>
      </c>
    </row>
    <row r="1272" spans="1:22">
      <c r="A1272" s="3">
        <v>1271</v>
      </c>
      <c r="J1272" s="1" t="s">
        <v>1338</v>
      </c>
      <c r="L1272" s="1" t="s">
        <v>903</v>
      </c>
      <c r="N1272" s="1" t="s">
        <v>3297</v>
      </c>
      <c r="P1272" s="1" t="s">
        <v>3348</v>
      </c>
      <c r="Q1272" s="3">
        <v>0</v>
      </c>
      <c r="R1272" s="22" t="s">
        <v>2764</v>
      </c>
      <c r="S1272" s="22" t="s">
        <v>5098</v>
      </c>
      <c r="T1272" s="51">
        <v>30</v>
      </c>
      <c r="U1272" s="3" t="s">
        <v>5216</v>
      </c>
      <c r="V1272" s="41" t="str">
        <f>HYPERLINK("http://ictvonline.org/taxonomy/p/taxonomy-history?taxnode_id=20181059","ICTVonline=20181059")</f>
        <v>ICTVonline=20181059</v>
      </c>
    </row>
    <row r="1273" spans="1:22">
      <c r="A1273" s="3">
        <v>1272</v>
      </c>
      <c r="J1273" s="1" t="s">
        <v>1338</v>
      </c>
      <c r="L1273" s="1" t="s">
        <v>903</v>
      </c>
      <c r="N1273" s="1" t="s">
        <v>3297</v>
      </c>
      <c r="P1273" s="1" t="s">
        <v>3349</v>
      </c>
      <c r="Q1273" s="3">
        <v>0</v>
      </c>
      <c r="R1273" s="22" t="s">
        <v>2764</v>
      </c>
      <c r="S1273" s="22" t="s">
        <v>5098</v>
      </c>
      <c r="T1273" s="51">
        <v>30</v>
      </c>
      <c r="U1273" s="3" t="s">
        <v>5216</v>
      </c>
      <c r="V1273" s="41" t="str">
        <f>HYPERLINK("http://ictvonline.org/taxonomy/p/taxonomy-history?taxnode_id=20181060","ICTVonline=20181060")</f>
        <v>ICTVonline=20181060</v>
      </c>
    </row>
    <row r="1274" spans="1:22">
      <c r="A1274" s="3">
        <v>1273</v>
      </c>
      <c r="J1274" s="1" t="s">
        <v>1338</v>
      </c>
      <c r="L1274" s="1" t="s">
        <v>903</v>
      </c>
      <c r="N1274" s="1" t="s">
        <v>3297</v>
      </c>
      <c r="P1274" s="1" t="s">
        <v>3350</v>
      </c>
      <c r="Q1274" s="3">
        <v>0</v>
      </c>
      <c r="R1274" s="22" t="s">
        <v>2764</v>
      </c>
      <c r="S1274" s="22" t="s">
        <v>5098</v>
      </c>
      <c r="T1274" s="51">
        <v>30</v>
      </c>
      <c r="U1274" s="3" t="s">
        <v>5216</v>
      </c>
      <c r="V1274" s="41" t="str">
        <f>HYPERLINK("http://ictvonline.org/taxonomy/p/taxonomy-history?taxnode_id=20181061","ICTVonline=20181061")</f>
        <v>ICTVonline=20181061</v>
      </c>
    </row>
    <row r="1275" spans="1:22">
      <c r="A1275" s="3">
        <v>1274</v>
      </c>
      <c r="J1275" s="1" t="s">
        <v>1338</v>
      </c>
      <c r="L1275" s="1" t="s">
        <v>903</v>
      </c>
      <c r="N1275" s="1" t="s">
        <v>3297</v>
      </c>
      <c r="P1275" s="1" t="s">
        <v>3351</v>
      </c>
      <c r="Q1275" s="3">
        <v>0</v>
      </c>
      <c r="R1275" s="22" t="s">
        <v>2764</v>
      </c>
      <c r="S1275" s="22" t="s">
        <v>5098</v>
      </c>
      <c r="T1275" s="51">
        <v>30</v>
      </c>
      <c r="U1275" s="3" t="s">
        <v>5216</v>
      </c>
      <c r="V1275" s="41" t="str">
        <f>HYPERLINK("http://ictvonline.org/taxonomy/p/taxonomy-history?taxnode_id=20181062","ICTVonline=20181062")</f>
        <v>ICTVonline=20181062</v>
      </c>
    </row>
    <row r="1276" spans="1:22">
      <c r="A1276" s="3">
        <v>1275</v>
      </c>
      <c r="J1276" s="1" t="s">
        <v>1338</v>
      </c>
      <c r="L1276" s="1" t="s">
        <v>903</v>
      </c>
      <c r="N1276" s="1" t="s">
        <v>3297</v>
      </c>
      <c r="P1276" s="1" t="s">
        <v>3352</v>
      </c>
      <c r="Q1276" s="3">
        <v>0</v>
      </c>
      <c r="R1276" s="22" t="s">
        <v>2764</v>
      </c>
      <c r="S1276" s="22" t="s">
        <v>5098</v>
      </c>
      <c r="T1276" s="51">
        <v>30</v>
      </c>
      <c r="U1276" s="3" t="s">
        <v>5216</v>
      </c>
      <c r="V1276" s="41" t="str">
        <f>HYPERLINK("http://ictvonline.org/taxonomy/p/taxonomy-history?taxnode_id=20181063","ICTVonline=20181063")</f>
        <v>ICTVonline=20181063</v>
      </c>
    </row>
    <row r="1277" spans="1:22">
      <c r="A1277" s="3">
        <v>1276</v>
      </c>
      <c r="J1277" s="1" t="s">
        <v>1338</v>
      </c>
      <c r="L1277" s="1" t="s">
        <v>903</v>
      </c>
      <c r="N1277" s="1" t="s">
        <v>3297</v>
      </c>
      <c r="P1277" s="1" t="s">
        <v>3353</v>
      </c>
      <c r="Q1277" s="3">
        <v>0</v>
      </c>
      <c r="R1277" s="22" t="s">
        <v>2764</v>
      </c>
      <c r="S1277" s="22" t="s">
        <v>5098</v>
      </c>
      <c r="T1277" s="51">
        <v>30</v>
      </c>
      <c r="U1277" s="3" t="s">
        <v>5216</v>
      </c>
      <c r="V1277" s="41" t="str">
        <f>HYPERLINK("http://ictvonline.org/taxonomy/p/taxonomy-history?taxnode_id=20181064","ICTVonline=20181064")</f>
        <v>ICTVonline=20181064</v>
      </c>
    </row>
    <row r="1278" spans="1:22">
      <c r="A1278" s="3">
        <v>1277</v>
      </c>
      <c r="J1278" s="1" t="s">
        <v>1338</v>
      </c>
      <c r="L1278" s="1" t="s">
        <v>903</v>
      </c>
      <c r="N1278" s="1" t="s">
        <v>3297</v>
      </c>
      <c r="P1278" s="1" t="s">
        <v>3354</v>
      </c>
      <c r="Q1278" s="3">
        <v>0</v>
      </c>
      <c r="R1278" s="22" t="s">
        <v>2764</v>
      </c>
      <c r="S1278" s="22" t="s">
        <v>5098</v>
      </c>
      <c r="T1278" s="51">
        <v>30</v>
      </c>
      <c r="U1278" s="3" t="s">
        <v>5216</v>
      </c>
      <c r="V1278" s="41" t="str">
        <f>HYPERLINK("http://ictvonline.org/taxonomy/p/taxonomy-history?taxnode_id=20181065","ICTVonline=20181065")</f>
        <v>ICTVonline=20181065</v>
      </c>
    </row>
    <row r="1279" spans="1:22">
      <c r="A1279" s="3">
        <v>1278</v>
      </c>
      <c r="J1279" s="1" t="s">
        <v>1338</v>
      </c>
      <c r="L1279" s="1" t="s">
        <v>903</v>
      </c>
      <c r="N1279" s="1" t="s">
        <v>3297</v>
      </c>
      <c r="P1279" s="1" t="s">
        <v>3355</v>
      </c>
      <c r="Q1279" s="3">
        <v>0</v>
      </c>
      <c r="R1279" s="22" t="s">
        <v>2764</v>
      </c>
      <c r="S1279" s="22" t="s">
        <v>5098</v>
      </c>
      <c r="T1279" s="51">
        <v>30</v>
      </c>
      <c r="U1279" s="3" t="s">
        <v>5216</v>
      </c>
      <c r="V1279" s="41" t="str">
        <f>HYPERLINK("http://ictvonline.org/taxonomy/p/taxonomy-history?taxnode_id=20181066","ICTVonline=20181066")</f>
        <v>ICTVonline=20181066</v>
      </c>
    </row>
    <row r="1280" spans="1:22">
      <c r="A1280" s="3">
        <v>1279</v>
      </c>
      <c r="J1280" s="1" t="s">
        <v>1338</v>
      </c>
      <c r="L1280" s="1" t="s">
        <v>903</v>
      </c>
      <c r="N1280" s="1" t="s">
        <v>3297</v>
      </c>
      <c r="P1280" s="1" t="s">
        <v>3356</v>
      </c>
      <c r="Q1280" s="3">
        <v>0</v>
      </c>
      <c r="R1280" s="22" t="s">
        <v>2764</v>
      </c>
      <c r="S1280" s="22" t="s">
        <v>5098</v>
      </c>
      <c r="T1280" s="51">
        <v>30</v>
      </c>
      <c r="U1280" s="3" t="s">
        <v>5216</v>
      </c>
      <c r="V1280" s="41" t="str">
        <f>HYPERLINK("http://ictvonline.org/taxonomy/p/taxonomy-history?taxnode_id=20181067","ICTVonline=20181067")</f>
        <v>ICTVonline=20181067</v>
      </c>
    </row>
    <row r="1281" spans="1:22">
      <c r="A1281" s="3">
        <v>1280</v>
      </c>
      <c r="J1281" s="1" t="s">
        <v>1338</v>
      </c>
      <c r="L1281" s="1" t="s">
        <v>903</v>
      </c>
      <c r="N1281" s="1" t="s">
        <v>3297</v>
      </c>
      <c r="P1281" s="1" t="s">
        <v>3357</v>
      </c>
      <c r="Q1281" s="3">
        <v>0</v>
      </c>
      <c r="R1281" s="22" t="s">
        <v>2764</v>
      </c>
      <c r="S1281" s="22" t="s">
        <v>5098</v>
      </c>
      <c r="T1281" s="51">
        <v>30</v>
      </c>
      <c r="U1281" s="3" t="s">
        <v>5216</v>
      </c>
      <c r="V1281" s="41" t="str">
        <f>HYPERLINK("http://ictvonline.org/taxonomy/p/taxonomy-history?taxnode_id=20181068","ICTVonline=20181068")</f>
        <v>ICTVonline=20181068</v>
      </c>
    </row>
    <row r="1282" spans="1:22">
      <c r="A1282" s="3">
        <v>1281</v>
      </c>
      <c r="J1282" s="1" t="s">
        <v>1338</v>
      </c>
      <c r="L1282" s="1" t="s">
        <v>903</v>
      </c>
      <c r="N1282" s="1" t="s">
        <v>3360</v>
      </c>
      <c r="P1282" s="1" t="s">
        <v>5402</v>
      </c>
      <c r="Q1282" s="3">
        <v>0</v>
      </c>
      <c r="R1282" s="22" t="s">
        <v>2764</v>
      </c>
      <c r="S1282" s="22" t="s">
        <v>5097</v>
      </c>
      <c r="T1282" s="51">
        <v>32</v>
      </c>
      <c r="U1282" s="3" t="s">
        <v>5403</v>
      </c>
      <c r="V1282" s="41" t="str">
        <f>HYPERLINK("http://ictvonline.org/taxonomy/p/taxonomy-history?taxnode_id=20185558","ICTVonline=20185558")</f>
        <v>ICTVonline=20185558</v>
      </c>
    </row>
    <row r="1283" spans="1:22">
      <c r="A1283" s="3">
        <v>1282</v>
      </c>
      <c r="J1283" s="1" t="s">
        <v>1338</v>
      </c>
      <c r="L1283" s="1" t="s">
        <v>903</v>
      </c>
      <c r="N1283" s="1" t="s">
        <v>3360</v>
      </c>
      <c r="P1283" s="1" t="s">
        <v>5404</v>
      </c>
      <c r="Q1283" s="3">
        <v>0</v>
      </c>
      <c r="R1283" s="22" t="s">
        <v>2764</v>
      </c>
      <c r="S1283" s="22" t="s">
        <v>5097</v>
      </c>
      <c r="T1283" s="51">
        <v>32</v>
      </c>
      <c r="U1283" s="3" t="s">
        <v>5403</v>
      </c>
      <c r="V1283" s="41" t="str">
        <f>HYPERLINK("http://ictvonline.org/taxonomy/p/taxonomy-history?taxnode_id=20185559","ICTVonline=20185559")</f>
        <v>ICTVonline=20185559</v>
      </c>
    </row>
    <row r="1284" spans="1:22">
      <c r="A1284" s="3">
        <v>1283</v>
      </c>
      <c r="J1284" s="1" t="s">
        <v>1338</v>
      </c>
      <c r="L1284" s="1" t="s">
        <v>903</v>
      </c>
      <c r="N1284" s="1" t="s">
        <v>3360</v>
      </c>
      <c r="P1284" s="1" t="s">
        <v>5405</v>
      </c>
      <c r="Q1284" s="3">
        <v>0</v>
      </c>
      <c r="R1284" s="22" t="s">
        <v>2764</v>
      </c>
      <c r="S1284" s="22" t="s">
        <v>5097</v>
      </c>
      <c r="T1284" s="51">
        <v>32</v>
      </c>
      <c r="U1284" s="3" t="s">
        <v>5403</v>
      </c>
      <c r="V1284" s="41" t="str">
        <f>HYPERLINK("http://ictvonline.org/taxonomy/p/taxonomy-history?taxnode_id=20185560","ICTVonline=20185560")</f>
        <v>ICTVonline=20185560</v>
      </c>
    </row>
    <row r="1285" spans="1:22">
      <c r="A1285" s="3">
        <v>1284</v>
      </c>
      <c r="J1285" s="1" t="s">
        <v>1338</v>
      </c>
      <c r="L1285" s="1" t="s">
        <v>903</v>
      </c>
      <c r="N1285" s="1" t="s">
        <v>3360</v>
      </c>
      <c r="P1285" s="1" t="s">
        <v>3363</v>
      </c>
      <c r="Q1285" s="3">
        <v>1</v>
      </c>
      <c r="R1285" s="22" t="s">
        <v>2764</v>
      </c>
      <c r="S1285" s="22" t="s">
        <v>5098</v>
      </c>
      <c r="T1285" s="51">
        <v>30</v>
      </c>
      <c r="U1285" s="3" t="s">
        <v>5216</v>
      </c>
      <c r="V1285" s="41" t="str">
        <f>HYPERLINK("http://ictvonline.org/taxonomy/p/taxonomy-history?taxnode_id=20181072","ICTVonline=20181072")</f>
        <v>ICTVonline=20181072</v>
      </c>
    </row>
    <row r="1286" spans="1:22">
      <c r="A1286" s="3">
        <v>1285</v>
      </c>
      <c r="J1286" s="1" t="s">
        <v>1338</v>
      </c>
      <c r="L1286" s="1" t="s">
        <v>903</v>
      </c>
      <c r="N1286" s="1" t="s">
        <v>4549</v>
      </c>
      <c r="P1286" s="1" t="s">
        <v>4550</v>
      </c>
      <c r="Q1286" s="3">
        <v>1</v>
      </c>
      <c r="R1286" s="22" t="s">
        <v>2764</v>
      </c>
      <c r="S1286" s="22" t="s">
        <v>5097</v>
      </c>
      <c r="T1286" s="51">
        <v>31</v>
      </c>
      <c r="U1286" s="3" t="s">
        <v>5406</v>
      </c>
      <c r="V1286" s="41" t="str">
        <f>HYPERLINK("http://ictvonline.org/taxonomy/p/taxonomy-history?taxnode_id=20181074","ICTVonline=20181074")</f>
        <v>ICTVonline=20181074</v>
      </c>
    </row>
    <row r="1287" spans="1:22">
      <c r="A1287" s="3">
        <v>1286</v>
      </c>
      <c r="J1287" s="1" t="s">
        <v>1338</v>
      </c>
      <c r="L1287" s="1" t="s">
        <v>903</v>
      </c>
      <c r="N1287" s="1" t="s">
        <v>3364</v>
      </c>
      <c r="P1287" s="1" t="s">
        <v>3365</v>
      </c>
      <c r="Q1287" s="3">
        <v>1</v>
      </c>
      <c r="R1287" s="22" t="s">
        <v>2764</v>
      </c>
      <c r="S1287" s="22" t="s">
        <v>5098</v>
      </c>
      <c r="T1287" s="51">
        <v>30</v>
      </c>
      <c r="U1287" s="3" t="s">
        <v>5216</v>
      </c>
      <c r="V1287" s="41" t="str">
        <f>HYPERLINK("http://ictvonline.org/taxonomy/p/taxonomy-history?taxnode_id=20181076","ICTVonline=20181076")</f>
        <v>ICTVonline=20181076</v>
      </c>
    </row>
    <row r="1288" spans="1:22">
      <c r="A1288" s="3">
        <v>1287</v>
      </c>
      <c r="J1288" s="1" t="s">
        <v>1338</v>
      </c>
      <c r="L1288" s="1" t="s">
        <v>903</v>
      </c>
      <c r="N1288" s="1" t="s">
        <v>3364</v>
      </c>
      <c r="P1288" s="1" t="s">
        <v>3366</v>
      </c>
      <c r="Q1288" s="3">
        <v>0</v>
      </c>
      <c r="R1288" s="22" t="s">
        <v>2764</v>
      </c>
      <c r="S1288" s="22" t="s">
        <v>5098</v>
      </c>
      <c r="T1288" s="51">
        <v>30</v>
      </c>
      <c r="U1288" s="3" t="s">
        <v>5216</v>
      </c>
      <c r="V1288" s="41" t="str">
        <f>HYPERLINK("http://ictvonline.org/taxonomy/p/taxonomy-history?taxnode_id=20181077","ICTVonline=20181077")</f>
        <v>ICTVonline=20181077</v>
      </c>
    </row>
    <row r="1289" spans="1:22">
      <c r="A1289" s="3">
        <v>1288</v>
      </c>
      <c r="J1289" s="1" t="s">
        <v>1338</v>
      </c>
      <c r="L1289" s="1" t="s">
        <v>903</v>
      </c>
      <c r="N1289" s="1" t="s">
        <v>4551</v>
      </c>
      <c r="P1289" s="1" t="s">
        <v>4552</v>
      </c>
      <c r="Q1289" s="3">
        <v>1</v>
      </c>
      <c r="R1289" s="22" t="s">
        <v>2764</v>
      </c>
      <c r="S1289" s="22" t="s">
        <v>5097</v>
      </c>
      <c r="T1289" s="51">
        <v>31</v>
      </c>
      <c r="U1289" s="3" t="s">
        <v>5407</v>
      </c>
      <c r="V1289" s="41" t="str">
        <f>HYPERLINK("http://ictvonline.org/taxonomy/p/taxonomy-history?taxnode_id=20181079","ICTVonline=20181079")</f>
        <v>ICTVonline=20181079</v>
      </c>
    </row>
    <row r="1290" spans="1:22">
      <c r="A1290" s="3">
        <v>1289</v>
      </c>
      <c r="J1290" s="1" t="s">
        <v>1338</v>
      </c>
      <c r="L1290" s="1" t="s">
        <v>903</v>
      </c>
      <c r="N1290" s="1" t="s">
        <v>4551</v>
      </c>
      <c r="P1290" s="1" t="s">
        <v>4553</v>
      </c>
      <c r="Q1290" s="3">
        <v>0</v>
      </c>
      <c r="R1290" s="22" t="s">
        <v>2764</v>
      </c>
      <c r="S1290" s="22" t="s">
        <v>5097</v>
      </c>
      <c r="T1290" s="51">
        <v>31</v>
      </c>
      <c r="U1290" s="3" t="s">
        <v>5407</v>
      </c>
      <c r="V1290" s="41" t="str">
        <f>HYPERLINK("http://ictvonline.org/taxonomy/p/taxonomy-history?taxnode_id=20181080","ICTVonline=20181080")</f>
        <v>ICTVonline=20181080</v>
      </c>
    </row>
    <row r="1291" spans="1:22">
      <c r="A1291" s="3">
        <v>1290</v>
      </c>
      <c r="J1291" s="1" t="s">
        <v>1338</v>
      </c>
      <c r="L1291" s="1" t="s">
        <v>903</v>
      </c>
      <c r="N1291" s="1" t="s">
        <v>4554</v>
      </c>
      <c r="P1291" s="1" t="s">
        <v>4555</v>
      </c>
      <c r="Q1291" s="3">
        <v>0</v>
      </c>
      <c r="R1291" s="22" t="s">
        <v>2764</v>
      </c>
      <c r="S1291" s="22" t="s">
        <v>5097</v>
      </c>
      <c r="T1291" s="51">
        <v>31</v>
      </c>
      <c r="U1291" s="3" t="s">
        <v>5408</v>
      </c>
      <c r="V1291" s="41" t="str">
        <f>HYPERLINK("http://ictvonline.org/taxonomy/p/taxonomy-history?taxnode_id=20181082","ICTVonline=20181082")</f>
        <v>ICTVonline=20181082</v>
      </c>
    </row>
    <row r="1292" spans="1:22">
      <c r="A1292" s="3">
        <v>1291</v>
      </c>
      <c r="J1292" s="1" t="s">
        <v>1338</v>
      </c>
      <c r="L1292" s="1" t="s">
        <v>903</v>
      </c>
      <c r="N1292" s="1" t="s">
        <v>4554</v>
      </c>
      <c r="P1292" s="1" t="s">
        <v>4556</v>
      </c>
      <c r="Q1292" s="3">
        <v>1</v>
      </c>
      <c r="R1292" s="22" t="s">
        <v>2764</v>
      </c>
      <c r="S1292" s="22" t="s">
        <v>5097</v>
      </c>
      <c r="T1292" s="51">
        <v>31</v>
      </c>
      <c r="U1292" s="3" t="s">
        <v>5408</v>
      </c>
      <c r="V1292" s="41" t="str">
        <f>HYPERLINK("http://ictvonline.org/taxonomy/p/taxonomy-history?taxnode_id=20181083","ICTVonline=20181083")</f>
        <v>ICTVonline=20181083</v>
      </c>
    </row>
    <row r="1293" spans="1:22">
      <c r="A1293" s="3">
        <v>1292</v>
      </c>
      <c r="J1293" s="1" t="s">
        <v>1338</v>
      </c>
      <c r="L1293" s="1" t="s">
        <v>903</v>
      </c>
      <c r="N1293" s="1" t="s">
        <v>3367</v>
      </c>
      <c r="P1293" s="1" t="s">
        <v>3368</v>
      </c>
      <c r="Q1293" s="3">
        <v>1</v>
      </c>
      <c r="R1293" s="22" t="s">
        <v>2764</v>
      </c>
      <c r="S1293" s="22" t="s">
        <v>5098</v>
      </c>
      <c r="T1293" s="51">
        <v>30</v>
      </c>
      <c r="U1293" s="3" t="s">
        <v>5216</v>
      </c>
      <c r="V1293" s="41" t="str">
        <f>HYPERLINK("http://ictvonline.org/taxonomy/p/taxonomy-history?taxnode_id=20181085","ICTVonline=20181085")</f>
        <v>ICTVonline=20181085</v>
      </c>
    </row>
    <row r="1294" spans="1:22">
      <c r="A1294" s="3">
        <v>1293</v>
      </c>
      <c r="J1294" s="1" t="s">
        <v>1338</v>
      </c>
      <c r="L1294" s="1" t="s">
        <v>903</v>
      </c>
      <c r="N1294" s="1" t="s">
        <v>3369</v>
      </c>
      <c r="P1294" s="1" t="s">
        <v>3370</v>
      </c>
      <c r="Q1294" s="3">
        <v>1</v>
      </c>
      <c r="R1294" s="22" t="s">
        <v>2764</v>
      </c>
      <c r="S1294" s="22" t="s">
        <v>5097</v>
      </c>
      <c r="T1294" s="51">
        <v>30</v>
      </c>
      <c r="U1294" s="3" t="s">
        <v>5409</v>
      </c>
      <c r="V1294" s="41" t="str">
        <f>HYPERLINK("http://ictvonline.org/taxonomy/p/taxonomy-history?taxnode_id=20181087","ICTVonline=20181087")</f>
        <v>ICTVonline=20181087</v>
      </c>
    </row>
    <row r="1295" spans="1:22">
      <c r="A1295" s="3">
        <v>1294</v>
      </c>
      <c r="J1295" s="1" t="s">
        <v>1338</v>
      </c>
      <c r="L1295" s="1" t="s">
        <v>903</v>
      </c>
      <c r="N1295" s="1" t="s">
        <v>3369</v>
      </c>
      <c r="P1295" s="1" t="s">
        <v>3371</v>
      </c>
      <c r="Q1295" s="3">
        <v>0</v>
      </c>
      <c r="R1295" s="22" t="s">
        <v>2764</v>
      </c>
      <c r="S1295" s="22" t="s">
        <v>5097</v>
      </c>
      <c r="T1295" s="51">
        <v>30</v>
      </c>
      <c r="U1295" s="3" t="s">
        <v>5409</v>
      </c>
      <c r="V1295" s="41" t="str">
        <f>HYPERLINK("http://ictvonline.org/taxonomy/p/taxonomy-history?taxnode_id=20181088","ICTVonline=20181088")</f>
        <v>ICTVonline=20181088</v>
      </c>
    </row>
    <row r="1296" spans="1:22">
      <c r="A1296" s="3">
        <v>1295</v>
      </c>
      <c r="J1296" s="1" t="s">
        <v>1338</v>
      </c>
      <c r="L1296" s="1" t="s">
        <v>903</v>
      </c>
      <c r="N1296" s="1" t="s">
        <v>3369</v>
      </c>
      <c r="P1296" s="1" t="s">
        <v>3372</v>
      </c>
      <c r="Q1296" s="3">
        <v>0</v>
      </c>
      <c r="R1296" s="22" t="s">
        <v>2764</v>
      </c>
      <c r="S1296" s="22" t="s">
        <v>5097</v>
      </c>
      <c r="T1296" s="51">
        <v>30</v>
      </c>
      <c r="U1296" s="3" t="s">
        <v>5409</v>
      </c>
      <c r="V1296" s="41" t="str">
        <f>HYPERLINK("http://ictvonline.org/taxonomy/p/taxonomy-history?taxnode_id=20181089","ICTVonline=20181089")</f>
        <v>ICTVonline=20181089</v>
      </c>
    </row>
    <row r="1297" spans="1:22">
      <c r="A1297" s="3">
        <v>1296</v>
      </c>
      <c r="J1297" s="1" t="s">
        <v>1338</v>
      </c>
      <c r="L1297" s="1" t="s">
        <v>903</v>
      </c>
      <c r="N1297" s="1" t="s">
        <v>3369</v>
      </c>
      <c r="P1297" s="1" t="s">
        <v>3373</v>
      </c>
      <c r="Q1297" s="3">
        <v>0</v>
      </c>
      <c r="R1297" s="22" t="s">
        <v>2764</v>
      </c>
      <c r="S1297" s="22" t="s">
        <v>5097</v>
      </c>
      <c r="T1297" s="51">
        <v>30</v>
      </c>
      <c r="U1297" s="3" t="s">
        <v>5409</v>
      </c>
      <c r="V1297" s="41" t="str">
        <f>HYPERLINK("http://ictvonline.org/taxonomy/p/taxonomy-history?taxnode_id=20181090","ICTVonline=20181090")</f>
        <v>ICTVonline=20181090</v>
      </c>
    </row>
    <row r="1298" spans="1:22">
      <c r="A1298" s="3">
        <v>1297</v>
      </c>
      <c r="J1298" s="1" t="s">
        <v>1338</v>
      </c>
      <c r="L1298" s="1" t="s">
        <v>903</v>
      </c>
      <c r="N1298" s="1" t="s">
        <v>4557</v>
      </c>
      <c r="P1298" s="1" t="s">
        <v>4558</v>
      </c>
      <c r="Q1298" s="3">
        <v>1</v>
      </c>
      <c r="R1298" s="22" t="s">
        <v>2764</v>
      </c>
      <c r="S1298" s="22" t="s">
        <v>5097</v>
      </c>
      <c r="T1298" s="51">
        <v>31</v>
      </c>
      <c r="U1298" s="3" t="s">
        <v>5410</v>
      </c>
      <c r="V1298" s="41" t="str">
        <f>HYPERLINK("http://ictvonline.org/taxonomy/p/taxonomy-history?taxnode_id=20181092","ICTVonline=20181092")</f>
        <v>ICTVonline=20181092</v>
      </c>
    </row>
    <row r="1299" spans="1:22">
      <c r="A1299" s="3">
        <v>1298</v>
      </c>
      <c r="J1299" s="1" t="s">
        <v>1338</v>
      </c>
      <c r="L1299" s="1" t="s">
        <v>903</v>
      </c>
      <c r="N1299" s="1" t="s">
        <v>4557</v>
      </c>
      <c r="P1299" s="1" t="s">
        <v>4559</v>
      </c>
      <c r="Q1299" s="3">
        <v>0</v>
      </c>
      <c r="R1299" s="22" t="s">
        <v>2764</v>
      </c>
      <c r="S1299" s="22" t="s">
        <v>5097</v>
      </c>
      <c r="T1299" s="51">
        <v>31</v>
      </c>
      <c r="U1299" s="3" t="s">
        <v>5410</v>
      </c>
      <c r="V1299" s="41" t="str">
        <f>HYPERLINK("http://ictvonline.org/taxonomy/p/taxonomy-history?taxnode_id=20181093","ICTVonline=20181093")</f>
        <v>ICTVonline=20181093</v>
      </c>
    </row>
    <row r="1300" spans="1:22">
      <c r="A1300" s="3">
        <v>1299</v>
      </c>
      <c r="J1300" s="1" t="s">
        <v>1338</v>
      </c>
      <c r="L1300" s="1" t="s">
        <v>903</v>
      </c>
      <c r="N1300" s="1" t="s">
        <v>3374</v>
      </c>
      <c r="P1300" s="1" t="s">
        <v>3375</v>
      </c>
      <c r="Q1300" s="3">
        <v>0</v>
      </c>
      <c r="R1300" s="22" t="s">
        <v>2764</v>
      </c>
      <c r="S1300" s="22" t="s">
        <v>5098</v>
      </c>
      <c r="T1300" s="51">
        <v>30</v>
      </c>
      <c r="U1300" s="3" t="s">
        <v>5216</v>
      </c>
      <c r="V1300" s="41" t="str">
        <f>HYPERLINK("http://ictvonline.org/taxonomy/p/taxonomy-history?taxnode_id=20181095","ICTVonline=20181095")</f>
        <v>ICTVonline=20181095</v>
      </c>
    </row>
    <row r="1301" spans="1:22">
      <c r="A1301" s="3">
        <v>1300</v>
      </c>
      <c r="J1301" s="1" t="s">
        <v>1338</v>
      </c>
      <c r="L1301" s="1" t="s">
        <v>903</v>
      </c>
      <c r="N1301" s="1" t="s">
        <v>3374</v>
      </c>
      <c r="P1301" s="1" t="s">
        <v>3376</v>
      </c>
      <c r="Q1301" s="3">
        <v>0</v>
      </c>
      <c r="R1301" s="22" t="s">
        <v>2764</v>
      </c>
      <c r="S1301" s="22" t="s">
        <v>5098</v>
      </c>
      <c r="T1301" s="51">
        <v>30</v>
      </c>
      <c r="U1301" s="3" t="s">
        <v>5216</v>
      </c>
      <c r="V1301" s="41" t="str">
        <f>HYPERLINK("http://ictvonline.org/taxonomy/p/taxonomy-history?taxnode_id=20181096","ICTVonline=20181096")</f>
        <v>ICTVonline=20181096</v>
      </c>
    </row>
    <row r="1302" spans="1:22">
      <c r="A1302" s="3">
        <v>1301</v>
      </c>
      <c r="J1302" s="1" t="s">
        <v>1338</v>
      </c>
      <c r="L1302" s="1" t="s">
        <v>903</v>
      </c>
      <c r="N1302" s="1" t="s">
        <v>3374</v>
      </c>
      <c r="P1302" s="1" t="s">
        <v>3377</v>
      </c>
      <c r="Q1302" s="3">
        <v>0</v>
      </c>
      <c r="R1302" s="22" t="s">
        <v>2764</v>
      </c>
      <c r="S1302" s="22" t="s">
        <v>5098</v>
      </c>
      <c r="T1302" s="51">
        <v>30</v>
      </c>
      <c r="U1302" s="3" t="s">
        <v>5216</v>
      </c>
      <c r="V1302" s="41" t="str">
        <f>HYPERLINK("http://ictvonline.org/taxonomy/p/taxonomy-history?taxnode_id=20181097","ICTVonline=20181097")</f>
        <v>ICTVonline=20181097</v>
      </c>
    </row>
    <row r="1303" spans="1:22">
      <c r="A1303" s="3">
        <v>1302</v>
      </c>
      <c r="J1303" s="1" t="s">
        <v>1338</v>
      </c>
      <c r="L1303" s="1" t="s">
        <v>903</v>
      </c>
      <c r="N1303" s="1" t="s">
        <v>3374</v>
      </c>
      <c r="P1303" s="1" t="s">
        <v>3378</v>
      </c>
      <c r="Q1303" s="3">
        <v>1</v>
      </c>
      <c r="R1303" s="22" t="s">
        <v>2764</v>
      </c>
      <c r="S1303" s="22" t="s">
        <v>5098</v>
      </c>
      <c r="T1303" s="51">
        <v>30</v>
      </c>
      <c r="U1303" s="3" t="s">
        <v>5216</v>
      </c>
      <c r="V1303" s="41" t="str">
        <f>HYPERLINK("http://ictvonline.org/taxonomy/p/taxonomy-history?taxnode_id=20181098","ICTVonline=20181098")</f>
        <v>ICTVonline=20181098</v>
      </c>
    </row>
    <row r="1304" spans="1:22">
      <c r="A1304" s="3">
        <v>1303</v>
      </c>
      <c r="J1304" s="1" t="s">
        <v>1338</v>
      </c>
      <c r="L1304" s="1" t="s">
        <v>903</v>
      </c>
      <c r="N1304" s="1" t="s">
        <v>3374</v>
      </c>
      <c r="P1304" s="1" t="s">
        <v>3379</v>
      </c>
      <c r="Q1304" s="3">
        <v>0</v>
      </c>
      <c r="R1304" s="22" t="s">
        <v>2764</v>
      </c>
      <c r="S1304" s="22" t="s">
        <v>5098</v>
      </c>
      <c r="T1304" s="51">
        <v>30</v>
      </c>
      <c r="U1304" s="3" t="s">
        <v>5216</v>
      </c>
      <c r="V1304" s="41" t="str">
        <f>HYPERLINK("http://ictvonline.org/taxonomy/p/taxonomy-history?taxnode_id=20181099","ICTVonline=20181099")</f>
        <v>ICTVonline=20181099</v>
      </c>
    </row>
    <row r="1305" spans="1:22">
      <c r="A1305" s="3">
        <v>1304</v>
      </c>
      <c r="J1305" s="1" t="s">
        <v>1338</v>
      </c>
      <c r="L1305" s="1" t="s">
        <v>903</v>
      </c>
      <c r="N1305" s="1" t="s">
        <v>3374</v>
      </c>
      <c r="P1305" s="1" t="s">
        <v>3380</v>
      </c>
      <c r="Q1305" s="3">
        <v>0</v>
      </c>
      <c r="R1305" s="22" t="s">
        <v>2764</v>
      </c>
      <c r="S1305" s="22" t="s">
        <v>5098</v>
      </c>
      <c r="T1305" s="51">
        <v>30</v>
      </c>
      <c r="U1305" s="3" t="s">
        <v>5216</v>
      </c>
      <c r="V1305" s="41" t="str">
        <f>HYPERLINK("http://ictvonline.org/taxonomy/p/taxonomy-history?taxnode_id=20181100","ICTVonline=20181100")</f>
        <v>ICTVonline=20181100</v>
      </c>
    </row>
    <row r="1306" spans="1:22">
      <c r="A1306" s="3">
        <v>1305</v>
      </c>
      <c r="J1306" s="1" t="s">
        <v>1338</v>
      </c>
      <c r="L1306" s="1" t="s">
        <v>903</v>
      </c>
      <c r="N1306" s="1" t="s">
        <v>4560</v>
      </c>
      <c r="P1306" s="1" t="s">
        <v>4561</v>
      </c>
      <c r="Q1306" s="3">
        <v>1</v>
      </c>
      <c r="R1306" s="22" t="s">
        <v>2764</v>
      </c>
      <c r="S1306" s="22" t="s">
        <v>5097</v>
      </c>
      <c r="T1306" s="51">
        <v>31</v>
      </c>
      <c r="U1306" s="3" t="s">
        <v>5411</v>
      </c>
      <c r="V1306" s="41" t="str">
        <f>HYPERLINK("http://ictvonline.org/taxonomy/p/taxonomy-history?taxnode_id=20181102","ICTVonline=20181102")</f>
        <v>ICTVonline=20181102</v>
      </c>
    </row>
    <row r="1307" spans="1:22">
      <c r="A1307" s="3">
        <v>1306</v>
      </c>
      <c r="J1307" s="1" t="s">
        <v>1338</v>
      </c>
      <c r="L1307" s="1" t="s">
        <v>903</v>
      </c>
      <c r="N1307" s="1" t="s">
        <v>4560</v>
      </c>
      <c r="P1307" s="1" t="s">
        <v>4562</v>
      </c>
      <c r="Q1307" s="3">
        <v>0</v>
      </c>
      <c r="R1307" s="22" t="s">
        <v>2764</v>
      </c>
      <c r="S1307" s="22" t="s">
        <v>5097</v>
      </c>
      <c r="T1307" s="51">
        <v>31</v>
      </c>
      <c r="U1307" s="3" t="s">
        <v>5411</v>
      </c>
      <c r="V1307" s="41" t="str">
        <f>HYPERLINK("http://ictvonline.org/taxonomy/p/taxonomy-history?taxnode_id=20181103","ICTVonline=20181103")</f>
        <v>ICTVonline=20181103</v>
      </c>
    </row>
    <row r="1308" spans="1:22">
      <c r="A1308" s="3">
        <v>1307</v>
      </c>
      <c r="J1308" s="1" t="s">
        <v>1338</v>
      </c>
      <c r="L1308" s="1" t="s">
        <v>903</v>
      </c>
      <c r="N1308" s="1" t="s">
        <v>4563</v>
      </c>
      <c r="P1308" s="1" t="s">
        <v>4564</v>
      </c>
      <c r="Q1308" s="3">
        <v>0</v>
      </c>
      <c r="R1308" s="22" t="s">
        <v>2764</v>
      </c>
      <c r="S1308" s="22" t="s">
        <v>5097</v>
      </c>
      <c r="T1308" s="51">
        <v>31</v>
      </c>
      <c r="U1308" s="3" t="s">
        <v>5412</v>
      </c>
      <c r="V1308" s="41" t="str">
        <f>HYPERLINK("http://ictvonline.org/taxonomy/p/taxonomy-history?taxnode_id=20181105","ICTVonline=20181105")</f>
        <v>ICTVonline=20181105</v>
      </c>
    </row>
    <row r="1309" spans="1:22">
      <c r="A1309" s="3">
        <v>1308</v>
      </c>
      <c r="J1309" s="1" t="s">
        <v>1338</v>
      </c>
      <c r="L1309" s="1" t="s">
        <v>903</v>
      </c>
      <c r="N1309" s="1" t="s">
        <v>4563</v>
      </c>
      <c r="P1309" s="1" t="s">
        <v>4565</v>
      </c>
      <c r="Q1309" s="3">
        <v>1</v>
      </c>
      <c r="R1309" s="22" t="s">
        <v>2764</v>
      </c>
      <c r="S1309" s="22" t="s">
        <v>5097</v>
      </c>
      <c r="T1309" s="51">
        <v>31</v>
      </c>
      <c r="U1309" s="3" t="s">
        <v>5412</v>
      </c>
      <c r="V1309" s="41" t="str">
        <f>HYPERLINK("http://ictvonline.org/taxonomy/p/taxonomy-history?taxnode_id=20181106","ICTVonline=20181106")</f>
        <v>ICTVonline=20181106</v>
      </c>
    </row>
    <row r="1310" spans="1:22">
      <c r="A1310" s="3">
        <v>1309</v>
      </c>
      <c r="J1310" s="1" t="s">
        <v>1338</v>
      </c>
      <c r="L1310" s="1" t="s">
        <v>903</v>
      </c>
      <c r="N1310" s="1" t="s">
        <v>3381</v>
      </c>
      <c r="P1310" s="1" t="s">
        <v>3382</v>
      </c>
      <c r="Q1310" s="3">
        <v>1</v>
      </c>
      <c r="R1310" s="22" t="s">
        <v>2764</v>
      </c>
      <c r="S1310" s="22" t="s">
        <v>5098</v>
      </c>
      <c r="T1310" s="51">
        <v>30</v>
      </c>
      <c r="U1310" s="3" t="s">
        <v>5216</v>
      </c>
      <c r="V1310" s="41" t="str">
        <f>HYPERLINK("http://ictvonline.org/taxonomy/p/taxonomy-history?taxnode_id=20181108","ICTVonline=20181108")</f>
        <v>ICTVonline=20181108</v>
      </c>
    </row>
    <row r="1311" spans="1:22">
      <c r="A1311" s="3">
        <v>1310</v>
      </c>
      <c r="J1311" s="1" t="s">
        <v>1338</v>
      </c>
      <c r="L1311" s="1" t="s">
        <v>903</v>
      </c>
      <c r="N1311" s="1" t="s">
        <v>3381</v>
      </c>
      <c r="P1311" s="1" t="s">
        <v>3383</v>
      </c>
      <c r="Q1311" s="3">
        <v>0</v>
      </c>
      <c r="R1311" s="22" t="s">
        <v>2764</v>
      </c>
      <c r="S1311" s="22" t="s">
        <v>5098</v>
      </c>
      <c r="T1311" s="51">
        <v>30</v>
      </c>
      <c r="U1311" s="3" t="s">
        <v>5216</v>
      </c>
      <c r="V1311" s="41" t="str">
        <f>HYPERLINK("http://ictvonline.org/taxonomy/p/taxonomy-history?taxnode_id=20181109","ICTVonline=20181109")</f>
        <v>ICTVonline=20181109</v>
      </c>
    </row>
    <row r="1312" spans="1:22">
      <c r="A1312" s="3">
        <v>1311</v>
      </c>
      <c r="J1312" s="1" t="s">
        <v>1338</v>
      </c>
      <c r="L1312" s="1" t="s">
        <v>903</v>
      </c>
      <c r="N1312" s="1" t="s">
        <v>3384</v>
      </c>
      <c r="P1312" s="1" t="s">
        <v>3385</v>
      </c>
      <c r="Q1312" s="3">
        <v>0</v>
      </c>
      <c r="R1312" s="22" t="s">
        <v>2764</v>
      </c>
      <c r="S1312" s="22" t="s">
        <v>5097</v>
      </c>
      <c r="T1312" s="51">
        <v>30</v>
      </c>
      <c r="U1312" s="3" t="s">
        <v>5413</v>
      </c>
      <c r="V1312" s="41" t="str">
        <f>HYPERLINK("http://ictvonline.org/taxonomy/p/taxonomy-history?taxnode_id=20181111","ICTVonline=20181111")</f>
        <v>ICTVonline=20181111</v>
      </c>
    </row>
    <row r="1313" spans="1:22">
      <c r="A1313" s="3">
        <v>1312</v>
      </c>
      <c r="J1313" s="1" t="s">
        <v>1338</v>
      </c>
      <c r="L1313" s="1" t="s">
        <v>903</v>
      </c>
      <c r="N1313" s="1" t="s">
        <v>3384</v>
      </c>
      <c r="P1313" s="1" t="s">
        <v>3386</v>
      </c>
      <c r="Q1313" s="3">
        <v>0</v>
      </c>
      <c r="R1313" s="22" t="s">
        <v>2764</v>
      </c>
      <c r="S1313" s="22" t="s">
        <v>5097</v>
      </c>
      <c r="T1313" s="51">
        <v>30</v>
      </c>
      <c r="U1313" s="3" t="s">
        <v>5413</v>
      </c>
      <c r="V1313" s="41" t="str">
        <f>HYPERLINK("http://ictvonline.org/taxonomy/p/taxonomy-history?taxnode_id=20181112","ICTVonline=20181112")</f>
        <v>ICTVonline=20181112</v>
      </c>
    </row>
    <row r="1314" spans="1:22">
      <c r="A1314" s="3">
        <v>1313</v>
      </c>
      <c r="J1314" s="1" t="s">
        <v>1338</v>
      </c>
      <c r="L1314" s="1" t="s">
        <v>903</v>
      </c>
      <c r="N1314" s="1" t="s">
        <v>3384</v>
      </c>
      <c r="P1314" s="1" t="s">
        <v>3387</v>
      </c>
      <c r="Q1314" s="3">
        <v>0</v>
      </c>
      <c r="R1314" s="22" t="s">
        <v>2764</v>
      </c>
      <c r="S1314" s="22" t="s">
        <v>5097</v>
      </c>
      <c r="T1314" s="51">
        <v>30</v>
      </c>
      <c r="U1314" s="3" t="s">
        <v>5413</v>
      </c>
      <c r="V1314" s="41" t="str">
        <f>HYPERLINK("http://ictvonline.org/taxonomy/p/taxonomy-history?taxnode_id=20181113","ICTVonline=20181113")</f>
        <v>ICTVonline=20181113</v>
      </c>
    </row>
    <row r="1315" spans="1:22">
      <c r="A1315" s="3">
        <v>1314</v>
      </c>
      <c r="J1315" s="1" t="s">
        <v>1338</v>
      </c>
      <c r="L1315" s="1" t="s">
        <v>903</v>
      </c>
      <c r="N1315" s="1" t="s">
        <v>3384</v>
      </c>
      <c r="P1315" s="1" t="s">
        <v>3388</v>
      </c>
      <c r="Q1315" s="3">
        <v>0</v>
      </c>
      <c r="R1315" s="22" t="s">
        <v>2764</v>
      </c>
      <c r="S1315" s="22" t="s">
        <v>5097</v>
      </c>
      <c r="T1315" s="51">
        <v>30</v>
      </c>
      <c r="U1315" s="3" t="s">
        <v>5413</v>
      </c>
      <c r="V1315" s="41" t="str">
        <f>HYPERLINK("http://ictvonline.org/taxonomy/p/taxonomy-history?taxnode_id=20181114","ICTVonline=20181114")</f>
        <v>ICTVonline=20181114</v>
      </c>
    </row>
    <row r="1316" spans="1:22">
      <c r="A1316" s="3">
        <v>1315</v>
      </c>
      <c r="J1316" s="1" t="s">
        <v>1338</v>
      </c>
      <c r="L1316" s="1" t="s">
        <v>903</v>
      </c>
      <c r="N1316" s="1" t="s">
        <v>3384</v>
      </c>
      <c r="P1316" s="1" t="s">
        <v>3389</v>
      </c>
      <c r="Q1316" s="3">
        <v>1</v>
      </c>
      <c r="R1316" s="22" t="s">
        <v>2764</v>
      </c>
      <c r="S1316" s="22" t="s">
        <v>5097</v>
      </c>
      <c r="T1316" s="51">
        <v>30</v>
      </c>
      <c r="U1316" s="3" t="s">
        <v>5413</v>
      </c>
      <c r="V1316" s="41" t="str">
        <f>HYPERLINK("http://ictvonline.org/taxonomy/p/taxonomy-history?taxnode_id=20181115","ICTVonline=20181115")</f>
        <v>ICTVonline=20181115</v>
      </c>
    </row>
    <row r="1317" spans="1:22">
      <c r="A1317" s="3">
        <v>1316</v>
      </c>
      <c r="J1317" s="1" t="s">
        <v>1338</v>
      </c>
      <c r="L1317" s="1" t="s">
        <v>903</v>
      </c>
      <c r="N1317" s="1" t="s">
        <v>4566</v>
      </c>
      <c r="P1317" s="1" t="s">
        <v>4567</v>
      </c>
      <c r="Q1317" s="3">
        <v>0</v>
      </c>
      <c r="R1317" s="22" t="s">
        <v>2764</v>
      </c>
      <c r="S1317" s="22" t="s">
        <v>5097</v>
      </c>
      <c r="T1317" s="51">
        <v>31</v>
      </c>
      <c r="U1317" s="3" t="s">
        <v>5414</v>
      </c>
      <c r="V1317" s="41" t="str">
        <f>HYPERLINK("http://ictvonline.org/taxonomy/p/taxonomy-history?taxnode_id=20181117","ICTVonline=20181117")</f>
        <v>ICTVonline=20181117</v>
      </c>
    </row>
    <row r="1318" spans="1:22">
      <c r="A1318" s="3">
        <v>1317</v>
      </c>
      <c r="J1318" s="1" t="s">
        <v>1338</v>
      </c>
      <c r="L1318" s="1" t="s">
        <v>903</v>
      </c>
      <c r="N1318" s="1" t="s">
        <v>4566</v>
      </c>
      <c r="P1318" s="1" t="s">
        <v>4568</v>
      </c>
      <c r="Q1318" s="3">
        <v>0</v>
      </c>
      <c r="R1318" s="22" t="s">
        <v>2764</v>
      </c>
      <c r="S1318" s="22" t="s">
        <v>5097</v>
      </c>
      <c r="T1318" s="51">
        <v>31</v>
      </c>
      <c r="U1318" s="3" t="s">
        <v>5414</v>
      </c>
      <c r="V1318" s="41" t="str">
        <f>HYPERLINK("http://ictvonline.org/taxonomy/p/taxonomy-history?taxnode_id=20181118","ICTVonline=20181118")</f>
        <v>ICTVonline=20181118</v>
      </c>
    </row>
    <row r="1319" spans="1:22">
      <c r="A1319" s="3">
        <v>1318</v>
      </c>
      <c r="J1319" s="1" t="s">
        <v>1338</v>
      </c>
      <c r="L1319" s="1" t="s">
        <v>903</v>
      </c>
      <c r="N1319" s="1" t="s">
        <v>4566</v>
      </c>
      <c r="P1319" s="1" t="s">
        <v>4569</v>
      </c>
      <c r="Q1319" s="3">
        <v>0</v>
      </c>
      <c r="R1319" s="22" t="s">
        <v>2764</v>
      </c>
      <c r="S1319" s="22" t="s">
        <v>5097</v>
      </c>
      <c r="T1319" s="51">
        <v>31</v>
      </c>
      <c r="U1319" s="3" t="s">
        <v>5414</v>
      </c>
      <c r="V1319" s="41" t="str">
        <f>HYPERLINK("http://ictvonline.org/taxonomy/p/taxonomy-history?taxnode_id=20181119","ICTVonline=20181119")</f>
        <v>ICTVonline=20181119</v>
      </c>
    </row>
    <row r="1320" spans="1:22">
      <c r="A1320" s="3">
        <v>1319</v>
      </c>
      <c r="J1320" s="1" t="s">
        <v>1338</v>
      </c>
      <c r="L1320" s="1" t="s">
        <v>903</v>
      </c>
      <c r="N1320" s="1" t="s">
        <v>4566</v>
      </c>
      <c r="P1320" s="1" t="s">
        <v>4570</v>
      </c>
      <c r="Q1320" s="3">
        <v>0</v>
      </c>
      <c r="R1320" s="22" t="s">
        <v>2764</v>
      </c>
      <c r="S1320" s="22" t="s">
        <v>5097</v>
      </c>
      <c r="T1320" s="51">
        <v>31</v>
      </c>
      <c r="U1320" s="3" t="s">
        <v>5414</v>
      </c>
      <c r="V1320" s="41" t="str">
        <f>HYPERLINK("http://ictvonline.org/taxonomy/p/taxonomy-history?taxnode_id=20181120","ICTVonline=20181120")</f>
        <v>ICTVonline=20181120</v>
      </c>
    </row>
    <row r="1321" spans="1:22">
      <c r="A1321" s="3">
        <v>1320</v>
      </c>
      <c r="J1321" s="1" t="s">
        <v>1338</v>
      </c>
      <c r="L1321" s="1" t="s">
        <v>903</v>
      </c>
      <c r="N1321" s="1" t="s">
        <v>4566</v>
      </c>
      <c r="P1321" s="1" t="s">
        <v>4571</v>
      </c>
      <c r="Q1321" s="3">
        <v>0</v>
      </c>
      <c r="R1321" s="22" t="s">
        <v>2764</v>
      </c>
      <c r="S1321" s="22" t="s">
        <v>5097</v>
      </c>
      <c r="T1321" s="51">
        <v>31</v>
      </c>
      <c r="U1321" s="3" t="s">
        <v>5414</v>
      </c>
      <c r="V1321" s="41" t="str">
        <f>HYPERLINK("http://ictvonline.org/taxonomy/p/taxonomy-history?taxnode_id=20181121","ICTVonline=20181121")</f>
        <v>ICTVonline=20181121</v>
      </c>
    </row>
    <row r="1322" spans="1:22">
      <c r="A1322" s="3">
        <v>1321</v>
      </c>
      <c r="J1322" s="1" t="s">
        <v>1338</v>
      </c>
      <c r="L1322" s="1" t="s">
        <v>903</v>
      </c>
      <c r="N1322" s="1" t="s">
        <v>4566</v>
      </c>
      <c r="P1322" s="1" t="s">
        <v>4572</v>
      </c>
      <c r="Q1322" s="3">
        <v>0</v>
      </c>
      <c r="R1322" s="22" t="s">
        <v>2764</v>
      </c>
      <c r="S1322" s="22" t="s">
        <v>5097</v>
      </c>
      <c r="T1322" s="51">
        <v>31</v>
      </c>
      <c r="U1322" s="3" t="s">
        <v>5414</v>
      </c>
      <c r="V1322" s="41" t="str">
        <f>HYPERLINK("http://ictvonline.org/taxonomy/p/taxonomy-history?taxnode_id=20181122","ICTVonline=20181122")</f>
        <v>ICTVonline=20181122</v>
      </c>
    </row>
    <row r="1323" spans="1:22">
      <c r="A1323" s="3">
        <v>1322</v>
      </c>
      <c r="J1323" s="1" t="s">
        <v>1338</v>
      </c>
      <c r="L1323" s="1" t="s">
        <v>903</v>
      </c>
      <c r="N1323" s="1" t="s">
        <v>4566</v>
      </c>
      <c r="P1323" s="1" t="s">
        <v>4573</v>
      </c>
      <c r="Q1323" s="3">
        <v>0</v>
      </c>
      <c r="R1323" s="22" t="s">
        <v>2764</v>
      </c>
      <c r="S1323" s="22" t="s">
        <v>5097</v>
      </c>
      <c r="T1323" s="51">
        <v>31</v>
      </c>
      <c r="U1323" s="3" t="s">
        <v>5414</v>
      </c>
      <c r="V1323" s="41" t="str">
        <f>HYPERLINK("http://ictvonline.org/taxonomy/p/taxonomy-history?taxnode_id=20181123","ICTVonline=20181123")</f>
        <v>ICTVonline=20181123</v>
      </c>
    </row>
    <row r="1324" spans="1:22">
      <c r="A1324" s="3">
        <v>1323</v>
      </c>
      <c r="J1324" s="1" t="s">
        <v>1338</v>
      </c>
      <c r="L1324" s="1" t="s">
        <v>903</v>
      </c>
      <c r="N1324" s="1" t="s">
        <v>4566</v>
      </c>
      <c r="P1324" s="1" t="s">
        <v>4574</v>
      </c>
      <c r="Q1324" s="3">
        <v>0</v>
      </c>
      <c r="R1324" s="22" t="s">
        <v>2764</v>
      </c>
      <c r="S1324" s="22" t="s">
        <v>5097</v>
      </c>
      <c r="T1324" s="51">
        <v>31</v>
      </c>
      <c r="U1324" s="3" t="s">
        <v>5414</v>
      </c>
      <c r="V1324" s="41" t="str">
        <f>HYPERLINK("http://ictvonline.org/taxonomy/p/taxonomy-history?taxnode_id=20181124","ICTVonline=20181124")</f>
        <v>ICTVonline=20181124</v>
      </c>
    </row>
    <row r="1325" spans="1:22">
      <c r="A1325" s="3">
        <v>1324</v>
      </c>
      <c r="J1325" s="1" t="s">
        <v>1338</v>
      </c>
      <c r="L1325" s="1" t="s">
        <v>903</v>
      </c>
      <c r="N1325" s="1" t="s">
        <v>4566</v>
      </c>
      <c r="P1325" s="1" t="s">
        <v>4575</v>
      </c>
      <c r="Q1325" s="3">
        <v>0</v>
      </c>
      <c r="R1325" s="22" t="s">
        <v>2764</v>
      </c>
      <c r="S1325" s="22" t="s">
        <v>5097</v>
      </c>
      <c r="T1325" s="51">
        <v>31</v>
      </c>
      <c r="U1325" s="3" t="s">
        <v>5414</v>
      </c>
      <c r="V1325" s="41" t="str">
        <f>HYPERLINK("http://ictvonline.org/taxonomy/p/taxonomy-history?taxnode_id=20181125","ICTVonline=20181125")</f>
        <v>ICTVonline=20181125</v>
      </c>
    </row>
    <row r="1326" spans="1:22">
      <c r="A1326" s="3">
        <v>1325</v>
      </c>
      <c r="J1326" s="1" t="s">
        <v>1338</v>
      </c>
      <c r="L1326" s="1" t="s">
        <v>903</v>
      </c>
      <c r="N1326" s="1" t="s">
        <v>4566</v>
      </c>
      <c r="P1326" s="1" t="s">
        <v>4576</v>
      </c>
      <c r="Q1326" s="3">
        <v>0</v>
      </c>
      <c r="R1326" s="22" t="s">
        <v>2764</v>
      </c>
      <c r="S1326" s="22" t="s">
        <v>5097</v>
      </c>
      <c r="T1326" s="51">
        <v>31</v>
      </c>
      <c r="U1326" s="3" t="s">
        <v>5414</v>
      </c>
      <c r="V1326" s="41" t="str">
        <f>HYPERLINK("http://ictvonline.org/taxonomy/p/taxonomy-history?taxnode_id=20181126","ICTVonline=20181126")</f>
        <v>ICTVonline=20181126</v>
      </c>
    </row>
    <row r="1327" spans="1:22">
      <c r="A1327" s="3">
        <v>1326</v>
      </c>
      <c r="J1327" s="1" t="s">
        <v>1338</v>
      </c>
      <c r="L1327" s="1" t="s">
        <v>903</v>
      </c>
      <c r="N1327" s="1" t="s">
        <v>4566</v>
      </c>
      <c r="P1327" s="1" t="s">
        <v>4577</v>
      </c>
      <c r="Q1327" s="3">
        <v>0</v>
      </c>
      <c r="R1327" s="22" t="s">
        <v>2764</v>
      </c>
      <c r="S1327" s="22" t="s">
        <v>5097</v>
      </c>
      <c r="T1327" s="51">
        <v>31</v>
      </c>
      <c r="U1327" s="3" t="s">
        <v>5414</v>
      </c>
      <c r="V1327" s="41" t="str">
        <f>HYPERLINK("http://ictvonline.org/taxonomy/p/taxonomy-history?taxnode_id=20181127","ICTVonline=20181127")</f>
        <v>ICTVonline=20181127</v>
      </c>
    </row>
    <row r="1328" spans="1:22">
      <c r="A1328" s="3">
        <v>1327</v>
      </c>
      <c r="J1328" s="1" t="s">
        <v>1338</v>
      </c>
      <c r="L1328" s="1" t="s">
        <v>903</v>
      </c>
      <c r="N1328" s="1" t="s">
        <v>4566</v>
      </c>
      <c r="P1328" s="1" t="s">
        <v>4578</v>
      </c>
      <c r="Q1328" s="3">
        <v>0</v>
      </c>
      <c r="R1328" s="22" t="s">
        <v>2764</v>
      </c>
      <c r="S1328" s="22" t="s">
        <v>5097</v>
      </c>
      <c r="T1328" s="51">
        <v>31</v>
      </c>
      <c r="U1328" s="3" t="s">
        <v>5414</v>
      </c>
      <c r="V1328" s="41" t="str">
        <f>HYPERLINK("http://ictvonline.org/taxonomy/p/taxonomy-history?taxnode_id=20181128","ICTVonline=20181128")</f>
        <v>ICTVonline=20181128</v>
      </c>
    </row>
    <row r="1329" spans="1:22">
      <c r="A1329" s="3">
        <v>1328</v>
      </c>
      <c r="J1329" s="1" t="s">
        <v>1338</v>
      </c>
      <c r="L1329" s="1" t="s">
        <v>903</v>
      </c>
      <c r="N1329" s="1" t="s">
        <v>4566</v>
      </c>
      <c r="P1329" s="1" t="s">
        <v>4579</v>
      </c>
      <c r="Q1329" s="3">
        <v>0</v>
      </c>
      <c r="R1329" s="22" t="s">
        <v>2764</v>
      </c>
      <c r="S1329" s="22" t="s">
        <v>5097</v>
      </c>
      <c r="T1329" s="51">
        <v>31</v>
      </c>
      <c r="U1329" s="3" t="s">
        <v>5414</v>
      </c>
      <c r="V1329" s="41" t="str">
        <f>HYPERLINK("http://ictvonline.org/taxonomy/p/taxonomy-history?taxnode_id=20181129","ICTVonline=20181129")</f>
        <v>ICTVonline=20181129</v>
      </c>
    </row>
    <row r="1330" spans="1:22">
      <c r="A1330" s="3">
        <v>1329</v>
      </c>
      <c r="J1330" s="1" t="s">
        <v>1338</v>
      </c>
      <c r="L1330" s="1" t="s">
        <v>903</v>
      </c>
      <c r="N1330" s="1" t="s">
        <v>4566</v>
      </c>
      <c r="P1330" s="1" t="s">
        <v>4580</v>
      </c>
      <c r="Q1330" s="3">
        <v>0</v>
      </c>
      <c r="R1330" s="22" t="s">
        <v>2764</v>
      </c>
      <c r="S1330" s="22" t="s">
        <v>5097</v>
      </c>
      <c r="T1330" s="51">
        <v>31</v>
      </c>
      <c r="U1330" s="3" t="s">
        <v>5414</v>
      </c>
      <c r="V1330" s="41" t="str">
        <f>HYPERLINK("http://ictvonline.org/taxonomy/p/taxonomy-history?taxnode_id=20181130","ICTVonline=20181130")</f>
        <v>ICTVonline=20181130</v>
      </c>
    </row>
    <row r="1331" spans="1:22">
      <c r="A1331" s="3">
        <v>1330</v>
      </c>
      <c r="J1331" s="1" t="s">
        <v>1338</v>
      </c>
      <c r="L1331" s="1" t="s">
        <v>903</v>
      </c>
      <c r="N1331" s="1" t="s">
        <v>4566</v>
      </c>
      <c r="P1331" s="1" t="s">
        <v>4581</v>
      </c>
      <c r="Q1331" s="3">
        <v>0</v>
      </c>
      <c r="R1331" s="22" t="s">
        <v>2764</v>
      </c>
      <c r="S1331" s="22" t="s">
        <v>5097</v>
      </c>
      <c r="T1331" s="51">
        <v>31</v>
      </c>
      <c r="U1331" s="3" t="s">
        <v>5414</v>
      </c>
      <c r="V1331" s="41" t="str">
        <f>HYPERLINK("http://ictvonline.org/taxonomy/p/taxonomy-history?taxnode_id=20181131","ICTVonline=20181131")</f>
        <v>ICTVonline=20181131</v>
      </c>
    </row>
    <row r="1332" spans="1:22">
      <c r="A1332" s="3">
        <v>1331</v>
      </c>
      <c r="J1332" s="1" t="s">
        <v>1338</v>
      </c>
      <c r="L1332" s="1" t="s">
        <v>903</v>
      </c>
      <c r="N1332" s="1" t="s">
        <v>4566</v>
      </c>
      <c r="P1332" s="1" t="s">
        <v>4582</v>
      </c>
      <c r="Q1332" s="3">
        <v>0</v>
      </c>
      <c r="R1332" s="22" t="s">
        <v>2764</v>
      </c>
      <c r="S1332" s="22" t="s">
        <v>5097</v>
      </c>
      <c r="T1332" s="51">
        <v>31</v>
      </c>
      <c r="U1332" s="3" t="s">
        <v>5414</v>
      </c>
      <c r="V1332" s="41" t="str">
        <f>HYPERLINK("http://ictvonline.org/taxonomy/p/taxonomy-history?taxnode_id=20181132","ICTVonline=20181132")</f>
        <v>ICTVonline=20181132</v>
      </c>
    </row>
    <row r="1333" spans="1:22">
      <c r="A1333" s="3">
        <v>1332</v>
      </c>
      <c r="J1333" s="1" t="s">
        <v>1338</v>
      </c>
      <c r="L1333" s="1" t="s">
        <v>903</v>
      </c>
      <c r="N1333" s="1" t="s">
        <v>4566</v>
      </c>
      <c r="P1333" s="1" t="s">
        <v>4583</v>
      </c>
      <c r="Q1333" s="3">
        <v>0</v>
      </c>
      <c r="R1333" s="22" t="s">
        <v>2764</v>
      </c>
      <c r="S1333" s="22" t="s">
        <v>5097</v>
      </c>
      <c r="T1333" s="51">
        <v>31</v>
      </c>
      <c r="U1333" s="3" t="s">
        <v>5414</v>
      </c>
      <c r="V1333" s="41" t="str">
        <f>HYPERLINK("http://ictvonline.org/taxonomy/p/taxonomy-history?taxnode_id=20181133","ICTVonline=20181133")</f>
        <v>ICTVonline=20181133</v>
      </c>
    </row>
    <row r="1334" spans="1:22">
      <c r="A1334" s="3">
        <v>1333</v>
      </c>
      <c r="J1334" s="1" t="s">
        <v>1338</v>
      </c>
      <c r="L1334" s="1" t="s">
        <v>903</v>
      </c>
      <c r="N1334" s="1" t="s">
        <v>4566</v>
      </c>
      <c r="P1334" s="1" t="s">
        <v>4584</v>
      </c>
      <c r="Q1334" s="3">
        <v>1</v>
      </c>
      <c r="R1334" s="22" t="s">
        <v>2764</v>
      </c>
      <c r="S1334" s="22" t="s">
        <v>5097</v>
      </c>
      <c r="T1334" s="51">
        <v>31</v>
      </c>
      <c r="U1334" s="3" t="s">
        <v>5414</v>
      </c>
      <c r="V1334" s="41" t="str">
        <f>HYPERLINK("http://ictvonline.org/taxonomy/p/taxonomy-history?taxnode_id=20181134","ICTVonline=20181134")</f>
        <v>ICTVonline=20181134</v>
      </c>
    </row>
    <row r="1335" spans="1:22">
      <c r="A1335" s="3">
        <v>1334</v>
      </c>
      <c r="J1335" s="1" t="s">
        <v>1338</v>
      </c>
      <c r="L1335" s="1" t="s">
        <v>903</v>
      </c>
      <c r="N1335" s="1" t="s">
        <v>4566</v>
      </c>
      <c r="P1335" s="1" t="s">
        <v>4585</v>
      </c>
      <c r="Q1335" s="3">
        <v>0</v>
      </c>
      <c r="R1335" s="22" t="s">
        <v>2764</v>
      </c>
      <c r="S1335" s="22" t="s">
        <v>5097</v>
      </c>
      <c r="T1335" s="51">
        <v>31</v>
      </c>
      <c r="U1335" s="3" t="s">
        <v>5414</v>
      </c>
      <c r="V1335" s="41" t="str">
        <f>HYPERLINK("http://ictvonline.org/taxonomy/p/taxonomy-history?taxnode_id=20181135","ICTVonline=20181135")</f>
        <v>ICTVonline=20181135</v>
      </c>
    </row>
    <row r="1336" spans="1:22">
      <c r="A1336" s="3">
        <v>1335</v>
      </c>
      <c r="J1336" s="1" t="s">
        <v>1338</v>
      </c>
      <c r="L1336" s="1" t="s">
        <v>903</v>
      </c>
      <c r="N1336" s="1" t="s">
        <v>4566</v>
      </c>
      <c r="P1336" s="1" t="s">
        <v>4586</v>
      </c>
      <c r="Q1336" s="3">
        <v>0</v>
      </c>
      <c r="R1336" s="22" t="s">
        <v>2764</v>
      </c>
      <c r="S1336" s="22" t="s">
        <v>5097</v>
      </c>
      <c r="T1336" s="51">
        <v>31</v>
      </c>
      <c r="U1336" s="3" t="s">
        <v>5414</v>
      </c>
      <c r="V1336" s="41" t="str">
        <f>HYPERLINK("http://ictvonline.org/taxonomy/p/taxonomy-history?taxnode_id=20181136","ICTVonline=20181136")</f>
        <v>ICTVonline=20181136</v>
      </c>
    </row>
    <row r="1337" spans="1:22">
      <c r="A1337" s="3">
        <v>1336</v>
      </c>
      <c r="J1337" s="1" t="s">
        <v>1338</v>
      </c>
      <c r="L1337" s="1" t="s">
        <v>903</v>
      </c>
      <c r="N1337" s="1" t="s">
        <v>4566</v>
      </c>
      <c r="P1337" s="1" t="s">
        <v>4587</v>
      </c>
      <c r="Q1337" s="3">
        <v>0</v>
      </c>
      <c r="R1337" s="22" t="s">
        <v>2764</v>
      </c>
      <c r="S1337" s="22" t="s">
        <v>5097</v>
      </c>
      <c r="T1337" s="51">
        <v>31</v>
      </c>
      <c r="U1337" s="3" t="s">
        <v>5414</v>
      </c>
      <c r="V1337" s="41" t="str">
        <f>HYPERLINK("http://ictvonline.org/taxonomy/p/taxonomy-history?taxnode_id=20181137","ICTVonline=20181137")</f>
        <v>ICTVonline=20181137</v>
      </c>
    </row>
    <row r="1338" spans="1:22">
      <c r="A1338" s="3">
        <v>1337</v>
      </c>
      <c r="J1338" s="1" t="s">
        <v>1338</v>
      </c>
      <c r="L1338" s="1" t="s">
        <v>903</v>
      </c>
      <c r="N1338" s="1" t="s">
        <v>4566</v>
      </c>
      <c r="P1338" s="1" t="s">
        <v>4588</v>
      </c>
      <c r="Q1338" s="3">
        <v>0</v>
      </c>
      <c r="R1338" s="22" t="s">
        <v>2764</v>
      </c>
      <c r="S1338" s="22" t="s">
        <v>5097</v>
      </c>
      <c r="T1338" s="51">
        <v>31</v>
      </c>
      <c r="U1338" s="3" t="s">
        <v>5414</v>
      </c>
      <c r="V1338" s="41" t="str">
        <f>HYPERLINK("http://ictvonline.org/taxonomy/p/taxonomy-history?taxnode_id=20181138","ICTVonline=20181138")</f>
        <v>ICTVonline=20181138</v>
      </c>
    </row>
    <row r="1339" spans="1:22">
      <c r="A1339" s="3">
        <v>1338</v>
      </c>
      <c r="J1339" s="1" t="s">
        <v>1338</v>
      </c>
      <c r="L1339" s="1" t="s">
        <v>903</v>
      </c>
      <c r="N1339" s="1" t="s">
        <v>4566</v>
      </c>
      <c r="P1339" s="1" t="s">
        <v>4589</v>
      </c>
      <c r="Q1339" s="3">
        <v>0</v>
      </c>
      <c r="R1339" s="22" t="s">
        <v>2764</v>
      </c>
      <c r="S1339" s="22" t="s">
        <v>5097</v>
      </c>
      <c r="T1339" s="51">
        <v>31</v>
      </c>
      <c r="U1339" s="3" t="s">
        <v>5414</v>
      </c>
      <c r="V1339" s="41" t="str">
        <f>HYPERLINK("http://ictvonline.org/taxonomy/p/taxonomy-history?taxnode_id=20181139","ICTVonline=20181139")</f>
        <v>ICTVonline=20181139</v>
      </c>
    </row>
    <row r="1340" spans="1:22">
      <c r="A1340" s="3">
        <v>1339</v>
      </c>
      <c r="J1340" s="1" t="s">
        <v>1338</v>
      </c>
      <c r="L1340" s="1" t="s">
        <v>903</v>
      </c>
      <c r="N1340" s="1" t="s">
        <v>4566</v>
      </c>
      <c r="P1340" s="1" t="s">
        <v>4590</v>
      </c>
      <c r="Q1340" s="3">
        <v>0</v>
      </c>
      <c r="R1340" s="22" t="s">
        <v>2764</v>
      </c>
      <c r="S1340" s="22" t="s">
        <v>5097</v>
      </c>
      <c r="T1340" s="51">
        <v>31</v>
      </c>
      <c r="U1340" s="3" t="s">
        <v>5414</v>
      </c>
      <c r="V1340" s="41" t="str">
        <f>HYPERLINK("http://ictvonline.org/taxonomy/p/taxonomy-history?taxnode_id=20181140","ICTVonline=20181140")</f>
        <v>ICTVonline=20181140</v>
      </c>
    </row>
    <row r="1341" spans="1:22">
      <c r="A1341" s="3">
        <v>1340</v>
      </c>
      <c r="J1341" s="1" t="s">
        <v>1338</v>
      </c>
      <c r="L1341" s="1" t="s">
        <v>903</v>
      </c>
      <c r="N1341" s="1" t="s">
        <v>4566</v>
      </c>
      <c r="P1341" s="1" t="s">
        <v>4591</v>
      </c>
      <c r="Q1341" s="3">
        <v>0</v>
      </c>
      <c r="R1341" s="22" t="s">
        <v>2764</v>
      </c>
      <c r="S1341" s="22" t="s">
        <v>5097</v>
      </c>
      <c r="T1341" s="51">
        <v>31</v>
      </c>
      <c r="U1341" s="3" t="s">
        <v>5414</v>
      </c>
      <c r="V1341" s="41" t="str">
        <f>HYPERLINK("http://ictvonline.org/taxonomy/p/taxonomy-history?taxnode_id=20181141","ICTVonline=20181141")</f>
        <v>ICTVonline=20181141</v>
      </c>
    </row>
    <row r="1342" spans="1:22">
      <c r="A1342" s="3">
        <v>1341</v>
      </c>
      <c r="J1342" s="1" t="s">
        <v>1338</v>
      </c>
      <c r="L1342" s="1" t="s">
        <v>903</v>
      </c>
      <c r="N1342" s="1" t="s">
        <v>4566</v>
      </c>
      <c r="P1342" s="1" t="s">
        <v>4592</v>
      </c>
      <c r="Q1342" s="3">
        <v>0</v>
      </c>
      <c r="R1342" s="22" t="s">
        <v>2764</v>
      </c>
      <c r="S1342" s="22" t="s">
        <v>5097</v>
      </c>
      <c r="T1342" s="51">
        <v>31</v>
      </c>
      <c r="U1342" s="3" t="s">
        <v>5414</v>
      </c>
      <c r="V1342" s="41" t="str">
        <f>HYPERLINK("http://ictvonline.org/taxonomy/p/taxonomy-history?taxnode_id=20181142","ICTVonline=20181142")</f>
        <v>ICTVonline=20181142</v>
      </c>
    </row>
    <row r="1343" spans="1:22">
      <c r="A1343" s="3">
        <v>1342</v>
      </c>
      <c r="J1343" s="1" t="s">
        <v>1338</v>
      </c>
      <c r="L1343" s="1" t="s">
        <v>903</v>
      </c>
      <c r="N1343" s="1" t="s">
        <v>4566</v>
      </c>
      <c r="P1343" s="1" t="s">
        <v>4593</v>
      </c>
      <c r="Q1343" s="3">
        <v>0</v>
      </c>
      <c r="R1343" s="22" t="s">
        <v>2764</v>
      </c>
      <c r="S1343" s="22" t="s">
        <v>5097</v>
      </c>
      <c r="T1343" s="51">
        <v>31</v>
      </c>
      <c r="U1343" s="3" t="s">
        <v>5414</v>
      </c>
      <c r="V1343" s="41" t="str">
        <f>HYPERLINK("http://ictvonline.org/taxonomy/p/taxonomy-history?taxnode_id=20181143","ICTVonline=20181143")</f>
        <v>ICTVonline=20181143</v>
      </c>
    </row>
    <row r="1344" spans="1:22">
      <c r="A1344" s="3">
        <v>1343</v>
      </c>
      <c r="J1344" s="1" t="s">
        <v>1338</v>
      </c>
      <c r="L1344" s="1" t="s">
        <v>903</v>
      </c>
      <c r="M1344" s="2"/>
      <c r="N1344" s="1" t="s">
        <v>4566</v>
      </c>
      <c r="P1344" s="1" t="s">
        <v>4594</v>
      </c>
      <c r="Q1344" s="3">
        <v>0</v>
      </c>
      <c r="R1344" s="22" t="s">
        <v>2764</v>
      </c>
      <c r="S1344" s="22" t="s">
        <v>5097</v>
      </c>
      <c r="T1344" s="51">
        <v>31</v>
      </c>
      <c r="U1344" s="3" t="s">
        <v>5414</v>
      </c>
      <c r="V1344" s="41" t="str">
        <f>HYPERLINK("http://ictvonline.org/taxonomy/p/taxonomy-history?taxnode_id=20181144","ICTVonline=20181144")</f>
        <v>ICTVonline=20181144</v>
      </c>
    </row>
    <row r="1345" spans="1:22">
      <c r="A1345" s="3">
        <v>1344</v>
      </c>
      <c r="J1345" s="1" t="s">
        <v>1338</v>
      </c>
      <c r="L1345" s="1" t="s">
        <v>903</v>
      </c>
      <c r="N1345" s="1" t="s">
        <v>4566</v>
      </c>
      <c r="P1345" s="1" t="s">
        <v>4595</v>
      </c>
      <c r="Q1345" s="3">
        <v>0</v>
      </c>
      <c r="R1345" s="22" t="s">
        <v>2764</v>
      </c>
      <c r="S1345" s="22" t="s">
        <v>5097</v>
      </c>
      <c r="T1345" s="51">
        <v>31</v>
      </c>
      <c r="U1345" s="3" t="s">
        <v>5414</v>
      </c>
      <c r="V1345" s="41" t="str">
        <f>HYPERLINK("http://ictvonline.org/taxonomy/p/taxonomy-history?taxnode_id=20181145","ICTVonline=20181145")</f>
        <v>ICTVonline=20181145</v>
      </c>
    </row>
    <row r="1346" spans="1:22">
      <c r="A1346" s="3">
        <v>1345</v>
      </c>
      <c r="J1346" s="1" t="s">
        <v>1338</v>
      </c>
      <c r="L1346" s="1" t="s">
        <v>903</v>
      </c>
      <c r="N1346" s="1" t="s">
        <v>4566</v>
      </c>
      <c r="P1346" s="1" t="s">
        <v>4596</v>
      </c>
      <c r="Q1346" s="3">
        <v>0</v>
      </c>
      <c r="R1346" s="22" t="s">
        <v>2764</v>
      </c>
      <c r="S1346" s="22" t="s">
        <v>5097</v>
      </c>
      <c r="T1346" s="51">
        <v>31</v>
      </c>
      <c r="U1346" s="3" t="s">
        <v>5414</v>
      </c>
      <c r="V1346" s="41" t="str">
        <f>HYPERLINK("http://ictvonline.org/taxonomy/p/taxonomy-history?taxnode_id=20181146","ICTVonline=20181146")</f>
        <v>ICTVonline=20181146</v>
      </c>
    </row>
    <row r="1347" spans="1:22">
      <c r="A1347" s="3">
        <v>1346</v>
      </c>
      <c r="J1347" s="1" t="s">
        <v>1338</v>
      </c>
      <c r="L1347" s="1" t="s">
        <v>903</v>
      </c>
      <c r="N1347" s="1" t="s">
        <v>4566</v>
      </c>
      <c r="P1347" s="1" t="s">
        <v>4597</v>
      </c>
      <c r="Q1347" s="3">
        <v>0</v>
      </c>
      <c r="R1347" s="22" t="s">
        <v>2764</v>
      </c>
      <c r="S1347" s="22" t="s">
        <v>5097</v>
      </c>
      <c r="T1347" s="51">
        <v>31</v>
      </c>
      <c r="U1347" s="3" t="s">
        <v>5414</v>
      </c>
      <c r="V1347" s="41" t="str">
        <f>HYPERLINK("http://ictvonline.org/taxonomy/p/taxonomy-history?taxnode_id=20181147","ICTVonline=20181147")</f>
        <v>ICTVonline=20181147</v>
      </c>
    </row>
    <row r="1348" spans="1:22">
      <c r="A1348" s="3">
        <v>1347</v>
      </c>
      <c r="J1348" s="1" t="s">
        <v>1338</v>
      </c>
      <c r="L1348" s="1" t="s">
        <v>903</v>
      </c>
      <c r="N1348" s="1" t="s">
        <v>4566</v>
      </c>
      <c r="P1348" s="1" t="s">
        <v>4598</v>
      </c>
      <c r="Q1348" s="3">
        <v>0</v>
      </c>
      <c r="R1348" s="22" t="s">
        <v>2764</v>
      </c>
      <c r="S1348" s="22" t="s">
        <v>5097</v>
      </c>
      <c r="T1348" s="51">
        <v>31</v>
      </c>
      <c r="U1348" s="3" t="s">
        <v>5414</v>
      </c>
      <c r="V1348" s="41" t="str">
        <f>HYPERLINK("http://ictvonline.org/taxonomy/p/taxonomy-history?taxnode_id=20181148","ICTVonline=20181148")</f>
        <v>ICTVonline=20181148</v>
      </c>
    </row>
    <row r="1349" spans="1:22">
      <c r="A1349" s="3">
        <v>1348</v>
      </c>
      <c r="J1349" s="1" t="s">
        <v>1338</v>
      </c>
      <c r="L1349" s="1" t="s">
        <v>903</v>
      </c>
      <c r="N1349" s="1" t="s">
        <v>4566</v>
      </c>
      <c r="P1349" s="1" t="s">
        <v>4599</v>
      </c>
      <c r="Q1349" s="3">
        <v>0</v>
      </c>
      <c r="R1349" s="22" t="s">
        <v>2764</v>
      </c>
      <c r="S1349" s="22" t="s">
        <v>5097</v>
      </c>
      <c r="T1349" s="51">
        <v>31</v>
      </c>
      <c r="U1349" s="3" t="s">
        <v>5414</v>
      </c>
      <c r="V1349" s="41" t="str">
        <f>HYPERLINK("http://ictvonline.org/taxonomy/p/taxonomy-history?taxnode_id=20181149","ICTVonline=20181149")</f>
        <v>ICTVonline=20181149</v>
      </c>
    </row>
    <row r="1350" spans="1:22">
      <c r="A1350" s="3">
        <v>1349</v>
      </c>
      <c r="J1350" s="1" t="s">
        <v>1338</v>
      </c>
      <c r="L1350" s="1" t="s">
        <v>903</v>
      </c>
      <c r="N1350" s="1" t="s">
        <v>4566</v>
      </c>
      <c r="P1350" s="1" t="s">
        <v>4600</v>
      </c>
      <c r="Q1350" s="3">
        <v>0</v>
      </c>
      <c r="R1350" s="22" t="s">
        <v>2764</v>
      </c>
      <c r="S1350" s="22" t="s">
        <v>5097</v>
      </c>
      <c r="T1350" s="51">
        <v>31</v>
      </c>
      <c r="U1350" s="3" t="s">
        <v>5414</v>
      </c>
      <c r="V1350" s="41" t="str">
        <f>HYPERLINK("http://ictvonline.org/taxonomy/p/taxonomy-history?taxnode_id=20181150","ICTVonline=20181150")</f>
        <v>ICTVonline=20181150</v>
      </c>
    </row>
    <row r="1351" spans="1:22">
      <c r="A1351" s="3">
        <v>1350</v>
      </c>
      <c r="J1351" s="1" t="s">
        <v>1338</v>
      </c>
      <c r="L1351" s="1" t="s">
        <v>903</v>
      </c>
      <c r="N1351" s="1" t="s">
        <v>4566</v>
      </c>
      <c r="P1351" s="1" t="s">
        <v>4601</v>
      </c>
      <c r="Q1351" s="3">
        <v>0</v>
      </c>
      <c r="R1351" s="22" t="s">
        <v>2764</v>
      </c>
      <c r="S1351" s="22" t="s">
        <v>5097</v>
      </c>
      <c r="T1351" s="51">
        <v>31</v>
      </c>
      <c r="U1351" s="3" t="s">
        <v>5414</v>
      </c>
      <c r="V1351" s="41" t="str">
        <f>HYPERLINK("http://ictvonline.org/taxonomy/p/taxonomy-history?taxnode_id=20181151","ICTVonline=20181151")</f>
        <v>ICTVonline=20181151</v>
      </c>
    </row>
    <row r="1352" spans="1:22">
      <c r="A1352" s="3">
        <v>1351</v>
      </c>
      <c r="J1352" s="1" t="s">
        <v>1338</v>
      </c>
      <c r="L1352" s="1" t="s">
        <v>903</v>
      </c>
      <c r="N1352" s="1" t="s">
        <v>4566</v>
      </c>
      <c r="P1352" s="1" t="s">
        <v>4602</v>
      </c>
      <c r="Q1352" s="3">
        <v>0</v>
      </c>
      <c r="R1352" s="22" t="s">
        <v>2764</v>
      </c>
      <c r="S1352" s="22" t="s">
        <v>5097</v>
      </c>
      <c r="T1352" s="51">
        <v>31</v>
      </c>
      <c r="U1352" s="3" t="s">
        <v>5414</v>
      </c>
      <c r="V1352" s="41" t="str">
        <f>HYPERLINK("http://ictvonline.org/taxonomy/p/taxonomy-history?taxnode_id=20181152","ICTVonline=20181152")</f>
        <v>ICTVonline=20181152</v>
      </c>
    </row>
    <row r="1353" spans="1:22">
      <c r="A1353" s="3">
        <v>1352</v>
      </c>
      <c r="J1353" s="1" t="s">
        <v>1338</v>
      </c>
      <c r="L1353" s="1" t="s">
        <v>903</v>
      </c>
      <c r="N1353" s="1" t="s">
        <v>4566</v>
      </c>
      <c r="P1353" s="1" t="s">
        <v>4603</v>
      </c>
      <c r="Q1353" s="3">
        <v>0</v>
      </c>
      <c r="R1353" s="22" t="s">
        <v>2764</v>
      </c>
      <c r="S1353" s="22" t="s">
        <v>5097</v>
      </c>
      <c r="T1353" s="51">
        <v>31</v>
      </c>
      <c r="U1353" s="3" t="s">
        <v>5414</v>
      </c>
      <c r="V1353" s="41" t="str">
        <f>HYPERLINK("http://ictvonline.org/taxonomy/p/taxonomy-history?taxnode_id=20181153","ICTVonline=20181153")</f>
        <v>ICTVonline=20181153</v>
      </c>
    </row>
    <row r="1354" spans="1:22">
      <c r="A1354" s="3">
        <v>1353</v>
      </c>
      <c r="J1354" s="1" t="s">
        <v>1338</v>
      </c>
      <c r="L1354" s="1" t="s">
        <v>903</v>
      </c>
      <c r="N1354" s="1" t="s">
        <v>4566</v>
      </c>
      <c r="P1354" s="1" t="s">
        <v>4604</v>
      </c>
      <c r="Q1354" s="3">
        <v>0</v>
      </c>
      <c r="R1354" s="22" t="s">
        <v>2764</v>
      </c>
      <c r="S1354" s="22" t="s">
        <v>5097</v>
      </c>
      <c r="T1354" s="51">
        <v>31</v>
      </c>
      <c r="U1354" s="3" t="s">
        <v>5414</v>
      </c>
      <c r="V1354" s="41" t="str">
        <f>HYPERLINK("http://ictvonline.org/taxonomy/p/taxonomy-history?taxnode_id=20181154","ICTVonline=20181154")</f>
        <v>ICTVonline=20181154</v>
      </c>
    </row>
    <row r="1355" spans="1:22">
      <c r="A1355" s="3">
        <v>1354</v>
      </c>
      <c r="J1355" s="1" t="s">
        <v>1338</v>
      </c>
      <c r="L1355" s="1" t="s">
        <v>903</v>
      </c>
      <c r="N1355" s="1" t="s">
        <v>4566</v>
      </c>
      <c r="P1355" s="1" t="s">
        <v>4605</v>
      </c>
      <c r="Q1355" s="3">
        <v>0</v>
      </c>
      <c r="R1355" s="22" t="s">
        <v>2764</v>
      </c>
      <c r="S1355" s="22" t="s">
        <v>5097</v>
      </c>
      <c r="T1355" s="51">
        <v>31</v>
      </c>
      <c r="U1355" s="3" t="s">
        <v>5414</v>
      </c>
      <c r="V1355" s="41" t="str">
        <f>HYPERLINK("http://ictvonline.org/taxonomy/p/taxonomy-history?taxnode_id=20181155","ICTVonline=20181155")</f>
        <v>ICTVonline=20181155</v>
      </c>
    </row>
    <row r="1356" spans="1:22">
      <c r="A1356" s="3">
        <v>1355</v>
      </c>
      <c r="J1356" s="1" t="s">
        <v>1338</v>
      </c>
      <c r="L1356" s="1" t="s">
        <v>903</v>
      </c>
      <c r="N1356" s="1" t="s">
        <v>4566</v>
      </c>
      <c r="P1356" s="1" t="s">
        <v>4606</v>
      </c>
      <c r="Q1356" s="3">
        <v>0</v>
      </c>
      <c r="R1356" s="22" t="s">
        <v>2764</v>
      </c>
      <c r="S1356" s="22" t="s">
        <v>5097</v>
      </c>
      <c r="T1356" s="51">
        <v>31</v>
      </c>
      <c r="U1356" s="3" t="s">
        <v>5414</v>
      </c>
      <c r="V1356" s="41" t="str">
        <f>HYPERLINK("http://ictvonline.org/taxonomy/p/taxonomy-history?taxnode_id=20181156","ICTVonline=20181156")</f>
        <v>ICTVonline=20181156</v>
      </c>
    </row>
    <row r="1357" spans="1:22">
      <c r="A1357" s="3">
        <v>1356</v>
      </c>
      <c r="J1357" s="1" t="s">
        <v>1338</v>
      </c>
      <c r="L1357" s="1" t="s">
        <v>903</v>
      </c>
      <c r="N1357" s="1" t="s">
        <v>4566</v>
      </c>
      <c r="P1357" s="1" t="s">
        <v>4607</v>
      </c>
      <c r="Q1357" s="3">
        <v>0</v>
      </c>
      <c r="R1357" s="22" t="s">
        <v>2764</v>
      </c>
      <c r="S1357" s="22" t="s">
        <v>5097</v>
      </c>
      <c r="T1357" s="51">
        <v>31</v>
      </c>
      <c r="U1357" s="3" t="s">
        <v>5414</v>
      </c>
      <c r="V1357" s="41" t="str">
        <f>HYPERLINK("http://ictvonline.org/taxonomy/p/taxonomy-history?taxnode_id=20181157","ICTVonline=20181157")</f>
        <v>ICTVonline=20181157</v>
      </c>
    </row>
    <row r="1358" spans="1:22">
      <c r="A1358" s="3">
        <v>1357</v>
      </c>
      <c r="J1358" s="1" t="s">
        <v>1338</v>
      </c>
      <c r="L1358" s="1" t="s">
        <v>903</v>
      </c>
      <c r="N1358" s="1" t="s">
        <v>4566</v>
      </c>
      <c r="P1358" s="1" t="s">
        <v>4608</v>
      </c>
      <c r="Q1358" s="3">
        <v>0</v>
      </c>
      <c r="R1358" s="22" t="s">
        <v>2764</v>
      </c>
      <c r="S1358" s="22" t="s">
        <v>5097</v>
      </c>
      <c r="T1358" s="51">
        <v>31</v>
      </c>
      <c r="U1358" s="3" t="s">
        <v>5414</v>
      </c>
      <c r="V1358" s="41" t="str">
        <f>HYPERLINK("http://ictvonline.org/taxonomy/p/taxonomy-history?taxnode_id=20181158","ICTVonline=20181158")</f>
        <v>ICTVonline=20181158</v>
      </c>
    </row>
    <row r="1359" spans="1:22">
      <c r="A1359" s="3">
        <v>1358</v>
      </c>
      <c r="J1359" s="1" t="s">
        <v>1338</v>
      </c>
      <c r="L1359" s="1" t="s">
        <v>903</v>
      </c>
      <c r="N1359" s="1" t="s">
        <v>4566</v>
      </c>
      <c r="P1359" s="1" t="s">
        <v>4609</v>
      </c>
      <c r="Q1359" s="3">
        <v>0</v>
      </c>
      <c r="R1359" s="22" t="s">
        <v>2764</v>
      </c>
      <c r="S1359" s="22" t="s">
        <v>5097</v>
      </c>
      <c r="T1359" s="51">
        <v>31</v>
      </c>
      <c r="U1359" s="3" t="s">
        <v>5414</v>
      </c>
      <c r="V1359" s="41" t="str">
        <f>HYPERLINK("http://ictvonline.org/taxonomy/p/taxonomy-history?taxnode_id=20181159","ICTVonline=20181159")</f>
        <v>ICTVonline=20181159</v>
      </c>
    </row>
    <row r="1360" spans="1:22">
      <c r="A1360" s="3">
        <v>1359</v>
      </c>
      <c r="J1360" s="1" t="s">
        <v>1338</v>
      </c>
      <c r="L1360" s="1" t="s">
        <v>903</v>
      </c>
      <c r="N1360" s="1" t="s">
        <v>4566</v>
      </c>
      <c r="P1360" s="1" t="s">
        <v>4610</v>
      </c>
      <c r="Q1360" s="3">
        <v>0</v>
      </c>
      <c r="R1360" s="22" t="s">
        <v>2764</v>
      </c>
      <c r="S1360" s="22" t="s">
        <v>5097</v>
      </c>
      <c r="T1360" s="51">
        <v>31</v>
      </c>
      <c r="U1360" s="3" t="s">
        <v>5414</v>
      </c>
      <c r="V1360" s="41" t="str">
        <f>HYPERLINK("http://ictvonline.org/taxonomy/p/taxonomy-history?taxnode_id=20181160","ICTVonline=20181160")</f>
        <v>ICTVonline=20181160</v>
      </c>
    </row>
    <row r="1361" spans="1:22">
      <c r="A1361" s="3">
        <v>1360</v>
      </c>
      <c r="J1361" s="1" t="s">
        <v>1338</v>
      </c>
      <c r="L1361" s="1" t="s">
        <v>903</v>
      </c>
      <c r="N1361" s="1" t="s">
        <v>4566</v>
      </c>
      <c r="P1361" s="1" t="s">
        <v>4611</v>
      </c>
      <c r="Q1361" s="3">
        <v>0</v>
      </c>
      <c r="R1361" s="22" t="s">
        <v>2764</v>
      </c>
      <c r="S1361" s="22" t="s">
        <v>5097</v>
      </c>
      <c r="T1361" s="51">
        <v>31</v>
      </c>
      <c r="U1361" s="3" t="s">
        <v>5414</v>
      </c>
      <c r="V1361" s="41" t="str">
        <f>HYPERLINK("http://ictvonline.org/taxonomy/p/taxonomy-history?taxnode_id=20181161","ICTVonline=20181161")</f>
        <v>ICTVonline=20181161</v>
      </c>
    </row>
    <row r="1362" spans="1:22">
      <c r="A1362" s="3">
        <v>1361</v>
      </c>
      <c r="J1362" s="1" t="s">
        <v>1338</v>
      </c>
      <c r="L1362" s="1" t="s">
        <v>903</v>
      </c>
      <c r="N1362" s="1" t="s">
        <v>4566</v>
      </c>
      <c r="P1362" s="1" t="s">
        <v>4612</v>
      </c>
      <c r="Q1362" s="3">
        <v>0</v>
      </c>
      <c r="R1362" s="22" t="s">
        <v>2764</v>
      </c>
      <c r="S1362" s="22" t="s">
        <v>5097</v>
      </c>
      <c r="T1362" s="51">
        <v>31</v>
      </c>
      <c r="U1362" s="3" t="s">
        <v>5414</v>
      </c>
      <c r="V1362" s="41" t="str">
        <f>HYPERLINK("http://ictvonline.org/taxonomy/p/taxonomy-history?taxnode_id=20181162","ICTVonline=20181162")</f>
        <v>ICTVonline=20181162</v>
      </c>
    </row>
    <row r="1363" spans="1:22">
      <c r="A1363" s="3">
        <v>1362</v>
      </c>
      <c r="J1363" s="1" t="s">
        <v>1338</v>
      </c>
      <c r="L1363" s="1" t="s">
        <v>903</v>
      </c>
      <c r="N1363" s="1" t="s">
        <v>4566</v>
      </c>
      <c r="P1363" s="1" t="s">
        <v>4613</v>
      </c>
      <c r="Q1363" s="3">
        <v>0</v>
      </c>
      <c r="R1363" s="22" t="s">
        <v>2764</v>
      </c>
      <c r="S1363" s="22" t="s">
        <v>5097</v>
      </c>
      <c r="T1363" s="51">
        <v>31</v>
      </c>
      <c r="U1363" s="3" t="s">
        <v>5414</v>
      </c>
      <c r="V1363" s="41" t="str">
        <f>HYPERLINK("http://ictvonline.org/taxonomy/p/taxonomy-history?taxnode_id=20181163","ICTVonline=20181163")</f>
        <v>ICTVonline=20181163</v>
      </c>
    </row>
    <row r="1364" spans="1:22">
      <c r="A1364" s="3">
        <v>1363</v>
      </c>
      <c r="J1364" s="1" t="s">
        <v>1338</v>
      </c>
      <c r="L1364" s="1" t="s">
        <v>903</v>
      </c>
      <c r="N1364" s="1" t="s">
        <v>4566</v>
      </c>
      <c r="P1364" s="1" t="s">
        <v>4614</v>
      </c>
      <c r="Q1364" s="3">
        <v>0</v>
      </c>
      <c r="R1364" s="22" t="s">
        <v>2764</v>
      </c>
      <c r="S1364" s="22" t="s">
        <v>5097</v>
      </c>
      <c r="T1364" s="51">
        <v>31</v>
      </c>
      <c r="U1364" s="3" t="s">
        <v>5414</v>
      </c>
      <c r="V1364" s="41" t="str">
        <f>HYPERLINK("http://ictvonline.org/taxonomy/p/taxonomy-history?taxnode_id=20181164","ICTVonline=20181164")</f>
        <v>ICTVonline=20181164</v>
      </c>
    </row>
    <row r="1365" spans="1:22">
      <c r="A1365" s="3">
        <v>1364</v>
      </c>
      <c r="J1365" s="1" t="s">
        <v>1338</v>
      </c>
      <c r="L1365" s="1" t="s">
        <v>903</v>
      </c>
      <c r="N1365" s="1" t="s">
        <v>4566</v>
      </c>
      <c r="P1365" s="1" t="s">
        <v>4615</v>
      </c>
      <c r="Q1365" s="3">
        <v>0</v>
      </c>
      <c r="R1365" s="22" t="s">
        <v>2764</v>
      </c>
      <c r="S1365" s="22" t="s">
        <v>5097</v>
      </c>
      <c r="T1365" s="51">
        <v>31</v>
      </c>
      <c r="U1365" s="3" t="s">
        <v>5414</v>
      </c>
      <c r="V1365" s="41" t="str">
        <f>HYPERLINK("http://ictvonline.org/taxonomy/p/taxonomy-history?taxnode_id=20181165","ICTVonline=20181165")</f>
        <v>ICTVonline=20181165</v>
      </c>
    </row>
    <row r="1366" spans="1:22">
      <c r="A1366" s="3">
        <v>1365</v>
      </c>
      <c r="J1366" s="1" t="s">
        <v>1338</v>
      </c>
      <c r="L1366" s="1" t="s">
        <v>903</v>
      </c>
      <c r="N1366" s="1" t="s">
        <v>4566</v>
      </c>
      <c r="P1366" s="1" t="s">
        <v>4616</v>
      </c>
      <c r="Q1366" s="3">
        <v>0</v>
      </c>
      <c r="R1366" s="22" t="s">
        <v>2764</v>
      </c>
      <c r="S1366" s="22" t="s">
        <v>5097</v>
      </c>
      <c r="T1366" s="51">
        <v>31</v>
      </c>
      <c r="U1366" s="3" t="s">
        <v>5414</v>
      </c>
      <c r="V1366" s="41" t="str">
        <f>HYPERLINK("http://ictvonline.org/taxonomy/p/taxonomy-history?taxnode_id=20181166","ICTVonline=20181166")</f>
        <v>ICTVonline=20181166</v>
      </c>
    </row>
    <row r="1367" spans="1:22">
      <c r="A1367" s="3">
        <v>1366</v>
      </c>
      <c r="J1367" s="1" t="s">
        <v>1338</v>
      </c>
      <c r="L1367" s="1" t="s">
        <v>903</v>
      </c>
      <c r="N1367" s="1" t="s">
        <v>4566</v>
      </c>
      <c r="P1367" s="1" t="s">
        <v>4617</v>
      </c>
      <c r="Q1367" s="3">
        <v>0</v>
      </c>
      <c r="R1367" s="22" t="s">
        <v>2764</v>
      </c>
      <c r="S1367" s="22" t="s">
        <v>5097</v>
      </c>
      <c r="T1367" s="51">
        <v>31</v>
      </c>
      <c r="U1367" s="3" t="s">
        <v>5414</v>
      </c>
      <c r="V1367" s="41" t="str">
        <f>HYPERLINK("http://ictvonline.org/taxonomy/p/taxonomy-history?taxnode_id=20181167","ICTVonline=20181167")</f>
        <v>ICTVonline=20181167</v>
      </c>
    </row>
    <row r="1368" spans="1:22">
      <c r="A1368" s="3">
        <v>1367</v>
      </c>
      <c r="J1368" s="1" t="s">
        <v>1338</v>
      </c>
      <c r="L1368" s="1" t="s">
        <v>903</v>
      </c>
      <c r="N1368" s="1" t="s">
        <v>4566</v>
      </c>
      <c r="P1368" s="1" t="s">
        <v>4618</v>
      </c>
      <c r="Q1368" s="3">
        <v>0</v>
      </c>
      <c r="R1368" s="22" t="s">
        <v>2764</v>
      </c>
      <c r="S1368" s="22" t="s">
        <v>5097</v>
      </c>
      <c r="T1368" s="51">
        <v>31</v>
      </c>
      <c r="U1368" s="3" t="s">
        <v>5414</v>
      </c>
      <c r="V1368" s="41" t="str">
        <f>HYPERLINK("http://ictvonline.org/taxonomy/p/taxonomy-history?taxnode_id=20181168","ICTVonline=20181168")</f>
        <v>ICTVonline=20181168</v>
      </c>
    </row>
    <row r="1369" spans="1:22">
      <c r="A1369" s="3">
        <v>1368</v>
      </c>
      <c r="J1369" s="1" t="s">
        <v>1338</v>
      </c>
      <c r="L1369" s="1" t="s">
        <v>903</v>
      </c>
      <c r="N1369" s="1" t="s">
        <v>4566</v>
      </c>
      <c r="P1369" s="1" t="s">
        <v>4619</v>
      </c>
      <c r="Q1369" s="3">
        <v>0</v>
      </c>
      <c r="R1369" s="22" t="s">
        <v>2764</v>
      </c>
      <c r="S1369" s="22" t="s">
        <v>5097</v>
      </c>
      <c r="T1369" s="51">
        <v>31</v>
      </c>
      <c r="U1369" s="3" t="s">
        <v>5414</v>
      </c>
      <c r="V1369" s="41" t="str">
        <f>HYPERLINK("http://ictvonline.org/taxonomy/p/taxonomy-history?taxnode_id=20181169","ICTVonline=20181169")</f>
        <v>ICTVonline=20181169</v>
      </c>
    </row>
    <row r="1370" spans="1:22">
      <c r="A1370" s="3">
        <v>1369</v>
      </c>
      <c r="J1370" s="1" t="s">
        <v>1338</v>
      </c>
      <c r="L1370" s="1" t="s">
        <v>903</v>
      </c>
      <c r="N1370" s="1" t="s">
        <v>4566</v>
      </c>
      <c r="P1370" s="1" t="s">
        <v>4620</v>
      </c>
      <c r="Q1370" s="3">
        <v>0</v>
      </c>
      <c r="R1370" s="22" t="s">
        <v>2764</v>
      </c>
      <c r="S1370" s="22" t="s">
        <v>5097</v>
      </c>
      <c r="T1370" s="51">
        <v>31</v>
      </c>
      <c r="U1370" s="3" t="s">
        <v>5414</v>
      </c>
      <c r="V1370" s="41" t="str">
        <f>HYPERLINK("http://ictvonline.org/taxonomy/p/taxonomy-history?taxnode_id=20181170","ICTVonline=20181170")</f>
        <v>ICTVonline=20181170</v>
      </c>
    </row>
    <row r="1371" spans="1:22">
      <c r="A1371" s="3">
        <v>1370</v>
      </c>
      <c r="J1371" s="1" t="s">
        <v>1338</v>
      </c>
      <c r="L1371" s="1" t="s">
        <v>903</v>
      </c>
      <c r="N1371" s="1" t="s">
        <v>4566</v>
      </c>
      <c r="P1371" s="1" t="s">
        <v>4621</v>
      </c>
      <c r="Q1371" s="3">
        <v>0</v>
      </c>
      <c r="R1371" s="22" t="s">
        <v>2764</v>
      </c>
      <c r="S1371" s="22" t="s">
        <v>5097</v>
      </c>
      <c r="T1371" s="51">
        <v>31</v>
      </c>
      <c r="U1371" s="3" t="s">
        <v>5414</v>
      </c>
      <c r="V1371" s="41" t="str">
        <f>HYPERLINK("http://ictvonline.org/taxonomy/p/taxonomy-history?taxnode_id=20181171","ICTVonline=20181171")</f>
        <v>ICTVonline=20181171</v>
      </c>
    </row>
    <row r="1372" spans="1:22">
      <c r="A1372" s="3">
        <v>1371</v>
      </c>
      <c r="J1372" s="1" t="s">
        <v>1338</v>
      </c>
      <c r="L1372" s="1" t="s">
        <v>903</v>
      </c>
      <c r="N1372" s="1" t="s">
        <v>4566</v>
      </c>
      <c r="P1372" s="1" t="s">
        <v>4622</v>
      </c>
      <c r="Q1372" s="3">
        <v>0</v>
      </c>
      <c r="R1372" s="22" t="s">
        <v>2764</v>
      </c>
      <c r="S1372" s="22" t="s">
        <v>5097</v>
      </c>
      <c r="T1372" s="51">
        <v>31</v>
      </c>
      <c r="U1372" s="3" t="s">
        <v>5414</v>
      </c>
      <c r="V1372" s="41" t="str">
        <f>HYPERLINK("http://ictvonline.org/taxonomy/p/taxonomy-history?taxnode_id=20181172","ICTVonline=20181172")</f>
        <v>ICTVonline=20181172</v>
      </c>
    </row>
    <row r="1373" spans="1:22">
      <c r="A1373" s="3">
        <v>1372</v>
      </c>
      <c r="J1373" s="1" t="s">
        <v>1338</v>
      </c>
      <c r="L1373" s="1" t="s">
        <v>903</v>
      </c>
      <c r="N1373" s="1" t="s">
        <v>4566</v>
      </c>
      <c r="P1373" s="1" t="s">
        <v>4623</v>
      </c>
      <c r="Q1373" s="3">
        <v>0</v>
      </c>
      <c r="R1373" s="22" t="s">
        <v>2764</v>
      </c>
      <c r="S1373" s="22" t="s">
        <v>5097</v>
      </c>
      <c r="T1373" s="51">
        <v>31</v>
      </c>
      <c r="U1373" s="3" t="s">
        <v>5414</v>
      </c>
      <c r="V1373" s="41" t="str">
        <f>HYPERLINK("http://ictvonline.org/taxonomy/p/taxonomy-history?taxnode_id=20181173","ICTVonline=20181173")</f>
        <v>ICTVonline=20181173</v>
      </c>
    </row>
    <row r="1374" spans="1:22">
      <c r="A1374" s="3">
        <v>1373</v>
      </c>
      <c r="J1374" s="1" t="s">
        <v>1338</v>
      </c>
      <c r="L1374" s="1" t="s">
        <v>903</v>
      </c>
      <c r="N1374" s="1" t="s">
        <v>4624</v>
      </c>
      <c r="P1374" s="1" t="s">
        <v>4625</v>
      </c>
      <c r="Q1374" s="3">
        <v>0</v>
      </c>
      <c r="R1374" s="22" t="s">
        <v>2764</v>
      </c>
      <c r="S1374" s="22" t="s">
        <v>5097</v>
      </c>
      <c r="T1374" s="51">
        <v>31</v>
      </c>
      <c r="U1374" s="3" t="s">
        <v>5415</v>
      </c>
      <c r="V1374" s="41" t="str">
        <f>HYPERLINK("http://ictvonline.org/taxonomy/p/taxonomy-history?taxnode_id=20181175","ICTVonline=20181175")</f>
        <v>ICTVonline=20181175</v>
      </c>
    </row>
    <row r="1375" spans="1:22">
      <c r="A1375" s="3">
        <v>1374</v>
      </c>
      <c r="J1375" s="1" t="s">
        <v>1338</v>
      </c>
      <c r="L1375" s="1" t="s">
        <v>903</v>
      </c>
      <c r="N1375" s="1" t="s">
        <v>4624</v>
      </c>
      <c r="P1375" s="1" t="s">
        <v>4626</v>
      </c>
      <c r="Q1375" s="3">
        <v>1</v>
      </c>
      <c r="R1375" s="22" t="s">
        <v>2764</v>
      </c>
      <c r="S1375" s="22" t="s">
        <v>5097</v>
      </c>
      <c r="T1375" s="51">
        <v>31</v>
      </c>
      <c r="U1375" s="3" t="s">
        <v>5415</v>
      </c>
      <c r="V1375" s="41" t="str">
        <f>HYPERLINK("http://ictvonline.org/taxonomy/p/taxonomy-history?taxnode_id=20181176","ICTVonline=20181176")</f>
        <v>ICTVonline=20181176</v>
      </c>
    </row>
    <row r="1376" spans="1:22">
      <c r="A1376" s="3">
        <v>1375</v>
      </c>
      <c r="J1376" s="1" t="s">
        <v>1338</v>
      </c>
      <c r="L1376" s="1" t="s">
        <v>903</v>
      </c>
      <c r="N1376" s="1" t="s">
        <v>4246</v>
      </c>
      <c r="P1376" s="1" t="s">
        <v>3191</v>
      </c>
      <c r="Q1376" s="3">
        <v>1</v>
      </c>
      <c r="R1376" s="22" t="s">
        <v>2764</v>
      </c>
      <c r="S1376" s="22" t="s">
        <v>5099</v>
      </c>
      <c r="T1376" s="51">
        <v>31</v>
      </c>
      <c r="U1376" s="3" t="s">
        <v>5416</v>
      </c>
      <c r="V1376" s="41" t="str">
        <f>HYPERLINK("http://ictvonline.org/taxonomy/p/taxonomy-history?taxnode_id=20181178","ICTVonline=20181178")</f>
        <v>ICTVonline=20181178</v>
      </c>
    </row>
    <row r="1377" spans="1:22">
      <c r="A1377" s="3">
        <v>1376</v>
      </c>
      <c r="J1377" s="1" t="s">
        <v>1338</v>
      </c>
      <c r="L1377" s="1" t="s">
        <v>903</v>
      </c>
      <c r="N1377" s="1" t="s">
        <v>3390</v>
      </c>
      <c r="P1377" s="1" t="s">
        <v>3391</v>
      </c>
      <c r="Q1377" s="3">
        <v>1</v>
      </c>
      <c r="R1377" s="22" t="s">
        <v>2764</v>
      </c>
      <c r="S1377" s="22" t="s">
        <v>5098</v>
      </c>
      <c r="T1377" s="51">
        <v>30</v>
      </c>
      <c r="U1377" s="3" t="s">
        <v>5216</v>
      </c>
      <c r="V1377" s="41" t="str">
        <f>HYPERLINK("http://ictvonline.org/taxonomy/p/taxonomy-history?taxnode_id=20181180","ICTVonline=20181180")</f>
        <v>ICTVonline=20181180</v>
      </c>
    </row>
    <row r="1378" spans="1:22">
      <c r="A1378" s="3">
        <v>1377</v>
      </c>
      <c r="J1378" s="1" t="s">
        <v>1338</v>
      </c>
      <c r="L1378" s="1" t="s">
        <v>903</v>
      </c>
      <c r="N1378" s="1" t="s">
        <v>4627</v>
      </c>
      <c r="P1378" s="1" t="s">
        <v>4628</v>
      </c>
      <c r="Q1378" s="3">
        <v>1</v>
      </c>
      <c r="R1378" s="22" t="s">
        <v>2764</v>
      </c>
      <c r="S1378" s="22" t="s">
        <v>5097</v>
      </c>
      <c r="T1378" s="51">
        <v>31</v>
      </c>
      <c r="U1378" s="3" t="s">
        <v>5417</v>
      </c>
      <c r="V1378" s="41" t="str">
        <f>HYPERLINK("http://ictvonline.org/taxonomy/p/taxonomy-history?taxnode_id=20181182","ICTVonline=20181182")</f>
        <v>ICTVonline=20181182</v>
      </c>
    </row>
    <row r="1379" spans="1:22">
      <c r="A1379" s="3">
        <v>1378</v>
      </c>
      <c r="J1379" s="1" t="s">
        <v>1338</v>
      </c>
      <c r="L1379" s="1" t="s">
        <v>903</v>
      </c>
      <c r="N1379" s="1" t="s">
        <v>4627</v>
      </c>
      <c r="P1379" s="1" t="s">
        <v>4629</v>
      </c>
      <c r="Q1379" s="3">
        <v>0</v>
      </c>
      <c r="R1379" s="22" t="s">
        <v>2764</v>
      </c>
      <c r="S1379" s="22" t="s">
        <v>5097</v>
      </c>
      <c r="T1379" s="51">
        <v>31</v>
      </c>
      <c r="U1379" s="3" t="s">
        <v>5417</v>
      </c>
      <c r="V1379" s="41" t="str">
        <f>HYPERLINK("http://ictvonline.org/taxonomy/p/taxonomy-history?taxnode_id=20181183","ICTVonline=20181183")</f>
        <v>ICTVonline=20181183</v>
      </c>
    </row>
    <row r="1380" spans="1:22">
      <c r="A1380" s="3">
        <v>1379</v>
      </c>
      <c r="J1380" s="1" t="s">
        <v>1338</v>
      </c>
      <c r="L1380" s="1" t="s">
        <v>903</v>
      </c>
      <c r="N1380" s="1" t="s">
        <v>5418</v>
      </c>
      <c r="P1380" s="1" t="s">
        <v>5419</v>
      </c>
      <c r="Q1380" s="3">
        <v>1</v>
      </c>
      <c r="R1380" s="22" t="s">
        <v>2764</v>
      </c>
      <c r="S1380" s="22" t="s">
        <v>5097</v>
      </c>
      <c r="T1380" s="51">
        <v>32</v>
      </c>
      <c r="U1380" s="3" t="s">
        <v>5420</v>
      </c>
      <c r="V1380" s="41" t="str">
        <f>HYPERLINK("http://ictvonline.org/taxonomy/p/taxonomy-history?taxnode_id=20185561","ICTVonline=20185561")</f>
        <v>ICTVonline=20185561</v>
      </c>
    </row>
    <row r="1381" spans="1:22">
      <c r="A1381" s="3">
        <v>1380</v>
      </c>
      <c r="J1381" s="1" t="s">
        <v>1338</v>
      </c>
      <c r="L1381" s="1" t="s">
        <v>903</v>
      </c>
      <c r="N1381" s="1" t="s">
        <v>3405</v>
      </c>
      <c r="P1381" s="1" t="s">
        <v>3406</v>
      </c>
      <c r="Q1381" s="3">
        <v>0</v>
      </c>
      <c r="R1381" s="22" t="s">
        <v>2764</v>
      </c>
      <c r="S1381" s="22" t="s">
        <v>5098</v>
      </c>
      <c r="T1381" s="51">
        <v>30</v>
      </c>
      <c r="U1381" s="3" t="s">
        <v>5216</v>
      </c>
      <c r="V1381" s="41" t="str">
        <f>HYPERLINK("http://ictvonline.org/taxonomy/p/taxonomy-history?taxnode_id=20181185","ICTVonline=20181185")</f>
        <v>ICTVonline=20181185</v>
      </c>
    </row>
    <row r="1382" spans="1:22">
      <c r="A1382" s="3">
        <v>1381</v>
      </c>
      <c r="J1382" s="1" t="s">
        <v>1338</v>
      </c>
      <c r="L1382" s="1" t="s">
        <v>903</v>
      </c>
      <c r="N1382" s="1" t="s">
        <v>3405</v>
      </c>
      <c r="P1382" s="1" t="s">
        <v>3407</v>
      </c>
      <c r="Q1382" s="3">
        <v>1</v>
      </c>
      <c r="R1382" s="22" t="s">
        <v>2764</v>
      </c>
      <c r="S1382" s="22" t="s">
        <v>5098</v>
      </c>
      <c r="T1382" s="51">
        <v>30</v>
      </c>
      <c r="U1382" s="3" t="s">
        <v>5216</v>
      </c>
      <c r="V1382" s="41" t="str">
        <f>HYPERLINK("http://ictvonline.org/taxonomy/p/taxonomy-history?taxnode_id=20181186","ICTVonline=20181186")</f>
        <v>ICTVonline=20181186</v>
      </c>
    </row>
    <row r="1383" spans="1:22">
      <c r="A1383" s="3">
        <v>1382</v>
      </c>
      <c r="J1383" s="1" t="s">
        <v>1338</v>
      </c>
      <c r="L1383" s="1" t="s">
        <v>903</v>
      </c>
      <c r="N1383" s="1" t="s">
        <v>3405</v>
      </c>
      <c r="P1383" s="1" t="s">
        <v>3408</v>
      </c>
      <c r="Q1383" s="3">
        <v>0</v>
      </c>
      <c r="R1383" s="22" t="s">
        <v>2764</v>
      </c>
      <c r="S1383" s="22" t="s">
        <v>5098</v>
      </c>
      <c r="T1383" s="51">
        <v>30</v>
      </c>
      <c r="U1383" s="3" t="s">
        <v>5216</v>
      </c>
      <c r="V1383" s="41" t="str">
        <f>HYPERLINK("http://ictvonline.org/taxonomy/p/taxonomy-history?taxnode_id=20181187","ICTVonline=20181187")</f>
        <v>ICTVonline=20181187</v>
      </c>
    </row>
    <row r="1384" spans="1:22">
      <c r="A1384" s="3">
        <v>1383</v>
      </c>
      <c r="J1384" s="1" t="s">
        <v>1338</v>
      </c>
      <c r="L1384" s="1" t="s">
        <v>903</v>
      </c>
      <c r="N1384" s="1" t="s">
        <v>3409</v>
      </c>
      <c r="P1384" s="1" t="s">
        <v>3410</v>
      </c>
      <c r="Q1384" s="3">
        <v>0</v>
      </c>
      <c r="R1384" s="22" t="s">
        <v>2764</v>
      </c>
      <c r="S1384" s="22" t="s">
        <v>5098</v>
      </c>
      <c r="T1384" s="51">
        <v>30</v>
      </c>
      <c r="U1384" s="3" t="s">
        <v>5216</v>
      </c>
      <c r="V1384" s="41" t="str">
        <f>HYPERLINK("http://ictvonline.org/taxonomy/p/taxonomy-history?taxnode_id=20181189","ICTVonline=20181189")</f>
        <v>ICTVonline=20181189</v>
      </c>
    </row>
    <row r="1385" spans="1:22">
      <c r="A1385" s="3">
        <v>1384</v>
      </c>
      <c r="J1385" s="1" t="s">
        <v>1338</v>
      </c>
      <c r="L1385" s="1" t="s">
        <v>903</v>
      </c>
      <c r="N1385" s="1" t="s">
        <v>3409</v>
      </c>
      <c r="P1385" s="1" t="s">
        <v>3411</v>
      </c>
      <c r="Q1385" s="3">
        <v>0</v>
      </c>
      <c r="R1385" s="22" t="s">
        <v>2764</v>
      </c>
      <c r="S1385" s="22" t="s">
        <v>5098</v>
      </c>
      <c r="T1385" s="51">
        <v>30</v>
      </c>
      <c r="U1385" s="3" t="s">
        <v>5216</v>
      </c>
      <c r="V1385" s="41" t="str">
        <f>HYPERLINK("http://ictvonline.org/taxonomy/p/taxonomy-history?taxnode_id=20181190","ICTVonline=20181190")</f>
        <v>ICTVonline=20181190</v>
      </c>
    </row>
    <row r="1386" spans="1:22">
      <c r="A1386" s="3">
        <v>1385</v>
      </c>
      <c r="J1386" s="1" t="s">
        <v>1338</v>
      </c>
      <c r="L1386" s="1" t="s">
        <v>903</v>
      </c>
      <c r="N1386" s="1" t="s">
        <v>3409</v>
      </c>
      <c r="P1386" s="1" t="s">
        <v>3412</v>
      </c>
      <c r="Q1386" s="3">
        <v>1</v>
      </c>
      <c r="R1386" s="22" t="s">
        <v>2764</v>
      </c>
      <c r="S1386" s="22" t="s">
        <v>5098</v>
      </c>
      <c r="T1386" s="51">
        <v>30</v>
      </c>
      <c r="U1386" s="3" t="s">
        <v>5216</v>
      </c>
      <c r="V1386" s="41" t="str">
        <f>HYPERLINK("http://ictvonline.org/taxonomy/p/taxonomy-history?taxnode_id=20181191","ICTVonline=20181191")</f>
        <v>ICTVonline=20181191</v>
      </c>
    </row>
    <row r="1387" spans="1:22">
      <c r="A1387" s="3">
        <v>1386</v>
      </c>
      <c r="J1387" s="1" t="s">
        <v>1338</v>
      </c>
      <c r="L1387" s="1" t="s">
        <v>903</v>
      </c>
      <c r="N1387" s="1" t="s">
        <v>3409</v>
      </c>
      <c r="P1387" s="1" t="s">
        <v>3413</v>
      </c>
      <c r="Q1387" s="3">
        <v>0</v>
      </c>
      <c r="R1387" s="22" t="s">
        <v>2764</v>
      </c>
      <c r="S1387" s="22" t="s">
        <v>5098</v>
      </c>
      <c r="T1387" s="51">
        <v>30</v>
      </c>
      <c r="U1387" s="3" t="s">
        <v>5216</v>
      </c>
      <c r="V1387" s="41" t="str">
        <f>HYPERLINK("http://ictvonline.org/taxonomy/p/taxonomy-history?taxnode_id=20181192","ICTVonline=20181192")</f>
        <v>ICTVonline=20181192</v>
      </c>
    </row>
    <row r="1388" spans="1:22">
      <c r="A1388" s="3">
        <v>1387</v>
      </c>
      <c r="J1388" s="1" t="s">
        <v>1338</v>
      </c>
      <c r="L1388" s="1" t="s">
        <v>903</v>
      </c>
      <c r="N1388" s="1" t="s">
        <v>3409</v>
      </c>
      <c r="P1388" s="1" t="s">
        <v>3414</v>
      </c>
      <c r="Q1388" s="3">
        <v>0</v>
      </c>
      <c r="R1388" s="22" t="s">
        <v>2764</v>
      </c>
      <c r="S1388" s="22" t="s">
        <v>5098</v>
      </c>
      <c r="T1388" s="51">
        <v>30</v>
      </c>
      <c r="U1388" s="3" t="s">
        <v>5216</v>
      </c>
      <c r="V1388" s="41" t="str">
        <f>HYPERLINK("http://ictvonline.org/taxonomy/p/taxonomy-history?taxnode_id=20181193","ICTVonline=20181193")</f>
        <v>ICTVonline=20181193</v>
      </c>
    </row>
    <row r="1389" spans="1:22">
      <c r="A1389" s="3">
        <v>1388</v>
      </c>
      <c r="J1389" s="1" t="s">
        <v>1338</v>
      </c>
      <c r="L1389" s="1" t="s">
        <v>903</v>
      </c>
      <c r="N1389" s="1" t="s">
        <v>3415</v>
      </c>
      <c r="P1389" s="1" t="s">
        <v>3416</v>
      </c>
      <c r="Q1389" s="3">
        <v>0</v>
      </c>
      <c r="R1389" s="22" t="s">
        <v>2764</v>
      </c>
      <c r="S1389" s="22" t="s">
        <v>5098</v>
      </c>
      <c r="T1389" s="51">
        <v>30</v>
      </c>
      <c r="U1389" s="3" t="s">
        <v>5216</v>
      </c>
      <c r="V1389" s="41" t="str">
        <f>HYPERLINK("http://ictvonline.org/taxonomy/p/taxonomy-history?taxnode_id=20181195","ICTVonline=20181195")</f>
        <v>ICTVonline=20181195</v>
      </c>
    </row>
    <row r="1390" spans="1:22">
      <c r="A1390" s="3">
        <v>1389</v>
      </c>
      <c r="J1390" s="1" t="s">
        <v>1338</v>
      </c>
      <c r="L1390" s="1" t="s">
        <v>903</v>
      </c>
      <c r="N1390" s="1" t="s">
        <v>3415</v>
      </c>
      <c r="P1390" s="1" t="s">
        <v>3417</v>
      </c>
      <c r="Q1390" s="3">
        <v>0</v>
      </c>
      <c r="R1390" s="22" t="s">
        <v>2764</v>
      </c>
      <c r="S1390" s="22" t="s">
        <v>5098</v>
      </c>
      <c r="T1390" s="51">
        <v>30</v>
      </c>
      <c r="U1390" s="3" t="s">
        <v>5216</v>
      </c>
      <c r="V1390" s="41" t="str">
        <f>HYPERLINK("http://ictvonline.org/taxonomy/p/taxonomy-history?taxnode_id=20181196","ICTVonline=20181196")</f>
        <v>ICTVonline=20181196</v>
      </c>
    </row>
    <row r="1391" spans="1:22">
      <c r="A1391" s="3">
        <v>1390</v>
      </c>
      <c r="J1391" s="1" t="s">
        <v>1338</v>
      </c>
      <c r="L1391" s="1" t="s">
        <v>903</v>
      </c>
      <c r="N1391" s="1" t="s">
        <v>3415</v>
      </c>
      <c r="P1391" s="1" t="s">
        <v>3418</v>
      </c>
      <c r="Q1391" s="3">
        <v>0</v>
      </c>
      <c r="R1391" s="22" t="s">
        <v>2764</v>
      </c>
      <c r="S1391" s="22" t="s">
        <v>5098</v>
      </c>
      <c r="T1391" s="51">
        <v>30</v>
      </c>
      <c r="U1391" s="3" t="s">
        <v>5216</v>
      </c>
      <c r="V1391" s="41" t="str">
        <f>HYPERLINK("http://ictvonline.org/taxonomy/p/taxonomy-history?taxnode_id=20181197","ICTVonline=20181197")</f>
        <v>ICTVonline=20181197</v>
      </c>
    </row>
    <row r="1392" spans="1:22">
      <c r="A1392" s="3">
        <v>1391</v>
      </c>
      <c r="J1392" s="1" t="s">
        <v>1338</v>
      </c>
      <c r="L1392" s="1" t="s">
        <v>903</v>
      </c>
      <c r="N1392" s="1" t="s">
        <v>3415</v>
      </c>
      <c r="P1392" s="1" t="s">
        <v>3419</v>
      </c>
      <c r="Q1392" s="3">
        <v>0</v>
      </c>
      <c r="R1392" s="22" t="s">
        <v>2764</v>
      </c>
      <c r="S1392" s="22" t="s">
        <v>5098</v>
      </c>
      <c r="T1392" s="51">
        <v>30</v>
      </c>
      <c r="U1392" s="3" t="s">
        <v>5216</v>
      </c>
      <c r="V1392" s="41" t="str">
        <f>HYPERLINK("http://ictvonline.org/taxonomy/p/taxonomy-history?taxnode_id=20181198","ICTVonline=20181198")</f>
        <v>ICTVonline=20181198</v>
      </c>
    </row>
    <row r="1393" spans="1:22">
      <c r="A1393" s="3">
        <v>1392</v>
      </c>
      <c r="J1393" s="1" t="s">
        <v>1338</v>
      </c>
      <c r="L1393" s="1" t="s">
        <v>903</v>
      </c>
      <c r="N1393" s="1" t="s">
        <v>3415</v>
      </c>
      <c r="P1393" s="1" t="s">
        <v>3420</v>
      </c>
      <c r="Q1393" s="3">
        <v>0</v>
      </c>
      <c r="R1393" s="22" t="s">
        <v>2764</v>
      </c>
      <c r="S1393" s="22" t="s">
        <v>5098</v>
      </c>
      <c r="T1393" s="51">
        <v>30</v>
      </c>
      <c r="U1393" s="3" t="s">
        <v>5216</v>
      </c>
      <c r="V1393" s="41" t="str">
        <f>HYPERLINK("http://ictvonline.org/taxonomy/p/taxonomy-history?taxnode_id=20181199","ICTVonline=20181199")</f>
        <v>ICTVonline=20181199</v>
      </c>
    </row>
    <row r="1394" spans="1:22">
      <c r="A1394" s="3">
        <v>1393</v>
      </c>
      <c r="J1394" s="1" t="s">
        <v>1338</v>
      </c>
      <c r="L1394" s="1" t="s">
        <v>903</v>
      </c>
      <c r="N1394" s="1" t="s">
        <v>3415</v>
      </c>
      <c r="P1394" s="1" t="s">
        <v>3421</v>
      </c>
      <c r="Q1394" s="3">
        <v>0</v>
      </c>
      <c r="R1394" s="22" t="s">
        <v>2764</v>
      </c>
      <c r="S1394" s="22" t="s">
        <v>5098</v>
      </c>
      <c r="T1394" s="51">
        <v>30</v>
      </c>
      <c r="U1394" s="3" t="s">
        <v>5216</v>
      </c>
      <c r="V1394" s="41" t="str">
        <f>HYPERLINK("http://ictvonline.org/taxonomy/p/taxonomy-history?taxnode_id=20181200","ICTVonline=20181200")</f>
        <v>ICTVonline=20181200</v>
      </c>
    </row>
    <row r="1395" spans="1:22">
      <c r="A1395" s="3">
        <v>1394</v>
      </c>
      <c r="J1395" s="1" t="s">
        <v>1338</v>
      </c>
      <c r="L1395" s="1" t="s">
        <v>903</v>
      </c>
      <c r="N1395" s="1" t="s">
        <v>3415</v>
      </c>
      <c r="P1395" s="1" t="s">
        <v>3422</v>
      </c>
      <c r="Q1395" s="3">
        <v>0</v>
      </c>
      <c r="R1395" s="22" t="s">
        <v>2764</v>
      </c>
      <c r="S1395" s="22" t="s">
        <v>5098</v>
      </c>
      <c r="T1395" s="51">
        <v>30</v>
      </c>
      <c r="U1395" s="3" t="s">
        <v>5216</v>
      </c>
      <c r="V1395" s="41" t="str">
        <f>HYPERLINK("http://ictvonline.org/taxonomy/p/taxonomy-history?taxnode_id=20181201","ICTVonline=20181201")</f>
        <v>ICTVonline=20181201</v>
      </c>
    </row>
    <row r="1396" spans="1:22">
      <c r="A1396" s="3">
        <v>1395</v>
      </c>
      <c r="J1396" s="1" t="s">
        <v>1338</v>
      </c>
      <c r="L1396" s="1" t="s">
        <v>903</v>
      </c>
      <c r="N1396" s="1" t="s">
        <v>3415</v>
      </c>
      <c r="P1396" s="1" t="s">
        <v>3423</v>
      </c>
      <c r="Q1396" s="3">
        <v>0</v>
      </c>
      <c r="R1396" s="22" t="s">
        <v>2764</v>
      </c>
      <c r="S1396" s="22" t="s">
        <v>5098</v>
      </c>
      <c r="T1396" s="51">
        <v>30</v>
      </c>
      <c r="U1396" s="3" t="s">
        <v>5216</v>
      </c>
      <c r="V1396" s="41" t="str">
        <f>HYPERLINK("http://ictvonline.org/taxonomy/p/taxonomy-history?taxnode_id=20181202","ICTVonline=20181202")</f>
        <v>ICTVonline=20181202</v>
      </c>
    </row>
    <row r="1397" spans="1:22">
      <c r="A1397" s="3">
        <v>1396</v>
      </c>
      <c r="J1397" s="1" t="s">
        <v>1338</v>
      </c>
      <c r="L1397" s="1" t="s">
        <v>903</v>
      </c>
      <c r="N1397" s="1" t="s">
        <v>3415</v>
      </c>
      <c r="P1397" s="1" t="s">
        <v>3424</v>
      </c>
      <c r="Q1397" s="3">
        <v>0</v>
      </c>
      <c r="R1397" s="22" t="s">
        <v>2764</v>
      </c>
      <c r="S1397" s="22" t="s">
        <v>5098</v>
      </c>
      <c r="T1397" s="51">
        <v>30</v>
      </c>
      <c r="U1397" s="3" t="s">
        <v>5216</v>
      </c>
      <c r="V1397" s="41" t="str">
        <f>HYPERLINK("http://ictvonline.org/taxonomy/p/taxonomy-history?taxnode_id=20181203","ICTVonline=20181203")</f>
        <v>ICTVonline=20181203</v>
      </c>
    </row>
    <row r="1398" spans="1:22">
      <c r="A1398" s="3">
        <v>1397</v>
      </c>
      <c r="J1398" s="1" t="s">
        <v>1338</v>
      </c>
      <c r="L1398" s="1" t="s">
        <v>903</v>
      </c>
      <c r="N1398" s="1" t="s">
        <v>3415</v>
      </c>
      <c r="P1398" s="1" t="s">
        <v>3425</v>
      </c>
      <c r="Q1398" s="3">
        <v>0</v>
      </c>
      <c r="R1398" s="22" t="s">
        <v>2764</v>
      </c>
      <c r="S1398" s="22" t="s">
        <v>5098</v>
      </c>
      <c r="T1398" s="51">
        <v>30</v>
      </c>
      <c r="U1398" s="3" t="s">
        <v>5216</v>
      </c>
      <c r="V1398" s="41" t="str">
        <f>HYPERLINK("http://ictvonline.org/taxonomy/p/taxonomy-history?taxnode_id=20181204","ICTVonline=20181204")</f>
        <v>ICTVonline=20181204</v>
      </c>
    </row>
    <row r="1399" spans="1:22">
      <c r="A1399" s="3">
        <v>1398</v>
      </c>
      <c r="J1399" s="1" t="s">
        <v>1338</v>
      </c>
      <c r="L1399" s="1" t="s">
        <v>903</v>
      </c>
      <c r="N1399" s="1" t="s">
        <v>3415</v>
      </c>
      <c r="P1399" s="1" t="s">
        <v>3426</v>
      </c>
      <c r="Q1399" s="3">
        <v>0</v>
      </c>
      <c r="R1399" s="22" t="s">
        <v>2764</v>
      </c>
      <c r="S1399" s="22" t="s">
        <v>5098</v>
      </c>
      <c r="T1399" s="51">
        <v>30</v>
      </c>
      <c r="U1399" s="3" t="s">
        <v>5216</v>
      </c>
      <c r="V1399" s="41" t="str">
        <f>HYPERLINK("http://ictvonline.org/taxonomy/p/taxonomy-history?taxnode_id=20181205","ICTVonline=20181205")</f>
        <v>ICTVonline=20181205</v>
      </c>
    </row>
    <row r="1400" spans="1:22">
      <c r="A1400" s="3">
        <v>1399</v>
      </c>
      <c r="J1400" s="1" t="s">
        <v>1338</v>
      </c>
      <c r="L1400" s="1" t="s">
        <v>903</v>
      </c>
      <c r="N1400" s="1" t="s">
        <v>3415</v>
      </c>
      <c r="P1400" s="1" t="s">
        <v>3427</v>
      </c>
      <c r="Q1400" s="3">
        <v>0</v>
      </c>
      <c r="R1400" s="22" t="s">
        <v>2764</v>
      </c>
      <c r="S1400" s="22" t="s">
        <v>5098</v>
      </c>
      <c r="T1400" s="51">
        <v>30</v>
      </c>
      <c r="U1400" s="3" t="s">
        <v>5216</v>
      </c>
      <c r="V1400" s="41" t="str">
        <f>HYPERLINK("http://ictvonline.org/taxonomy/p/taxonomy-history?taxnode_id=20181206","ICTVonline=20181206")</f>
        <v>ICTVonline=20181206</v>
      </c>
    </row>
    <row r="1401" spans="1:22">
      <c r="A1401" s="3">
        <v>1400</v>
      </c>
      <c r="J1401" s="1" t="s">
        <v>1338</v>
      </c>
      <c r="L1401" s="1" t="s">
        <v>903</v>
      </c>
      <c r="N1401" s="1" t="s">
        <v>3415</v>
      </c>
      <c r="P1401" s="1" t="s">
        <v>3428</v>
      </c>
      <c r="Q1401" s="3">
        <v>0</v>
      </c>
      <c r="R1401" s="22" t="s">
        <v>2764</v>
      </c>
      <c r="S1401" s="22" t="s">
        <v>5098</v>
      </c>
      <c r="T1401" s="51">
        <v>30</v>
      </c>
      <c r="U1401" s="3" t="s">
        <v>5216</v>
      </c>
      <c r="V1401" s="41" t="str">
        <f>HYPERLINK("http://ictvonline.org/taxonomy/p/taxonomy-history?taxnode_id=20181207","ICTVonline=20181207")</f>
        <v>ICTVonline=20181207</v>
      </c>
    </row>
    <row r="1402" spans="1:22">
      <c r="A1402" s="3">
        <v>1401</v>
      </c>
      <c r="J1402" s="1" t="s">
        <v>1338</v>
      </c>
      <c r="L1402" s="1" t="s">
        <v>903</v>
      </c>
      <c r="N1402" s="1" t="s">
        <v>3415</v>
      </c>
      <c r="P1402" s="1" t="s">
        <v>3429</v>
      </c>
      <c r="Q1402" s="3">
        <v>0</v>
      </c>
      <c r="R1402" s="22" t="s">
        <v>2764</v>
      </c>
      <c r="S1402" s="22" t="s">
        <v>5098</v>
      </c>
      <c r="T1402" s="51">
        <v>30</v>
      </c>
      <c r="U1402" s="3" t="s">
        <v>5216</v>
      </c>
      <c r="V1402" s="41" t="str">
        <f>HYPERLINK("http://ictvonline.org/taxonomy/p/taxonomy-history?taxnode_id=20181208","ICTVonline=20181208")</f>
        <v>ICTVonline=20181208</v>
      </c>
    </row>
    <row r="1403" spans="1:22">
      <c r="A1403" s="3">
        <v>1402</v>
      </c>
      <c r="J1403" s="1" t="s">
        <v>1338</v>
      </c>
      <c r="L1403" s="1" t="s">
        <v>903</v>
      </c>
      <c r="N1403" s="1" t="s">
        <v>3415</v>
      </c>
      <c r="P1403" s="1" t="s">
        <v>3430</v>
      </c>
      <c r="Q1403" s="3">
        <v>0</v>
      </c>
      <c r="R1403" s="22" t="s">
        <v>2764</v>
      </c>
      <c r="S1403" s="22" t="s">
        <v>5098</v>
      </c>
      <c r="T1403" s="51">
        <v>30</v>
      </c>
      <c r="U1403" s="3" t="s">
        <v>5216</v>
      </c>
      <c r="V1403" s="41" t="str">
        <f>HYPERLINK("http://ictvonline.org/taxonomy/p/taxonomy-history?taxnode_id=20181209","ICTVonline=20181209")</f>
        <v>ICTVonline=20181209</v>
      </c>
    </row>
    <row r="1404" spans="1:22">
      <c r="A1404" s="3">
        <v>1403</v>
      </c>
      <c r="J1404" s="1" t="s">
        <v>1338</v>
      </c>
      <c r="L1404" s="1" t="s">
        <v>903</v>
      </c>
      <c r="N1404" s="1" t="s">
        <v>3415</v>
      </c>
      <c r="P1404" s="1" t="s">
        <v>3431</v>
      </c>
      <c r="Q1404" s="3">
        <v>0</v>
      </c>
      <c r="R1404" s="22" t="s">
        <v>2764</v>
      </c>
      <c r="S1404" s="22" t="s">
        <v>5098</v>
      </c>
      <c r="T1404" s="51">
        <v>30</v>
      </c>
      <c r="U1404" s="3" t="s">
        <v>5216</v>
      </c>
      <c r="V1404" s="41" t="str">
        <f>HYPERLINK("http://ictvonline.org/taxonomy/p/taxonomy-history?taxnode_id=20181210","ICTVonline=20181210")</f>
        <v>ICTVonline=20181210</v>
      </c>
    </row>
    <row r="1405" spans="1:22">
      <c r="A1405" s="3">
        <v>1404</v>
      </c>
      <c r="J1405" s="1" t="s">
        <v>1338</v>
      </c>
      <c r="L1405" s="1" t="s">
        <v>903</v>
      </c>
      <c r="N1405" s="1" t="s">
        <v>3415</v>
      </c>
      <c r="P1405" s="1" t="s">
        <v>3432</v>
      </c>
      <c r="Q1405" s="3">
        <v>0</v>
      </c>
      <c r="R1405" s="22" t="s">
        <v>2764</v>
      </c>
      <c r="S1405" s="22" t="s">
        <v>5098</v>
      </c>
      <c r="T1405" s="51">
        <v>30</v>
      </c>
      <c r="U1405" s="3" t="s">
        <v>5216</v>
      </c>
      <c r="V1405" s="41" t="str">
        <f>HYPERLINK("http://ictvonline.org/taxonomy/p/taxonomy-history?taxnode_id=20181211","ICTVonline=20181211")</f>
        <v>ICTVonline=20181211</v>
      </c>
    </row>
    <row r="1406" spans="1:22">
      <c r="A1406" s="3">
        <v>1405</v>
      </c>
      <c r="J1406" s="1" t="s">
        <v>1338</v>
      </c>
      <c r="L1406" s="1" t="s">
        <v>903</v>
      </c>
      <c r="N1406" s="1" t="s">
        <v>3415</v>
      </c>
      <c r="P1406" s="1" t="s">
        <v>3433</v>
      </c>
      <c r="Q1406" s="3">
        <v>0</v>
      </c>
      <c r="R1406" s="22" t="s">
        <v>2764</v>
      </c>
      <c r="S1406" s="22" t="s">
        <v>5098</v>
      </c>
      <c r="T1406" s="51">
        <v>30</v>
      </c>
      <c r="U1406" s="3" t="s">
        <v>5216</v>
      </c>
      <c r="V1406" s="41" t="str">
        <f>HYPERLINK("http://ictvonline.org/taxonomy/p/taxonomy-history?taxnode_id=20181212","ICTVonline=20181212")</f>
        <v>ICTVonline=20181212</v>
      </c>
    </row>
    <row r="1407" spans="1:22">
      <c r="A1407" s="3">
        <v>1406</v>
      </c>
      <c r="J1407" s="1" t="s">
        <v>1338</v>
      </c>
      <c r="L1407" s="1" t="s">
        <v>903</v>
      </c>
      <c r="N1407" s="1" t="s">
        <v>3415</v>
      </c>
      <c r="P1407" s="1" t="s">
        <v>3434</v>
      </c>
      <c r="Q1407" s="3">
        <v>0</v>
      </c>
      <c r="R1407" s="22" t="s">
        <v>2764</v>
      </c>
      <c r="S1407" s="22" t="s">
        <v>5098</v>
      </c>
      <c r="T1407" s="51">
        <v>30</v>
      </c>
      <c r="U1407" s="3" t="s">
        <v>5216</v>
      </c>
      <c r="V1407" s="41" t="str">
        <f>HYPERLINK("http://ictvonline.org/taxonomy/p/taxonomy-history?taxnode_id=20181213","ICTVonline=20181213")</f>
        <v>ICTVonline=20181213</v>
      </c>
    </row>
    <row r="1408" spans="1:22">
      <c r="A1408" s="3">
        <v>1407</v>
      </c>
      <c r="J1408" s="1" t="s">
        <v>1338</v>
      </c>
      <c r="L1408" s="1" t="s">
        <v>903</v>
      </c>
      <c r="N1408" s="1" t="s">
        <v>3415</v>
      </c>
      <c r="P1408" s="1" t="s">
        <v>3435</v>
      </c>
      <c r="Q1408" s="3">
        <v>0</v>
      </c>
      <c r="R1408" s="22" t="s">
        <v>2764</v>
      </c>
      <c r="S1408" s="22" t="s">
        <v>5098</v>
      </c>
      <c r="T1408" s="51">
        <v>30</v>
      </c>
      <c r="U1408" s="3" t="s">
        <v>5216</v>
      </c>
      <c r="V1408" s="41" t="str">
        <f>HYPERLINK("http://ictvonline.org/taxonomy/p/taxonomy-history?taxnode_id=20181214","ICTVonline=20181214")</f>
        <v>ICTVonline=20181214</v>
      </c>
    </row>
    <row r="1409" spans="1:22">
      <c r="A1409" s="3">
        <v>1408</v>
      </c>
      <c r="J1409" s="1" t="s">
        <v>1338</v>
      </c>
      <c r="L1409" s="1" t="s">
        <v>903</v>
      </c>
      <c r="N1409" s="1" t="s">
        <v>3415</v>
      </c>
      <c r="P1409" s="1" t="s">
        <v>3436</v>
      </c>
      <c r="Q1409" s="3">
        <v>0</v>
      </c>
      <c r="R1409" s="22" t="s">
        <v>2764</v>
      </c>
      <c r="S1409" s="22" t="s">
        <v>5098</v>
      </c>
      <c r="T1409" s="51">
        <v>30</v>
      </c>
      <c r="U1409" s="3" t="s">
        <v>5216</v>
      </c>
      <c r="V1409" s="41" t="str">
        <f>HYPERLINK("http://ictvonline.org/taxonomy/p/taxonomy-history?taxnode_id=20181215","ICTVonline=20181215")</f>
        <v>ICTVonline=20181215</v>
      </c>
    </row>
    <row r="1410" spans="1:22">
      <c r="A1410" s="3">
        <v>1409</v>
      </c>
      <c r="J1410" s="1" t="s">
        <v>1338</v>
      </c>
      <c r="L1410" s="1" t="s">
        <v>903</v>
      </c>
      <c r="N1410" s="1" t="s">
        <v>3415</v>
      </c>
      <c r="P1410" s="1" t="s">
        <v>3437</v>
      </c>
      <c r="Q1410" s="3">
        <v>1</v>
      </c>
      <c r="R1410" s="22" t="s">
        <v>2764</v>
      </c>
      <c r="S1410" s="22" t="s">
        <v>5098</v>
      </c>
      <c r="T1410" s="51">
        <v>30</v>
      </c>
      <c r="U1410" s="3" t="s">
        <v>5216</v>
      </c>
      <c r="V1410" s="41" t="str">
        <f>HYPERLINK("http://ictvonline.org/taxonomy/p/taxonomy-history?taxnode_id=20181216","ICTVonline=20181216")</f>
        <v>ICTVonline=20181216</v>
      </c>
    </row>
    <row r="1411" spans="1:22">
      <c r="A1411" s="3">
        <v>1410</v>
      </c>
      <c r="J1411" s="1" t="s">
        <v>1338</v>
      </c>
      <c r="L1411" s="1" t="s">
        <v>903</v>
      </c>
      <c r="N1411" s="1" t="s">
        <v>3415</v>
      </c>
      <c r="P1411" s="1" t="s">
        <v>3438</v>
      </c>
      <c r="Q1411" s="3">
        <v>0</v>
      </c>
      <c r="R1411" s="22" t="s">
        <v>2764</v>
      </c>
      <c r="S1411" s="22" t="s">
        <v>5098</v>
      </c>
      <c r="T1411" s="51">
        <v>30</v>
      </c>
      <c r="U1411" s="3" t="s">
        <v>5216</v>
      </c>
      <c r="V1411" s="41" t="str">
        <f>HYPERLINK("http://ictvonline.org/taxonomy/p/taxonomy-history?taxnode_id=20181217","ICTVonline=20181217")</f>
        <v>ICTVonline=20181217</v>
      </c>
    </row>
    <row r="1412" spans="1:22">
      <c r="A1412" s="3">
        <v>1411</v>
      </c>
      <c r="J1412" s="1" t="s">
        <v>1338</v>
      </c>
      <c r="L1412" s="1" t="s">
        <v>903</v>
      </c>
      <c r="N1412" s="1" t="s">
        <v>3415</v>
      </c>
      <c r="P1412" s="1" t="s">
        <v>3439</v>
      </c>
      <c r="Q1412" s="3">
        <v>0</v>
      </c>
      <c r="R1412" s="22" t="s">
        <v>2764</v>
      </c>
      <c r="S1412" s="22" t="s">
        <v>5098</v>
      </c>
      <c r="T1412" s="51">
        <v>30</v>
      </c>
      <c r="U1412" s="3" t="s">
        <v>5216</v>
      </c>
      <c r="V1412" s="41" t="str">
        <f>HYPERLINK("http://ictvonline.org/taxonomy/p/taxonomy-history?taxnode_id=20181218","ICTVonline=20181218")</f>
        <v>ICTVonline=20181218</v>
      </c>
    </row>
    <row r="1413" spans="1:22">
      <c r="A1413" s="3">
        <v>1412</v>
      </c>
      <c r="J1413" s="1" t="s">
        <v>1338</v>
      </c>
      <c r="L1413" s="1" t="s">
        <v>903</v>
      </c>
      <c r="N1413" s="1" t="s">
        <v>3415</v>
      </c>
      <c r="P1413" s="1" t="s">
        <v>3440</v>
      </c>
      <c r="Q1413" s="3">
        <v>0</v>
      </c>
      <c r="R1413" s="22" t="s">
        <v>2764</v>
      </c>
      <c r="S1413" s="22" t="s">
        <v>5098</v>
      </c>
      <c r="T1413" s="51">
        <v>30</v>
      </c>
      <c r="U1413" s="3" t="s">
        <v>5216</v>
      </c>
      <c r="V1413" s="41" t="str">
        <f>HYPERLINK("http://ictvonline.org/taxonomy/p/taxonomy-history?taxnode_id=20181219","ICTVonline=20181219")</f>
        <v>ICTVonline=20181219</v>
      </c>
    </row>
    <row r="1414" spans="1:22">
      <c r="A1414" s="3">
        <v>1413</v>
      </c>
      <c r="J1414" s="1" t="s">
        <v>1338</v>
      </c>
      <c r="L1414" s="1" t="s">
        <v>903</v>
      </c>
      <c r="N1414" s="1" t="s">
        <v>3415</v>
      </c>
      <c r="P1414" s="1" t="s">
        <v>3441</v>
      </c>
      <c r="Q1414" s="3">
        <v>0</v>
      </c>
      <c r="R1414" s="22" t="s">
        <v>2764</v>
      </c>
      <c r="S1414" s="22" t="s">
        <v>5098</v>
      </c>
      <c r="T1414" s="51">
        <v>30</v>
      </c>
      <c r="U1414" s="3" t="s">
        <v>5216</v>
      </c>
      <c r="V1414" s="41" t="str">
        <f>HYPERLINK("http://ictvonline.org/taxonomy/p/taxonomy-history?taxnode_id=20181220","ICTVonline=20181220")</f>
        <v>ICTVonline=20181220</v>
      </c>
    </row>
    <row r="1415" spans="1:22">
      <c r="A1415" s="3">
        <v>1414</v>
      </c>
      <c r="J1415" s="1" t="s">
        <v>1338</v>
      </c>
      <c r="L1415" s="1" t="s">
        <v>903</v>
      </c>
      <c r="N1415" s="1" t="s">
        <v>3415</v>
      </c>
      <c r="P1415" s="1" t="s">
        <v>3442</v>
      </c>
      <c r="Q1415" s="3">
        <v>0</v>
      </c>
      <c r="R1415" s="22" t="s">
        <v>2764</v>
      </c>
      <c r="S1415" s="22" t="s">
        <v>5098</v>
      </c>
      <c r="T1415" s="51">
        <v>30</v>
      </c>
      <c r="U1415" s="3" t="s">
        <v>5216</v>
      </c>
      <c r="V1415" s="41" t="str">
        <f>HYPERLINK("http://ictvonline.org/taxonomy/p/taxonomy-history?taxnode_id=20181221","ICTVonline=20181221")</f>
        <v>ICTVonline=20181221</v>
      </c>
    </row>
    <row r="1416" spans="1:22">
      <c r="A1416" s="3">
        <v>1415</v>
      </c>
      <c r="J1416" s="1" t="s">
        <v>1338</v>
      </c>
      <c r="L1416" s="1" t="s">
        <v>903</v>
      </c>
      <c r="N1416" s="1" t="s">
        <v>3415</v>
      </c>
      <c r="P1416" s="1" t="s">
        <v>3443</v>
      </c>
      <c r="Q1416" s="3">
        <v>0</v>
      </c>
      <c r="R1416" s="22" t="s">
        <v>2764</v>
      </c>
      <c r="S1416" s="22" t="s">
        <v>5098</v>
      </c>
      <c r="T1416" s="51">
        <v>30</v>
      </c>
      <c r="U1416" s="3" t="s">
        <v>5216</v>
      </c>
      <c r="V1416" s="41" t="str">
        <f>HYPERLINK("http://ictvonline.org/taxonomy/p/taxonomy-history?taxnode_id=20181222","ICTVonline=20181222")</f>
        <v>ICTVonline=20181222</v>
      </c>
    </row>
    <row r="1417" spans="1:22">
      <c r="A1417" s="3">
        <v>1416</v>
      </c>
      <c r="J1417" s="1" t="s">
        <v>1338</v>
      </c>
      <c r="L1417" s="1" t="s">
        <v>903</v>
      </c>
      <c r="N1417" s="1" t="s">
        <v>3415</v>
      </c>
      <c r="P1417" s="1" t="s">
        <v>3444</v>
      </c>
      <c r="Q1417" s="3">
        <v>0</v>
      </c>
      <c r="R1417" s="22" t="s">
        <v>2764</v>
      </c>
      <c r="S1417" s="22" t="s">
        <v>5098</v>
      </c>
      <c r="T1417" s="51">
        <v>30</v>
      </c>
      <c r="U1417" s="3" t="s">
        <v>5216</v>
      </c>
      <c r="V1417" s="41" t="str">
        <f>HYPERLINK("http://ictvonline.org/taxonomy/p/taxonomy-history?taxnode_id=20181223","ICTVonline=20181223")</f>
        <v>ICTVonline=20181223</v>
      </c>
    </row>
    <row r="1418" spans="1:22">
      <c r="A1418" s="3">
        <v>1417</v>
      </c>
      <c r="J1418" s="1" t="s">
        <v>1338</v>
      </c>
      <c r="L1418" s="1" t="s">
        <v>903</v>
      </c>
      <c r="N1418" s="1" t="s">
        <v>3415</v>
      </c>
      <c r="P1418" s="1" t="s">
        <v>3445</v>
      </c>
      <c r="Q1418" s="3">
        <v>0</v>
      </c>
      <c r="R1418" s="22" t="s">
        <v>2764</v>
      </c>
      <c r="S1418" s="22" t="s">
        <v>5098</v>
      </c>
      <c r="T1418" s="51">
        <v>30</v>
      </c>
      <c r="U1418" s="3" t="s">
        <v>5216</v>
      </c>
      <c r="V1418" s="41" t="str">
        <f>HYPERLINK("http://ictvonline.org/taxonomy/p/taxonomy-history?taxnode_id=20181224","ICTVonline=20181224")</f>
        <v>ICTVonline=20181224</v>
      </c>
    </row>
    <row r="1419" spans="1:22">
      <c r="A1419" s="3">
        <v>1418</v>
      </c>
      <c r="J1419" s="1" t="s">
        <v>1338</v>
      </c>
      <c r="L1419" s="1" t="s">
        <v>903</v>
      </c>
      <c r="N1419" s="1" t="s">
        <v>3415</v>
      </c>
      <c r="P1419" s="1" t="s">
        <v>3446</v>
      </c>
      <c r="Q1419" s="3">
        <v>0</v>
      </c>
      <c r="R1419" s="22" t="s">
        <v>2764</v>
      </c>
      <c r="S1419" s="22" t="s">
        <v>5098</v>
      </c>
      <c r="T1419" s="51">
        <v>30</v>
      </c>
      <c r="U1419" s="3" t="s">
        <v>5216</v>
      </c>
      <c r="V1419" s="41" t="str">
        <f>HYPERLINK("http://ictvonline.org/taxonomy/p/taxonomy-history?taxnode_id=20181225","ICTVonline=20181225")</f>
        <v>ICTVonline=20181225</v>
      </c>
    </row>
    <row r="1420" spans="1:22">
      <c r="A1420" s="3">
        <v>1419</v>
      </c>
      <c r="J1420" s="1" t="s">
        <v>1338</v>
      </c>
      <c r="L1420" s="1" t="s">
        <v>903</v>
      </c>
      <c r="N1420" s="1" t="s">
        <v>3447</v>
      </c>
      <c r="P1420" s="1" t="s">
        <v>3448</v>
      </c>
      <c r="Q1420" s="3">
        <v>1</v>
      </c>
      <c r="R1420" s="22" t="s">
        <v>2764</v>
      </c>
      <c r="S1420" s="22" t="s">
        <v>5098</v>
      </c>
      <c r="T1420" s="51">
        <v>30</v>
      </c>
      <c r="U1420" s="3" t="s">
        <v>5216</v>
      </c>
      <c r="V1420" s="41" t="str">
        <f>HYPERLINK("http://ictvonline.org/taxonomy/p/taxonomy-history?taxnode_id=20181227","ICTVonline=20181227")</f>
        <v>ICTVonline=20181227</v>
      </c>
    </row>
    <row r="1421" spans="1:22">
      <c r="A1421" s="3">
        <v>1420</v>
      </c>
      <c r="J1421" s="1" t="s">
        <v>1338</v>
      </c>
      <c r="L1421" s="1" t="s">
        <v>903</v>
      </c>
      <c r="N1421" s="1" t="s">
        <v>3447</v>
      </c>
      <c r="P1421" s="1" t="s">
        <v>3449</v>
      </c>
      <c r="Q1421" s="3">
        <v>0</v>
      </c>
      <c r="R1421" s="22" t="s">
        <v>2764</v>
      </c>
      <c r="S1421" s="22" t="s">
        <v>5098</v>
      </c>
      <c r="T1421" s="51">
        <v>30</v>
      </c>
      <c r="U1421" s="3" t="s">
        <v>5216</v>
      </c>
      <c r="V1421" s="41" t="str">
        <f>HYPERLINK("http://ictvonline.org/taxonomy/p/taxonomy-history?taxnode_id=20181228","ICTVonline=20181228")</f>
        <v>ICTVonline=20181228</v>
      </c>
    </row>
    <row r="1422" spans="1:22">
      <c r="A1422" s="3">
        <v>1421</v>
      </c>
      <c r="J1422" s="1" t="s">
        <v>1338</v>
      </c>
      <c r="L1422" s="1" t="s">
        <v>903</v>
      </c>
      <c r="N1422" s="1" t="s">
        <v>3447</v>
      </c>
      <c r="P1422" s="1" t="s">
        <v>3450</v>
      </c>
      <c r="Q1422" s="3">
        <v>0</v>
      </c>
      <c r="R1422" s="22" t="s">
        <v>2764</v>
      </c>
      <c r="S1422" s="22" t="s">
        <v>5098</v>
      </c>
      <c r="T1422" s="51">
        <v>30</v>
      </c>
      <c r="U1422" s="3" t="s">
        <v>5216</v>
      </c>
      <c r="V1422" s="41" t="str">
        <f>HYPERLINK("http://ictvonline.org/taxonomy/p/taxonomy-history?taxnode_id=20181229","ICTVonline=20181229")</f>
        <v>ICTVonline=20181229</v>
      </c>
    </row>
    <row r="1423" spans="1:22">
      <c r="A1423" s="3">
        <v>1422</v>
      </c>
      <c r="J1423" s="1" t="s">
        <v>1338</v>
      </c>
      <c r="L1423" s="1" t="s">
        <v>903</v>
      </c>
      <c r="N1423" s="1" t="s">
        <v>3451</v>
      </c>
      <c r="P1423" s="1" t="s">
        <v>3452</v>
      </c>
      <c r="Q1423" s="3">
        <v>0</v>
      </c>
      <c r="R1423" s="22" t="s">
        <v>2764</v>
      </c>
      <c r="S1423" s="22" t="s">
        <v>5098</v>
      </c>
      <c r="T1423" s="51">
        <v>30</v>
      </c>
      <c r="U1423" s="3" t="s">
        <v>5216</v>
      </c>
      <c r="V1423" s="41" t="str">
        <f>HYPERLINK("http://ictvonline.org/taxonomy/p/taxonomy-history?taxnode_id=20181231","ICTVonline=20181231")</f>
        <v>ICTVonline=20181231</v>
      </c>
    </row>
    <row r="1424" spans="1:22">
      <c r="A1424" s="3">
        <v>1423</v>
      </c>
      <c r="J1424" s="1" t="s">
        <v>1338</v>
      </c>
      <c r="L1424" s="1" t="s">
        <v>903</v>
      </c>
      <c r="N1424" s="1" t="s">
        <v>3451</v>
      </c>
      <c r="P1424" s="1" t="s">
        <v>3453</v>
      </c>
      <c r="Q1424" s="3">
        <v>1</v>
      </c>
      <c r="R1424" s="22" t="s">
        <v>2764</v>
      </c>
      <c r="S1424" s="22" t="s">
        <v>5098</v>
      </c>
      <c r="T1424" s="51">
        <v>30</v>
      </c>
      <c r="U1424" s="3" t="s">
        <v>5216</v>
      </c>
      <c r="V1424" s="41" t="str">
        <f>HYPERLINK("http://ictvonline.org/taxonomy/p/taxonomy-history?taxnode_id=20181232","ICTVonline=20181232")</f>
        <v>ICTVonline=20181232</v>
      </c>
    </row>
    <row r="1425" spans="1:22">
      <c r="A1425" s="3">
        <v>1424</v>
      </c>
      <c r="J1425" s="1" t="s">
        <v>1338</v>
      </c>
      <c r="L1425" s="1" t="s">
        <v>903</v>
      </c>
      <c r="N1425" s="1" t="s">
        <v>3451</v>
      </c>
      <c r="P1425" s="1" t="s">
        <v>3454</v>
      </c>
      <c r="Q1425" s="3">
        <v>0</v>
      </c>
      <c r="R1425" s="22" t="s">
        <v>2764</v>
      </c>
      <c r="S1425" s="22" t="s">
        <v>5098</v>
      </c>
      <c r="T1425" s="51">
        <v>30</v>
      </c>
      <c r="U1425" s="3" t="s">
        <v>5216</v>
      </c>
      <c r="V1425" s="41" t="str">
        <f>HYPERLINK("http://ictvonline.org/taxonomy/p/taxonomy-history?taxnode_id=20181233","ICTVonline=20181233")</f>
        <v>ICTVonline=20181233</v>
      </c>
    </row>
    <row r="1426" spans="1:22">
      <c r="A1426" s="3">
        <v>1425</v>
      </c>
      <c r="J1426" s="1" t="s">
        <v>1338</v>
      </c>
      <c r="L1426" s="1" t="s">
        <v>903</v>
      </c>
      <c r="N1426" s="1" t="s">
        <v>4630</v>
      </c>
      <c r="P1426" s="1" t="s">
        <v>4631</v>
      </c>
      <c r="Q1426" s="3">
        <v>1</v>
      </c>
      <c r="R1426" s="22" t="s">
        <v>2764</v>
      </c>
      <c r="S1426" s="22" t="s">
        <v>5097</v>
      </c>
      <c r="T1426" s="51">
        <v>31</v>
      </c>
      <c r="U1426" s="3" t="s">
        <v>5421</v>
      </c>
      <c r="V1426" s="41" t="str">
        <f>HYPERLINK("http://ictvonline.org/taxonomy/p/taxonomy-history?taxnode_id=20181235","ICTVonline=20181235")</f>
        <v>ICTVonline=20181235</v>
      </c>
    </row>
    <row r="1427" spans="1:22">
      <c r="A1427" s="3">
        <v>1426</v>
      </c>
      <c r="J1427" s="1" t="s">
        <v>1338</v>
      </c>
      <c r="L1427" s="1" t="s">
        <v>903</v>
      </c>
      <c r="N1427" s="1" t="s">
        <v>3455</v>
      </c>
      <c r="P1427" s="1" t="s">
        <v>3456</v>
      </c>
      <c r="Q1427" s="3">
        <v>0</v>
      </c>
      <c r="R1427" s="22" t="s">
        <v>2764</v>
      </c>
      <c r="S1427" s="22" t="s">
        <v>5097</v>
      </c>
      <c r="T1427" s="51">
        <v>30</v>
      </c>
      <c r="U1427" s="3" t="s">
        <v>5422</v>
      </c>
      <c r="V1427" s="41" t="str">
        <f>HYPERLINK("http://ictvonline.org/taxonomy/p/taxonomy-history?taxnode_id=20181237","ICTVonline=20181237")</f>
        <v>ICTVonline=20181237</v>
      </c>
    </row>
    <row r="1428" spans="1:22">
      <c r="A1428" s="3">
        <v>1427</v>
      </c>
      <c r="J1428" s="1" t="s">
        <v>1338</v>
      </c>
      <c r="L1428" s="1" t="s">
        <v>903</v>
      </c>
      <c r="N1428" s="1" t="s">
        <v>3455</v>
      </c>
      <c r="P1428" s="1" t="s">
        <v>3457</v>
      </c>
      <c r="Q1428" s="3">
        <v>1</v>
      </c>
      <c r="R1428" s="22" t="s">
        <v>2764</v>
      </c>
      <c r="S1428" s="22" t="s">
        <v>5097</v>
      </c>
      <c r="T1428" s="51">
        <v>30</v>
      </c>
      <c r="U1428" s="3" t="s">
        <v>5422</v>
      </c>
      <c r="V1428" s="41" t="str">
        <f>HYPERLINK("http://ictvonline.org/taxonomy/p/taxonomy-history?taxnode_id=20181238","ICTVonline=20181238")</f>
        <v>ICTVonline=20181238</v>
      </c>
    </row>
    <row r="1429" spans="1:22">
      <c r="A1429" s="3">
        <v>1428</v>
      </c>
      <c r="J1429" s="1" t="s">
        <v>1338</v>
      </c>
      <c r="L1429" s="1" t="s">
        <v>903</v>
      </c>
      <c r="N1429" s="1" t="s">
        <v>3458</v>
      </c>
      <c r="P1429" s="1" t="s">
        <v>3459</v>
      </c>
      <c r="Q1429" s="3">
        <v>1</v>
      </c>
      <c r="R1429" s="22" t="s">
        <v>2764</v>
      </c>
      <c r="S1429" s="22" t="s">
        <v>5098</v>
      </c>
      <c r="T1429" s="51">
        <v>30</v>
      </c>
      <c r="U1429" s="3" t="s">
        <v>5216</v>
      </c>
      <c r="V1429" s="41" t="str">
        <f>HYPERLINK("http://ictvonline.org/taxonomy/p/taxonomy-history?taxnode_id=20181240","ICTVonline=20181240")</f>
        <v>ICTVonline=20181240</v>
      </c>
    </row>
    <row r="1430" spans="1:22">
      <c r="A1430" s="3">
        <v>1429</v>
      </c>
      <c r="J1430" s="1" t="s">
        <v>1338</v>
      </c>
      <c r="L1430" s="1" t="s">
        <v>903</v>
      </c>
      <c r="N1430" s="1" t="s">
        <v>4632</v>
      </c>
      <c r="P1430" s="1" t="s">
        <v>4633</v>
      </c>
      <c r="Q1430" s="3">
        <v>1</v>
      </c>
      <c r="R1430" s="22" t="s">
        <v>2764</v>
      </c>
      <c r="S1430" s="22" t="s">
        <v>5097</v>
      </c>
      <c r="T1430" s="51">
        <v>31</v>
      </c>
      <c r="U1430" s="3" t="s">
        <v>5423</v>
      </c>
      <c r="V1430" s="41" t="str">
        <f>HYPERLINK("http://ictvonline.org/taxonomy/p/taxonomy-history?taxnode_id=20181242","ICTVonline=20181242")</f>
        <v>ICTVonline=20181242</v>
      </c>
    </row>
    <row r="1431" spans="1:22">
      <c r="A1431" s="3">
        <v>1430</v>
      </c>
      <c r="J1431" s="1" t="s">
        <v>1338</v>
      </c>
      <c r="L1431" s="1" t="s">
        <v>903</v>
      </c>
      <c r="N1431" s="1" t="s">
        <v>4632</v>
      </c>
      <c r="P1431" s="1" t="s">
        <v>4634</v>
      </c>
      <c r="Q1431" s="3">
        <v>0</v>
      </c>
      <c r="R1431" s="22" t="s">
        <v>2764</v>
      </c>
      <c r="S1431" s="22" t="s">
        <v>5097</v>
      </c>
      <c r="T1431" s="51">
        <v>31</v>
      </c>
      <c r="U1431" s="3" t="s">
        <v>5423</v>
      </c>
      <c r="V1431" s="41" t="str">
        <f>HYPERLINK("http://ictvonline.org/taxonomy/p/taxonomy-history?taxnode_id=20181243","ICTVonline=20181243")</f>
        <v>ICTVonline=20181243</v>
      </c>
    </row>
    <row r="1432" spans="1:22">
      <c r="A1432" s="3">
        <v>1431</v>
      </c>
      <c r="J1432" s="1" t="s">
        <v>1338</v>
      </c>
      <c r="L1432" s="1" t="s">
        <v>903</v>
      </c>
      <c r="N1432" s="1" t="s">
        <v>4247</v>
      </c>
      <c r="P1432" s="1" t="s">
        <v>3358</v>
      </c>
      <c r="Q1432" s="3">
        <v>1</v>
      </c>
      <c r="R1432" s="22" t="s">
        <v>2764</v>
      </c>
      <c r="S1432" s="22" t="s">
        <v>5099</v>
      </c>
      <c r="T1432" s="51">
        <v>31</v>
      </c>
      <c r="U1432" s="3" t="s">
        <v>5424</v>
      </c>
      <c r="V1432" s="41" t="str">
        <f>HYPERLINK("http://ictvonline.org/taxonomy/p/taxonomy-history?taxnode_id=20181245","ICTVonline=20181245")</f>
        <v>ICTVonline=20181245</v>
      </c>
    </row>
    <row r="1433" spans="1:22">
      <c r="A1433" s="3">
        <v>1432</v>
      </c>
      <c r="J1433" s="1" t="s">
        <v>1338</v>
      </c>
      <c r="L1433" s="1" t="s">
        <v>903</v>
      </c>
      <c r="N1433" s="1" t="s">
        <v>3463</v>
      </c>
      <c r="P1433" s="1" t="s">
        <v>3464</v>
      </c>
      <c r="Q1433" s="3">
        <v>0</v>
      </c>
      <c r="R1433" s="22" t="s">
        <v>2764</v>
      </c>
      <c r="S1433" s="22" t="s">
        <v>5098</v>
      </c>
      <c r="T1433" s="51">
        <v>30</v>
      </c>
      <c r="U1433" s="3" t="s">
        <v>5216</v>
      </c>
      <c r="V1433" s="41" t="str">
        <f>HYPERLINK("http://ictvonline.org/taxonomy/p/taxonomy-history?taxnode_id=20181247","ICTVonline=20181247")</f>
        <v>ICTVonline=20181247</v>
      </c>
    </row>
    <row r="1434" spans="1:22">
      <c r="A1434" s="3">
        <v>1433</v>
      </c>
      <c r="J1434" s="1" t="s">
        <v>1338</v>
      </c>
      <c r="L1434" s="1" t="s">
        <v>903</v>
      </c>
      <c r="N1434" s="1" t="s">
        <v>3463</v>
      </c>
      <c r="P1434" s="1" t="s">
        <v>3465</v>
      </c>
      <c r="Q1434" s="3">
        <v>0</v>
      </c>
      <c r="R1434" s="22" t="s">
        <v>2764</v>
      </c>
      <c r="S1434" s="22" t="s">
        <v>5098</v>
      </c>
      <c r="T1434" s="51">
        <v>30</v>
      </c>
      <c r="U1434" s="3" t="s">
        <v>5216</v>
      </c>
      <c r="V1434" s="41" t="str">
        <f>HYPERLINK("http://ictvonline.org/taxonomy/p/taxonomy-history?taxnode_id=20181248","ICTVonline=20181248")</f>
        <v>ICTVonline=20181248</v>
      </c>
    </row>
    <row r="1435" spans="1:22">
      <c r="A1435" s="3">
        <v>1434</v>
      </c>
      <c r="J1435" s="1" t="s">
        <v>1338</v>
      </c>
      <c r="L1435" s="1" t="s">
        <v>903</v>
      </c>
      <c r="N1435" s="1" t="s">
        <v>3463</v>
      </c>
      <c r="P1435" s="1" t="s">
        <v>3466</v>
      </c>
      <c r="Q1435" s="3">
        <v>1</v>
      </c>
      <c r="R1435" s="22" t="s">
        <v>2764</v>
      </c>
      <c r="S1435" s="22" t="s">
        <v>5098</v>
      </c>
      <c r="T1435" s="51">
        <v>30</v>
      </c>
      <c r="U1435" s="3" t="s">
        <v>5216</v>
      </c>
      <c r="V1435" s="41" t="str">
        <f>HYPERLINK("http://ictvonline.org/taxonomy/p/taxonomy-history?taxnode_id=20181249","ICTVonline=20181249")</f>
        <v>ICTVonline=20181249</v>
      </c>
    </row>
    <row r="1436" spans="1:22">
      <c r="A1436" s="3">
        <v>1435</v>
      </c>
      <c r="J1436" s="1" t="s">
        <v>1338</v>
      </c>
      <c r="L1436" s="1" t="s">
        <v>903</v>
      </c>
      <c r="N1436" s="1" t="s">
        <v>3463</v>
      </c>
      <c r="P1436" s="1" t="s">
        <v>3467</v>
      </c>
      <c r="Q1436" s="3">
        <v>0</v>
      </c>
      <c r="R1436" s="22" t="s">
        <v>2764</v>
      </c>
      <c r="S1436" s="22" t="s">
        <v>5098</v>
      </c>
      <c r="T1436" s="51">
        <v>30</v>
      </c>
      <c r="U1436" s="3" t="s">
        <v>5216</v>
      </c>
      <c r="V1436" s="41" t="str">
        <f>HYPERLINK("http://ictvonline.org/taxonomy/p/taxonomy-history?taxnode_id=20181250","ICTVonline=20181250")</f>
        <v>ICTVonline=20181250</v>
      </c>
    </row>
    <row r="1437" spans="1:22">
      <c r="A1437" s="3">
        <v>1436</v>
      </c>
      <c r="J1437" s="1" t="s">
        <v>1338</v>
      </c>
      <c r="L1437" s="1" t="s">
        <v>903</v>
      </c>
      <c r="N1437" s="1" t="s">
        <v>3463</v>
      </c>
      <c r="P1437" s="1" t="s">
        <v>3468</v>
      </c>
      <c r="Q1437" s="3">
        <v>0</v>
      </c>
      <c r="R1437" s="22" t="s">
        <v>2764</v>
      </c>
      <c r="S1437" s="22" t="s">
        <v>5098</v>
      </c>
      <c r="T1437" s="51">
        <v>30</v>
      </c>
      <c r="U1437" s="3" t="s">
        <v>5216</v>
      </c>
      <c r="V1437" s="41" t="str">
        <f>HYPERLINK("http://ictvonline.org/taxonomy/p/taxonomy-history?taxnode_id=20181251","ICTVonline=20181251")</f>
        <v>ICTVonline=20181251</v>
      </c>
    </row>
    <row r="1438" spans="1:22">
      <c r="A1438" s="3">
        <v>1437</v>
      </c>
      <c r="J1438" s="1" t="s">
        <v>1338</v>
      </c>
      <c r="L1438" s="1" t="s">
        <v>903</v>
      </c>
      <c r="N1438" s="1" t="s">
        <v>4635</v>
      </c>
      <c r="P1438" s="1" t="s">
        <v>4636</v>
      </c>
      <c r="Q1438" s="3">
        <v>0</v>
      </c>
      <c r="R1438" s="22" t="s">
        <v>2764</v>
      </c>
      <c r="S1438" s="22" t="s">
        <v>5097</v>
      </c>
      <c r="T1438" s="51">
        <v>31</v>
      </c>
      <c r="U1438" s="3" t="s">
        <v>5425</v>
      </c>
      <c r="V1438" s="41" t="str">
        <f>HYPERLINK("http://ictvonline.org/taxonomy/p/taxonomy-history?taxnode_id=20181253","ICTVonline=20181253")</f>
        <v>ICTVonline=20181253</v>
      </c>
    </row>
    <row r="1439" spans="1:22">
      <c r="A1439" s="3">
        <v>1438</v>
      </c>
      <c r="J1439" s="1" t="s">
        <v>1338</v>
      </c>
      <c r="L1439" s="1" t="s">
        <v>903</v>
      </c>
      <c r="N1439" s="1" t="s">
        <v>4635</v>
      </c>
      <c r="P1439" s="1" t="s">
        <v>4637</v>
      </c>
      <c r="Q1439" s="3">
        <v>1</v>
      </c>
      <c r="R1439" s="22" t="s">
        <v>2764</v>
      </c>
      <c r="S1439" s="22" t="s">
        <v>5097</v>
      </c>
      <c r="T1439" s="51">
        <v>31</v>
      </c>
      <c r="U1439" s="3" t="s">
        <v>5425</v>
      </c>
      <c r="V1439" s="41" t="str">
        <f>HYPERLINK("http://ictvonline.org/taxonomy/p/taxonomy-history?taxnode_id=20181254","ICTVonline=20181254")</f>
        <v>ICTVonline=20181254</v>
      </c>
    </row>
    <row r="1440" spans="1:22">
      <c r="A1440" s="3">
        <v>1439</v>
      </c>
      <c r="J1440" s="1" t="s">
        <v>1338</v>
      </c>
      <c r="L1440" s="1" t="s">
        <v>903</v>
      </c>
      <c r="N1440" s="1" t="s">
        <v>3469</v>
      </c>
      <c r="P1440" s="1" t="s">
        <v>3470</v>
      </c>
      <c r="Q1440" s="3">
        <v>0</v>
      </c>
      <c r="R1440" s="22" t="s">
        <v>2764</v>
      </c>
      <c r="S1440" s="22" t="s">
        <v>5097</v>
      </c>
      <c r="T1440" s="51">
        <v>30</v>
      </c>
      <c r="U1440" s="3" t="s">
        <v>5426</v>
      </c>
      <c r="V1440" s="41" t="str">
        <f>HYPERLINK("http://ictvonline.org/taxonomy/p/taxonomy-history?taxnode_id=20181256","ICTVonline=20181256")</f>
        <v>ICTVonline=20181256</v>
      </c>
    </row>
    <row r="1441" spans="1:22">
      <c r="A1441" s="3">
        <v>1440</v>
      </c>
      <c r="J1441" s="1" t="s">
        <v>1338</v>
      </c>
      <c r="L1441" s="1" t="s">
        <v>903</v>
      </c>
      <c r="N1441" s="1" t="s">
        <v>3469</v>
      </c>
      <c r="P1441" s="1" t="s">
        <v>3471</v>
      </c>
      <c r="Q1441" s="3">
        <v>1</v>
      </c>
      <c r="R1441" s="22" t="s">
        <v>2764</v>
      </c>
      <c r="S1441" s="22" t="s">
        <v>5097</v>
      </c>
      <c r="T1441" s="51">
        <v>30</v>
      </c>
      <c r="U1441" s="3" t="s">
        <v>5426</v>
      </c>
      <c r="V1441" s="41" t="str">
        <f>HYPERLINK("http://ictvonline.org/taxonomy/p/taxonomy-history?taxnode_id=20181257","ICTVonline=20181257")</f>
        <v>ICTVonline=20181257</v>
      </c>
    </row>
    <row r="1442" spans="1:22">
      <c r="A1442" s="3">
        <v>1441</v>
      </c>
      <c r="J1442" s="1" t="s">
        <v>1338</v>
      </c>
      <c r="L1442" s="1" t="s">
        <v>903</v>
      </c>
      <c r="N1442" s="1" t="s">
        <v>3469</v>
      </c>
      <c r="P1442" s="1" t="s">
        <v>3472</v>
      </c>
      <c r="Q1442" s="3">
        <v>0</v>
      </c>
      <c r="R1442" s="22" t="s">
        <v>2764</v>
      </c>
      <c r="S1442" s="22" t="s">
        <v>5097</v>
      </c>
      <c r="T1442" s="51">
        <v>30</v>
      </c>
      <c r="U1442" s="3" t="s">
        <v>5426</v>
      </c>
      <c r="V1442" s="41" t="str">
        <f>HYPERLINK("http://ictvonline.org/taxonomy/p/taxonomy-history?taxnode_id=20181258","ICTVonline=20181258")</f>
        <v>ICTVonline=20181258</v>
      </c>
    </row>
    <row r="1443" spans="1:22">
      <c r="A1443" s="3">
        <v>1442</v>
      </c>
      <c r="J1443" s="1" t="s">
        <v>1338</v>
      </c>
      <c r="L1443" s="1" t="s">
        <v>903</v>
      </c>
      <c r="N1443" s="1" t="s">
        <v>3469</v>
      </c>
      <c r="P1443" s="1" t="s">
        <v>3473</v>
      </c>
      <c r="Q1443" s="3">
        <v>0</v>
      </c>
      <c r="R1443" s="22" t="s">
        <v>2764</v>
      </c>
      <c r="S1443" s="22" t="s">
        <v>5097</v>
      </c>
      <c r="T1443" s="51">
        <v>30</v>
      </c>
      <c r="U1443" s="3" t="s">
        <v>5426</v>
      </c>
      <c r="V1443" s="41" t="str">
        <f>HYPERLINK("http://ictvonline.org/taxonomy/p/taxonomy-history?taxnode_id=20181259","ICTVonline=20181259")</f>
        <v>ICTVonline=20181259</v>
      </c>
    </row>
    <row r="1444" spans="1:22">
      <c r="A1444" s="3">
        <v>1443</v>
      </c>
      <c r="J1444" s="1" t="s">
        <v>1338</v>
      </c>
      <c r="L1444" s="1" t="s">
        <v>903</v>
      </c>
      <c r="N1444" s="1" t="s">
        <v>3474</v>
      </c>
      <c r="P1444" s="1" t="s">
        <v>3475</v>
      </c>
      <c r="Q1444" s="3">
        <v>0</v>
      </c>
      <c r="R1444" s="22" t="s">
        <v>2764</v>
      </c>
      <c r="S1444" s="22" t="s">
        <v>5097</v>
      </c>
      <c r="T1444" s="51">
        <v>30</v>
      </c>
      <c r="U1444" s="3" t="s">
        <v>5427</v>
      </c>
      <c r="V1444" s="41" t="str">
        <f>HYPERLINK("http://ictvonline.org/taxonomy/p/taxonomy-history?taxnode_id=20181261","ICTVonline=20181261")</f>
        <v>ICTVonline=20181261</v>
      </c>
    </row>
    <row r="1445" spans="1:22">
      <c r="A1445" s="3">
        <v>1444</v>
      </c>
      <c r="J1445" s="1" t="s">
        <v>1338</v>
      </c>
      <c r="L1445" s="1" t="s">
        <v>903</v>
      </c>
      <c r="N1445" s="1" t="s">
        <v>3474</v>
      </c>
      <c r="P1445" s="1" t="s">
        <v>3476</v>
      </c>
      <c r="Q1445" s="3">
        <v>1</v>
      </c>
      <c r="R1445" s="22" t="s">
        <v>2764</v>
      </c>
      <c r="S1445" s="22" t="s">
        <v>5097</v>
      </c>
      <c r="T1445" s="51">
        <v>30</v>
      </c>
      <c r="U1445" s="3" t="s">
        <v>5427</v>
      </c>
      <c r="V1445" s="41" t="str">
        <f>HYPERLINK("http://ictvonline.org/taxonomy/p/taxonomy-history?taxnode_id=20181262","ICTVonline=20181262")</f>
        <v>ICTVonline=20181262</v>
      </c>
    </row>
    <row r="1446" spans="1:22">
      <c r="A1446" s="3">
        <v>1445</v>
      </c>
      <c r="J1446" s="1" t="s">
        <v>1338</v>
      </c>
      <c r="L1446" s="1" t="s">
        <v>903</v>
      </c>
      <c r="N1446" s="1" t="s">
        <v>3477</v>
      </c>
      <c r="P1446" s="1" t="s">
        <v>3478</v>
      </c>
      <c r="Q1446" s="3">
        <v>0</v>
      </c>
      <c r="R1446" s="22" t="s">
        <v>2764</v>
      </c>
      <c r="S1446" s="22" t="s">
        <v>5097</v>
      </c>
      <c r="T1446" s="51">
        <v>30</v>
      </c>
      <c r="U1446" s="3" t="s">
        <v>5428</v>
      </c>
      <c r="V1446" s="41" t="str">
        <f>HYPERLINK("http://ictvonline.org/taxonomy/p/taxonomy-history?taxnode_id=20181264","ICTVonline=20181264")</f>
        <v>ICTVonline=20181264</v>
      </c>
    </row>
    <row r="1447" spans="1:22">
      <c r="A1447" s="3">
        <v>1446</v>
      </c>
      <c r="J1447" s="1" t="s">
        <v>1338</v>
      </c>
      <c r="L1447" s="1" t="s">
        <v>903</v>
      </c>
      <c r="N1447" s="1" t="s">
        <v>3477</v>
      </c>
      <c r="P1447" s="1" t="s">
        <v>3479</v>
      </c>
      <c r="Q1447" s="3">
        <v>1</v>
      </c>
      <c r="R1447" s="22" t="s">
        <v>2764</v>
      </c>
      <c r="S1447" s="22" t="s">
        <v>5097</v>
      </c>
      <c r="T1447" s="51">
        <v>30</v>
      </c>
      <c r="U1447" s="3" t="s">
        <v>5428</v>
      </c>
      <c r="V1447" s="41" t="str">
        <f>HYPERLINK("http://ictvonline.org/taxonomy/p/taxonomy-history?taxnode_id=20181265","ICTVonline=20181265")</f>
        <v>ICTVonline=20181265</v>
      </c>
    </row>
    <row r="1448" spans="1:22">
      <c r="A1448" s="3">
        <v>1447</v>
      </c>
      <c r="J1448" s="1" t="s">
        <v>1338</v>
      </c>
      <c r="L1448" s="1" t="s">
        <v>903</v>
      </c>
      <c r="N1448" s="1" t="s">
        <v>3480</v>
      </c>
      <c r="P1448" s="1" t="s">
        <v>3481</v>
      </c>
      <c r="Q1448" s="3">
        <v>0</v>
      </c>
      <c r="R1448" s="22" t="s">
        <v>2764</v>
      </c>
      <c r="S1448" s="22" t="s">
        <v>5098</v>
      </c>
      <c r="T1448" s="51">
        <v>30</v>
      </c>
      <c r="U1448" s="3" t="s">
        <v>5216</v>
      </c>
      <c r="V1448" s="41" t="str">
        <f>HYPERLINK("http://ictvonline.org/taxonomy/p/taxonomy-history?taxnode_id=20181267","ICTVonline=20181267")</f>
        <v>ICTVonline=20181267</v>
      </c>
    </row>
    <row r="1449" spans="1:22">
      <c r="A1449" s="3">
        <v>1448</v>
      </c>
      <c r="J1449" s="1" t="s">
        <v>1338</v>
      </c>
      <c r="L1449" s="1" t="s">
        <v>903</v>
      </c>
      <c r="N1449" s="1" t="s">
        <v>3480</v>
      </c>
      <c r="P1449" s="1" t="s">
        <v>3482</v>
      </c>
      <c r="Q1449" s="3">
        <v>0</v>
      </c>
      <c r="R1449" s="22" t="s">
        <v>2764</v>
      </c>
      <c r="S1449" s="22" t="s">
        <v>5098</v>
      </c>
      <c r="T1449" s="51">
        <v>30</v>
      </c>
      <c r="U1449" s="3" t="s">
        <v>5216</v>
      </c>
      <c r="V1449" s="41" t="str">
        <f>HYPERLINK("http://ictvonline.org/taxonomy/p/taxonomy-history?taxnode_id=20181268","ICTVonline=20181268")</f>
        <v>ICTVonline=20181268</v>
      </c>
    </row>
    <row r="1450" spans="1:22">
      <c r="A1450" s="3">
        <v>1449</v>
      </c>
      <c r="J1450" s="1" t="s">
        <v>1338</v>
      </c>
      <c r="L1450" s="1" t="s">
        <v>903</v>
      </c>
      <c r="N1450" s="1" t="s">
        <v>3480</v>
      </c>
      <c r="P1450" s="1" t="s">
        <v>3483</v>
      </c>
      <c r="Q1450" s="3">
        <v>0</v>
      </c>
      <c r="R1450" s="22" t="s">
        <v>2764</v>
      </c>
      <c r="S1450" s="22" t="s">
        <v>5098</v>
      </c>
      <c r="T1450" s="51">
        <v>30</v>
      </c>
      <c r="U1450" s="3" t="s">
        <v>5216</v>
      </c>
      <c r="V1450" s="41" t="str">
        <f>HYPERLINK("http://ictvonline.org/taxonomy/p/taxonomy-history?taxnode_id=20181269","ICTVonline=20181269")</f>
        <v>ICTVonline=20181269</v>
      </c>
    </row>
    <row r="1451" spans="1:22">
      <c r="A1451" s="3">
        <v>1450</v>
      </c>
      <c r="J1451" s="1" t="s">
        <v>1338</v>
      </c>
      <c r="L1451" s="1" t="s">
        <v>903</v>
      </c>
      <c r="N1451" s="1" t="s">
        <v>3480</v>
      </c>
      <c r="P1451" s="1" t="s">
        <v>3484</v>
      </c>
      <c r="Q1451" s="3">
        <v>0</v>
      </c>
      <c r="R1451" s="22" t="s">
        <v>2764</v>
      </c>
      <c r="S1451" s="22" t="s">
        <v>5098</v>
      </c>
      <c r="T1451" s="51">
        <v>30</v>
      </c>
      <c r="U1451" s="3" t="s">
        <v>5216</v>
      </c>
      <c r="V1451" s="41" t="str">
        <f>HYPERLINK("http://ictvonline.org/taxonomy/p/taxonomy-history?taxnode_id=20181270","ICTVonline=20181270")</f>
        <v>ICTVonline=20181270</v>
      </c>
    </row>
    <row r="1452" spans="1:22">
      <c r="A1452" s="3">
        <v>1451</v>
      </c>
      <c r="J1452" s="1" t="s">
        <v>1338</v>
      </c>
      <c r="L1452" s="1" t="s">
        <v>903</v>
      </c>
      <c r="N1452" s="1" t="s">
        <v>3480</v>
      </c>
      <c r="P1452" s="1" t="s">
        <v>3485</v>
      </c>
      <c r="Q1452" s="3">
        <v>1</v>
      </c>
      <c r="R1452" s="22" t="s">
        <v>2764</v>
      </c>
      <c r="S1452" s="22" t="s">
        <v>5098</v>
      </c>
      <c r="T1452" s="51">
        <v>30</v>
      </c>
      <c r="U1452" s="3" t="s">
        <v>5216</v>
      </c>
      <c r="V1452" s="41" t="str">
        <f>HYPERLINK("http://ictvonline.org/taxonomy/p/taxonomy-history?taxnode_id=20181271","ICTVonline=20181271")</f>
        <v>ICTVonline=20181271</v>
      </c>
    </row>
    <row r="1453" spans="1:22">
      <c r="A1453" s="3">
        <v>1452</v>
      </c>
      <c r="J1453" s="1" t="s">
        <v>1338</v>
      </c>
      <c r="L1453" s="1" t="s">
        <v>903</v>
      </c>
      <c r="N1453" s="1" t="s">
        <v>3486</v>
      </c>
      <c r="P1453" s="1" t="s">
        <v>3487</v>
      </c>
      <c r="Q1453" s="3">
        <v>0</v>
      </c>
      <c r="R1453" s="22" t="s">
        <v>2764</v>
      </c>
      <c r="S1453" s="22" t="s">
        <v>5098</v>
      </c>
      <c r="T1453" s="51">
        <v>30</v>
      </c>
      <c r="U1453" s="3" t="s">
        <v>5216</v>
      </c>
      <c r="V1453" s="41" t="str">
        <f>HYPERLINK("http://ictvonline.org/taxonomy/p/taxonomy-history?taxnode_id=20181273","ICTVonline=20181273")</f>
        <v>ICTVonline=20181273</v>
      </c>
    </row>
    <row r="1454" spans="1:22">
      <c r="A1454" s="3">
        <v>1453</v>
      </c>
      <c r="J1454" s="1" t="s">
        <v>1338</v>
      </c>
      <c r="L1454" s="1" t="s">
        <v>903</v>
      </c>
      <c r="N1454" s="1" t="s">
        <v>3486</v>
      </c>
      <c r="P1454" s="1" t="s">
        <v>3488</v>
      </c>
      <c r="Q1454" s="3">
        <v>1</v>
      </c>
      <c r="R1454" s="22" t="s">
        <v>2764</v>
      </c>
      <c r="S1454" s="22" t="s">
        <v>5098</v>
      </c>
      <c r="T1454" s="51">
        <v>30</v>
      </c>
      <c r="U1454" s="3" t="s">
        <v>5216</v>
      </c>
      <c r="V1454" s="41" t="str">
        <f>HYPERLINK("http://ictvonline.org/taxonomy/p/taxonomy-history?taxnode_id=20181274","ICTVonline=20181274")</f>
        <v>ICTVonline=20181274</v>
      </c>
    </row>
    <row r="1455" spans="1:22">
      <c r="A1455" s="3">
        <v>1454</v>
      </c>
      <c r="J1455" s="1" t="s">
        <v>1338</v>
      </c>
      <c r="L1455" s="1" t="s">
        <v>903</v>
      </c>
      <c r="N1455" s="1" t="s">
        <v>3486</v>
      </c>
      <c r="P1455" s="1" t="s">
        <v>3489</v>
      </c>
      <c r="Q1455" s="3">
        <v>0</v>
      </c>
      <c r="R1455" s="22" t="s">
        <v>2764</v>
      </c>
      <c r="S1455" s="22" t="s">
        <v>5098</v>
      </c>
      <c r="T1455" s="51">
        <v>30</v>
      </c>
      <c r="U1455" s="3" t="s">
        <v>5216</v>
      </c>
      <c r="V1455" s="41" t="str">
        <f>HYPERLINK("http://ictvonline.org/taxonomy/p/taxonomy-history?taxnode_id=20181275","ICTVonline=20181275")</f>
        <v>ICTVonline=20181275</v>
      </c>
    </row>
    <row r="1456" spans="1:22">
      <c r="A1456" s="3">
        <v>1455</v>
      </c>
      <c r="J1456" s="1" t="s">
        <v>1338</v>
      </c>
      <c r="L1456" s="1" t="s">
        <v>903</v>
      </c>
      <c r="N1456" s="1" t="s">
        <v>3486</v>
      </c>
      <c r="P1456" s="1" t="s">
        <v>3490</v>
      </c>
      <c r="Q1456" s="3">
        <v>0</v>
      </c>
      <c r="R1456" s="22" t="s">
        <v>2764</v>
      </c>
      <c r="S1456" s="22" t="s">
        <v>5098</v>
      </c>
      <c r="T1456" s="51">
        <v>30</v>
      </c>
      <c r="U1456" s="3" t="s">
        <v>5216</v>
      </c>
      <c r="V1456" s="41" t="str">
        <f>HYPERLINK("http://ictvonline.org/taxonomy/p/taxonomy-history?taxnode_id=20181276","ICTVonline=20181276")</f>
        <v>ICTVonline=20181276</v>
      </c>
    </row>
    <row r="1457" spans="1:22">
      <c r="A1457" s="3">
        <v>1456</v>
      </c>
      <c r="J1457" s="1" t="s">
        <v>1338</v>
      </c>
      <c r="L1457" s="1" t="s">
        <v>903</v>
      </c>
      <c r="N1457" s="1" t="s">
        <v>3486</v>
      </c>
      <c r="P1457" s="1" t="s">
        <v>3491</v>
      </c>
      <c r="Q1457" s="3">
        <v>0</v>
      </c>
      <c r="R1457" s="22" t="s">
        <v>2764</v>
      </c>
      <c r="S1457" s="22" t="s">
        <v>5098</v>
      </c>
      <c r="T1457" s="51">
        <v>30</v>
      </c>
      <c r="U1457" s="3" t="s">
        <v>5216</v>
      </c>
      <c r="V1457" s="41" t="str">
        <f>HYPERLINK("http://ictvonline.org/taxonomy/p/taxonomy-history?taxnode_id=20181277","ICTVonline=20181277")</f>
        <v>ICTVonline=20181277</v>
      </c>
    </row>
    <row r="1458" spans="1:22">
      <c r="A1458" s="3">
        <v>1457</v>
      </c>
      <c r="J1458" s="1" t="s">
        <v>1338</v>
      </c>
      <c r="L1458" s="1" t="s">
        <v>903</v>
      </c>
      <c r="N1458" s="1" t="s">
        <v>3492</v>
      </c>
      <c r="P1458" s="1" t="s">
        <v>3493</v>
      </c>
      <c r="Q1458" s="3">
        <v>1</v>
      </c>
      <c r="R1458" s="22" t="s">
        <v>2764</v>
      </c>
      <c r="S1458" s="22" t="s">
        <v>5097</v>
      </c>
      <c r="T1458" s="51">
        <v>30</v>
      </c>
      <c r="U1458" s="3" t="s">
        <v>5429</v>
      </c>
      <c r="V1458" s="41" t="str">
        <f>HYPERLINK("http://ictvonline.org/taxonomy/p/taxonomy-history?taxnode_id=20181279","ICTVonline=20181279")</f>
        <v>ICTVonline=20181279</v>
      </c>
    </row>
    <row r="1459" spans="1:22">
      <c r="A1459" s="3">
        <v>1458</v>
      </c>
      <c r="J1459" s="1" t="s">
        <v>1338</v>
      </c>
      <c r="L1459" s="1" t="s">
        <v>903</v>
      </c>
      <c r="N1459" s="1" t="s">
        <v>3492</v>
      </c>
      <c r="P1459" s="1" t="s">
        <v>3494</v>
      </c>
      <c r="Q1459" s="3">
        <v>0</v>
      </c>
      <c r="R1459" s="22" t="s">
        <v>2764</v>
      </c>
      <c r="S1459" s="22" t="s">
        <v>5097</v>
      </c>
      <c r="T1459" s="51">
        <v>30</v>
      </c>
      <c r="U1459" s="3" t="s">
        <v>5429</v>
      </c>
      <c r="V1459" s="41" t="str">
        <f>HYPERLINK("http://ictvonline.org/taxonomy/p/taxonomy-history?taxnode_id=20181280","ICTVonline=20181280")</f>
        <v>ICTVonline=20181280</v>
      </c>
    </row>
    <row r="1460" spans="1:22">
      <c r="A1460" s="3">
        <v>1459</v>
      </c>
      <c r="J1460" s="1" t="s">
        <v>1338</v>
      </c>
      <c r="L1460" s="1" t="s">
        <v>903</v>
      </c>
      <c r="N1460" s="1" t="s">
        <v>3492</v>
      </c>
      <c r="P1460" s="1" t="s">
        <v>3495</v>
      </c>
      <c r="Q1460" s="3">
        <v>0</v>
      </c>
      <c r="R1460" s="22" t="s">
        <v>2764</v>
      </c>
      <c r="S1460" s="22" t="s">
        <v>5097</v>
      </c>
      <c r="T1460" s="51">
        <v>30</v>
      </c>
      <c r="U1460" s="3" t="s">
        <v>5429</v>
      </c>
      <c r="V1460" s="41" t="str">
        <f>HYPERLINK("http://ictvonline.org/taxonomy/p/taxonomy-history?taxnode_id=20181281","ICTVonline=20181281")</f>
        <v>ICTVonline=20181281</v>
      </c>
    </row>
    <row r="1461" spans="1:22">
      <c r="A1461" s="3">
        <v>1460</v>
      </c>
      <c r="J1461" s="1" t="s">
        <v>1338</v>
      </c>
      <c r="L1461" s="1" t="s">
        <v>903</v>
      </c>
      <c r="N1461" s="1" t="s">
        <v>3492</v>
      </c>
      <c r="P1461" s="1" t="s">
        <v>3496</v>
      </c>
      <c r="Q1461" s="3">
        <v>0</v>
      </c>
      <c r="R1461" s="22" t="s">
        <v>2764</v>
      </c>
      <c r="S1461" s="22" t="s">
        <v>5097</v>
      </c>
      <c r="T1461" s="51">
        <v>30</v>
      </c>
      <c r="U1461" s="3" t="s">
        <v>5429</v>
      </c>
      <c r="V1461" s="41" t="str">
        <f>HYPERLINK("http://ictvonline.org/taxonomy/p/taxonomy-history?taxnode_id=20181282","ICTVonline=20181282")</f>
        <v>ICTVonline=20181282</v>
      </c>
    </row>
    <row r="1462" spans="1:22">
      <c r="A1462" s="3">
        <v>1461</v>
      </c>
      <c r="J1462" s="1" t="s">
        <v>1338</v>
      </c>
      <c r="L1462" s="1" t="s">
        <v>903</v>
      </c>
      <c r="N1462" s="1" t="s">
        <v>3492</v>
      </c>
      <c r="P1462" s="1" t="s">
        <v>3497</v>
      </c>
      <c r="Q1462" s="3">
        <v>0</v>
      </c>
      <c r="R1462" s="22" t="s">
        <v>2764</v>
      </c>
      <c r="S1462" s="22" t="s">
        <v>5097</v>
      </c>
      <c r="T1462" s="51">
        <v>30</v>
      </c>
      <c r="U1462" s="3" t="s">
        <v>5429</v>
      </c>
      <c r="V1462" s="41" t="str">
        <f>HYPERLINK("http://ictvonline.org/taxonomy/p/taxonomy-history?taxnode_id=20181283","ICTVonline=20181283")</f>
        <v>ICTVonline=20181283</v>
      </c>
    </row>
    <row r="1463" spans="1:22">
      <c r="A1463" s="3">
        <v>1462</v>
      </c>
      <c r="J1463" s="1" t="s">
        <v>1338</v>
      </c>
      <c r="L1463" s="1" t="s">
        <v>903</v>
      </c>
      <c r="N1463" s="1" t="s">
        <v>3492</v>
      </c>
      <c r="P1463" s="1" t="s">
        <v>4638</v>
      </c>
      <c r="Q1463" s="3">
        <v>0</v>
      </c>
      <c r="R1463" s="22" t="s">
        <v>2764</v>
      </c>
      <c r="S1463" s="22" t="s">
        <v>5097</v>
      </c>
      <c r="T1463" s="51">
        <v>31</v>
      </c>
      <c r="U1463" s="3" t="s">
        <v>5217</v>
      </c>
      <c r="V1463" s="41" t="str">
        <f>HYPERLINK("http://ictvonline.org/taxonomy/p/taxonomy-history?taxnode_id=20181284","ICTVonline=20181284")</f>
        <v>ICTVonline=20181284</v>
      </c>
    </row>
    <row r="1464" spans="1:22">
      <c r="A1464" s="3">
        <v>1463</v>
      </c>
      <c r="J1464" s="1" t="s">
        <v>1338</v>
      </c>
      <c r="L1464" s="1" t="s">
        <v>903</v>
      </c>
      <c r="N1464" s="1" t="s">
        <v>3498</v>
      </c>
      <c r="P1464" s="1" t="s">
        <v>3499</v>
      </c>
      <c r="Q1464" s="3">
        <v>0</v>
      </c>
      <c r="R1464" s="22" t="s">
        <v>2764</v>
      </c>
      <c r="S1464" s="22" t="s">
        <v>5098</v>
      </c>
      <c r="T1464" s="51">
        <v>30</v>
      </c>
      <c r="U1464" s="3" t="s">
        <v>5216</v>
      </c>
      <c r="V1464" s="41" t="str">
        <f>HYPERLINK("http://ictvonline.org/taxonomy/p/taxonomy-history?taxnode_id=20181286","ICTVonline=20181286")</f>
        <v>ICTVonline=20181286</v>
      </c>
    </row>
    <row r="1465" spans="1:22">
      <c r="A1465" s="3">
        <v>1464</v>
      </c>
      <c r="J1465" s="1" t="s">
        <v>1338</v>
      </c>
      <c r="L1465" s="1" t="s">
        <v>903</v>
      </c>
      <c r="N1465" s="1" t="s">
        <v>3498</v>
      </c>
      <c r="P1465" s="1" t="s">
        <v>3500</v>
      </c>
      <c r="Q1465" s="3">
        <v>0</v>
      </c>
      <c r="R1465" s="22" t="s">
        <v>2764</v>
      </c>
      <c r="S1465" s="22" t="s">
        <v>5098</v>
      </c>
      <c r="T1465" s="51">
        <v>30</v>
      </c>
      <c r="U1465" s="3" t="s">
        <v>5216</v>
      </c>
      <c r="V1465" s="41" t="str">
        <f>HYPERLINK("http://ictvonline.org/taxonomy/p/taxonomy-history?taxnode_id=20181287","ICTVonline=20181287")</f>
        <v>ICTVonline=20181287</v>
      </c>
    </row>
    <row r="1466" spans="1:22">
      <c r="A1466" s="3">
        <v>1465</v>
      </c>
      <c r="J1466" s="1" t="s">
        <v>1338</v>
      </c>
      <c r="L1466" s="1" t="s">
        <v>903</v>
      </c>
      <c r="N1466" s="1" t="s">
        <v>3498</v>
      </c>
      <c r="P1466" s="1" t="s">
        <v>3501</v>
      </c>
      <c r="Q1466" s="3">
        <v>0</v>
      </c>
      <c r="R1466" s="22" t="s">
        <v>2764</v>
      </c>
      <c r="S1466" s="22" t="s">
        <v>5098</v>
      </c>
      <c r="T1466" s="51">
        <v>30</v>
      </c>
      <c r="U1466" s="3" t="s">
        <v>5216</v>
      </c>
      <c r="V1466" s="41" t="str">
        <f>HYPERLINK("http://ictvonline.org/taxonomy/p/taxonomy-history?taxnode_id=20181288","ICTVonline=20181288")</f>
        <v>ICTVonline=20181288</v>
      </c>
    </row>
    <row r="1467" spans="1:22">
      <c r="A1467" s="3">
        <v>1466</v>
      </c>
      <c r="J1467" s="1" t="s">
        <v>1338</v>
      </c>
      <c r="L1467" s="1" t="s">
        <v>903</v>
      </c>
      <c r="N1467" s="1" t="s">
        <v>3498</v>
      </c>
      <c r="P1467" s="1" t="s">
        <v>3502</v>
      </c>
      <c r="Q1467" s="3">
        <v>0</v>
      </c>
      <c r="R1467" s="22" t="s">
        <v>2764</v>
      </c>
      <c r="S1467" s="22" t="s">
        <v>5098</v>
      </c>
      <c r="T1467" s="51">
        <v>30</v>
      </c>
      <c r="U1467" s="3" t="s">
        <v>5216</v>
      </c>
      <c r="V1467" s="41" t="str">
        <f>HYPERLINK("http://ictvonline.org/taxonomy/p/taxonomy-history?taxnode_id=20181289","ICTVonline=20181289")</f>
        <v>ICTVonline=20181289</v>
      </c>
    </row>
    <row r="1468" spans="1:22">
      <c r="A1468" s="3">
        <v>1467</v>
      </c>
      <c r="J1468" s="1" t="s">
        <v>1338</v>
      </c>
      <c r="L1468" s="1" t="s">
        <v>903</v>
      </c>
      <c r="N1468" s="1" t="s">
        <v>3498</v>
      </c>
      <c r="P1468" s="1" t="s">
        <v>3503</v>
      </c>
      <c r="Q1468" s="3">
        <v>0</v>
      </c>
      <c r="R1468" s="22" t="s">
        <v>2764</v>
      </c>
      <c r="S1468" s="22" t="s">
        <v>5098</v>
      </c>
      <c r="T1468" s="51">
        <v>30</v>
      </c>
      <c r="U1468" s="3" t="s">
        <v>5216</v>
      </c>
      <c r="V1468" s="41" t="str">
        <f>HYPERLINK("http://ictvonline.org/taxonomy/p/taxonomy-history?taxnode_id=20181290","ICTVonline=20181290")</f>
        <v>ICTVonline=20181290</v>
      </c>
    </row>
    <row r="1469" spans="1:22">
      <c r="A1469" s="3">
        <v>1468</v>
      </c>
      <c r="J1469" s="1" t="s">
        <v>1338</v>
      </c>
      <c r="L1469" s="1" t="s">
        <v>903</v>
      </c>
      <c r="N1469" s="1" t="s">
        <v>3498</v>
      </c>
      <c r="P1469" s="1" t="s">
        <v>3504</v>
      </c>
      <c r="Q1469" s="3">
        <v>0</v>
      </c>
      <c r="R1469" s="22" t="s">
        <v>2764</v>
      </c>
      <c r="S1469" s="22" t="s">
        <v>5098</v>
      </c>
      <c r="T1469" s="51">
        <v>30</v>
      </c>
      <c r="U1469" s="3" t="s">
        <v>5216</v>
      </c>
      <c r="V1469" s="41" t="str">
        <f>HYPERLINK("http://ictvonline.org/taxonomy/p/taxonomy-history?taxnode_id=20181291","ICTVonline=20181291")</f>
        <v>ICTVonline=20181291</v>
      </c>
    </row>
    <row r="1470" spans="1:22">
      <c r="A1470" s="3">
        <v>1469</v>
      </c>
      <c r="J1470" s="1" t="s">
        <v>1338</v>
      </c>
      <c r="L1470" s="1" t="s">
        <v>903</v>
      </c>
      <c r="N1470" s="1" t="s">
        <v>3498</v>
      </c>
      <c r="P1470" s="1" t="s">
        <v>3505</v>
      </c>
      <c r="Q1470" s="3">
        <v>0</v>
      </c>
      <c r="R1470" s="22" t="s">
        <v>2764</v>
      </c>
      <c r="S1470" s="22" t="s">
        <v>5098</v>
      </c>
      <c r="T1470" s="51">
        <v>30</v>
      </c>
      <c r="U1470" s="3" t="s">
        <v>5216</v>
      </c>
      <c r="V1470" s="41" t="str">
        <f>HYPERLINK("http://ictvonline.org/taxonomy/p/taxonomy-history?taxnode_id=20181292","ICTVonline=20181292")</f>
        <v>ICTVonline=20181292</v>
      </c>
    </row>
    <row r="1471" spans="1:22">
      <c r="A1471" s="3">
        <v>1470</v>
      </c>
      <c r="J1471" s="1" t="s">
        <v>1338</v>
      </c>
      <c r="L1471" s="1" t="s">
        <v>903</v>
      </c>
      <c r="N1471" s="1" t="s">
        <v>3498</v>
      </c>
      <c r="P1471" s="1" t="s">
        <v>3506</v>
      </c>
      <c r="Q1471" s="3">
        <v>0</v>
      </c>
      <c r="R1471" s="22" t="s">
        <v>2764</v>
      </c>
      <c r="S1471" s="22" t="s">
        <v>5098</v>
      </c>
      <c r="T1471" s="51">
        <v>30</v>
      </c>
      <c r="U1471" s="3" t="s">
        <v>5216</v>
      </c>
      <c r="V1471" s="41" t="str">
        <f>HYPERLINK("http://ictvonline.org/taxonomy/p/taxonomy-history?taxnode_id=20181293","ICTVonline=20181293")</f>
        <v>ICTVonline=20181293</v>
      </c>
    </row>
    <row r="1472" spans="1:22">
      <c r="A1472" s="3">
        <v>1471</v>
      </c>
      <c r="J1472" s="1" t="s">
        <v>1338</v>
      </c>
      <c r="L1472" s="1" t="s">
        <v>903</v>
      </c>
      <c r="N1472" s="1" t="s">
        <v>3498</v>
      </c>
      <c r="P1472" s="1" t="s">
        <v>3507</v>
      </c>
      <c r="Q1472" s="3">
        <v>0</v>
      </c>
      <c r="R1472" s="22" t="s">
        <v>2764</v>
      </c>
      <c r="S1472" s="22" t="s">
        <v>5098</v>
      </c>
      <c r="T1472" s="51">
        <v>30</v>
      </c>
      <c r="U1472" s="3" t="s">
        <v>5216</v>
      </c>
      <c r="V1472" s="41" t="str">
        <f>HYPERLINK("http://ictvonline.org/taxonomy/p/taxonomy-history?taxnode_id=20181294","ICTVonline=20181294")</f>
        <v>ICTVonline=20181294</v>
      </c>
    </row>
    <row r="1473" spans="1:22">
      <c r="A1473" s="3">
        <v>1472</v>
      </c>
      <c r="J1473" s="1" t="s">
        <v>1338</v>
      </c>
      <c r="L1473" s="1" t="s">
        <v>903</v>
      </c>
      <c r="N1473" s="1" t="s">
        <v>3498</v>
      </c>
      <c r="P1473" s="1" t="s">
        <v>3508</v>
      </c>
      <c r="Q1473" s="3">
        <v>0</v>
      </c>
      <c r="R1473" s="22" t="s">
        <v>2764</v>
      </c>
      <c r="S1473" s="22" t="s">
        <v>5098</v>
      </c>
      <c r="T1473" s="51">
        <v>30</v>
      </c>
      <c r="U1473" s="3" t="s">
        <v>5216</v>
      </c>
      <c r="V1473" s="41" t="str">
        <f>HYPERLINK("http://ictvonline.org/taxonomy/p/taxonomy-history?taxnode_id=20181295","ICTVonline=20181295")</f>
        <v>ICTVonline=20181295</v>
      </c>
    </row>
    <row r="1474" spans="1:22">
      <c r="A1474" s="3">
        <v>1473</v>
      </c>
      <c r="J1474" s="1" t="s">
        <v>1338</v>
      </c>
      <c r="L1474" s="1" t="s">
        <v>903</v>
      </c>
      <c r="N1474" s="1" t="s">
        <v>3498</v>
      </c>
      <c r="P1474" s="1" t="s">
        <v>3509</v>
      </c>
      <c r="Q1474" s="3">
        <v>0</v>
      </c>
      <c r="R1474" s="22" t="s">
        <v>2764</v>
      </c>
      <c r="S1474" s="22" t="s">
        <v>5098</v>
      </c>
      <c r="T1474" s="51">
        <v>30</v>
      </c>
      <c r="U1474" s="3" t="s">
        <v>5216</v>
      </c>
      <c r="V1474" s="41" t="str">
        <f>HYPERLINK("http://ictvonline.org/taxonomy/p/taxonomy-history?taxnode_id=20181296","ICTVonline=20181296")</f>
        <v>ICTVonline=20181296</v>
      </c>
    </row>
    <row r="1475" spans="1:22">
      <c r="A1475" s="3">
        <v>1474</v>
      </c>
      <c r="J1475" s="1" t="s">
        <v>1338</v>
      </c>
      <c r="L1475" s="1" t="s">
        <v>903</v>
      </c>
      <c r="N1475" s="1" t="s">
        <v>3498</v>
      </c>
      <c r="P1475" s="1" t="s">
        <v>3510</v>
      </c>
      <c r="Q1475" s="3">
        <v>0</v>
      </c>
      <c r="R1475" s="22" t="s">
        <v>2764</v>
      </c>
      <c r="S1475" s="22" t="s">
        <v>5098</v>
      </c>
      <c r="T1475" s="51">
        <v>30</v>
      </c>
      <c r="U1475" s="3" t="s">
        <v>5216</v>
      </c>
      <c r="V1475" s="41" t="str">
        <f>HYPERLINK("http://ictvonline.org/taxonomy/p/taxonomy-history?taxnode_id=20181297","ICTVonline=20181297")</f>
        <v>ICTVonline=20181297</v>
      </c>
    </row>
    <row r="1476" spans="1:22">
      <c r="A1476" s="3">
        <v>1475</v>
      </c>
      <c r="J1476" s="1" t="s">
        <v>1338</v>
      </c>
      <c r="L1476" s="1" t="s">
        <v>903</v>
      </c>
      <c r="N1476" s="1" t="s">
        <v>3498</v>
      </c>
      <c r="P1476" s="1" t="s">
        <v>3511</v>
      </c>
      <c r="Q1476" s="3">
        <v>0</v>
      </c>
      <c r="R1476" s="22" t="s">
        <v>2764</v>
      </c>
      <c r="S1476" s="22" t="s">
        <v>5098</v>
      </c>
      <c r="T1476" s="51">
        <v>30</v>
      </c>
      <c r="U1476" s="3" t="s">
        <v>5216</v>
      </c>
      <c r="V1476" s="41" t="str">
        <f>HYPERLINK("http://ictvonline.org/taxonomy/p/taxonomy-history?taxnode_id=20181298","ICTVonline=20181298")</f>
        <v>ICTVonline=20181298</v>
      </c>
    </row>
    <row r="1477" spans="1:22">
      <c r="A1477" s="3">
        <v>1476</v>
      </c>
      <c r="J1477" s="1" t="s">
        <v>1338</v>
      </c>
      <c r="L1477" s="1" t="s">
        <v>903</v>
      </c>
      <c r="N1477" s="1" t="s">
        <v>3498</v>
      </c>
      <c r="P1477" s="1" t="s">
        <v>3512</v>
      </c>
      <c r="Q1477" s="3">
        <v>0</v>
      </c>
      <c r="R1477" s="22" t="s">
        <v>2764</v>
      </c>
      <c r="S1477" s="22" t="s">
        <v>5098</v>
      </c>
      <c r="T1477" s="51">
        <v>30</v>
      </c>
      <c r="U1477" s="3" t="s">
        <v>5216</v>
      </c>
      <c r="V1477" s="41" t="str">
        <f>HYPERLINK("http://ictvonline.org/taxonomy/p/taxonomy-history?taxnode_id=20181299","ICTVonline=20181299")</f>
        <v>ICTVonline=20181299</v>
      </c>
    </row>
    <row r="1478" spans="1:22">
      <c r="A1478" s="3">
        <v>1477</v>
      </c>
      <c r="J1478" s="1" t="s">
        <v>1338</v>
      </c>
      <c r="L1478" s="1" t="s">
        <v>903</v>
      </c>
      <c r="N1478" s="1" t="s">
        <v>3498</v>
      </c>
      <c r="P1478" s="1" t="s">
        <v>3513</v>
      </c>
      <c r="Q1478" s="3">
        <v>0</v>
      </c>
      <c r="R1478" s="22" t="s">
        <v>2764</v>
      </c>
      <c r="S1478" s="22" t="s">
        <v>5098</v>
      </c>
      <c r="T1478" s="51">
        <v>30</v>
      </c>
      <c r="U1478" s="3" t="s">
        <v>5216</v>
      </c>
      <c r="V1478" s="41" t="str">
        <f>HYPERLINK("http://ictvonline.org/taxonomy/p/taxonomy-history?taxnode_id=20181300","ICTVonline=20181300")</f>
        <v>ICTVonline=20181300</v>
      </c>
    </row>
    <row r="1479" spans="1:22">
      <c r="A1479" s="3">
        <v>1478</v>
      </c>
      <c r="J1479" s="1" t="s">
        <v>1338</v>
      </c>
      <c r="L1479" s="1" t="s">
        <v>903</v>
      </c>
      <c r="N1479" s="1" t="s">
        <v>3498</v>
      </c>
      <c r="P1479" s="1" t="s">
        <v>3514</v>
      </c>
      <c r="Q1479" s="3">
        <v>1</v>
      </c>
      <c r="R1479" s="22" t="s">
        <v>2764</v>
      </c>
      <c r="S1479" s="22" t="s">
        <v>5098</v>
      </c>
      <c r="T1479" s="51">
        <v>30</v>
      </c>
      <c r="U1479" s="3" t="s">
        <v>5216</v>
      </c>
      <c r="V1479" s="41" t="str">
        <f>HYPERLINK("http://ictvonline.org/taxonomy/p/taxonomy-history?taxnode_id=20181301","ICTVonline=20181301")</f>
        <v>ICTVonline=20181301</v>
      </c>
    </row>
    <row r="1480" spans="1:22">
      <c r="A1480" s="3">
        <v>1479</v>
      </c>
      <c r="J1480" s="1" t="s">
        <v>1338</v>
      </c>
      <c r="L1480" s="1" t="s">
        <v>903</v>
      </c>
      <c r="N1480" s="1" t="s">
        <v>3498</v>
      </c>
      <c r="P1480" s="1" t="s">
        <v>3515</v>
      </c>
      <c r="Q1480" s="3">
        <v>0</v>
      </c>
      <c r="R1480" s="22" t="s">
        <v>2764</v>
      </c>
      <c r="S1480" s="22" t="s">
        <v>5098</v>
      </c>
      <c r="T1480" s="51">
        <v>30</v>
      </c>
      <c r="U1480" s="3" t="s">
        <v>5216</v>
      </c>
      <c r="V1480" s="41" t="str">
        <f>HYPERLINK("http://ictvonline.org/taxonomy/p/taxonomy-history?taxnode_id=20181302","ICTVonline=20181302")</f>
        <v>ICTVonline=20181302</v>
      </c>
    </row>
    <row r="1481" spans="1:22">
      <c r="A1481" s="3">
        <v>1480</v>
      </c>
      <c r="J1481" s="1" t="s">
        <v>1338</v>
      </c>
      <c r="L1481" s="1" t="s">
        <v>903</v>
      </c>
      <c r="N1481" s="1" t="s">
        <v>3516</v>
      </c>
      <c r="P1481" s="1" t="s">
        <v>3517</v>
      </c>
      <c r="Q1481" s="3">
        <v>1</v>
      </c>
      <c r="R1481" s="22" t="s">
        <v>2764</v>
      </c>
      <c r="S1481" s="22" t="s">
        <v>5097</v>
      </c>
      <c r="T1481" s="51">
        <v>30</v>
      </c>
      <c r="U1481" s="3" t="s">
        <v>5430</v>
      </c>
      <c r="V1481" s="41" t="str">
        <f>HYPERLINK("http://ictvonline.org/taxonomy/p/taxonomy-history?taxnode_id=20181304","ICTVonline=20181304")</f>
        <v>ICTVonline=20181304</v>
      </c>
    </row>
    <row r="1482" spans="1:22">
      <c r="A1482" s="3">
        <v>1481</v>
      </c>
      <c r="J1482" s="1" t="s">
        <v>1338</v>
      </c>
      <c r="L1482" s="1" t="s">
        <v>903</v>
      </c>
      <c r="N1482" s="1" t="s">
        <v>3516</v>
      </c>
      <c r="P1482" s="1" t="s">
        <v>3518</v>
      </c>
      <c r="Q1482" s="3">
        <v>0</v>
      </c>
      <c r="R1482" s="22" t="s">
        <v>2764</v>
      </c>
      <c r="S1482" s="22" t="s">
        <v>5097</v>
      </c>
      <c r="T1482" s="51">
        <v>30</v>
      </c>
      <c r="U1482" s="3" t="s">
        <v>5430</v>
      </c>
      <c r="V1482" s="41" t="str">
        <f>HYPERLINK("http://ictvonline.org/taxonomy/p/taxonomy-history?taxnode_id=20181305","ICTVonline=20181305")</f>
        <v>ICTVonline=20181305</v>
      </c>
    </row>
    <row r="1483" spans="1:22">
      <c r="A1483" s="3">
        <v>1482</v>
      </c>
      <c r="J1483" s="1" t="s">
        <v>1338</v>
      </c>
      <c r="L1483" s="1" t="s">
        <v>903</v>
      </c>
      <c r="N1483" s="1" t="s">
        <v>3516</v>
      </c>
      <c r="P1483" s="1" t="s">
        <v>3519</v>
      </c>
      <c r="Q1483" s="3">
        <v>0</v>
      </c>
      <c r="R1483" s="22" t="s">
        <v>2764</v>
      </c>
      <c r="S1483" s="22" t="s">
        <v>5097</v>
      </c>
      <c r="T1483" s="51">
        <v>30</v>
      </c>
      <c r="U1483" s="3" t="s">
        <v>5430</v>
      </c>
      <c r="V1483" s="41" t="str">
        <f>HYPERLINK("http://ictvonline.org/taxonomy/p/taxonomy-history?taxnode_id=20181306","ICTVonline=20181306")</f>
        <v>ICTVonline=20181306</v>
      </c>
    </row>
    <row r="1484" spans="1:22">
      <c r="A1484" s="3">
        <v>1483</v>
      </c>
      <c r="J1484" s="1" t="s">
        <v>1338</v>
      </c>
      <c r="L1484" s="1" t="s">
        <v>903</v>
      </c>
      <c r="N1484" s="1" t="s">
        <v>3516</v>
      </c>
      <c r="P1484" s="1" t="s">
        <v>3520</v>
      </c>
      <c r="Q1484" s="3">
        <v>0</v>
      </c>
      <c r="R1484" s="22" t="s">
        <v>2764</v>
      </c>
      <c r="S1484" s="22" t="s">
        <v>5097</v>
      </c>
      <c r="T1484" s="51">
        <v>30</v>
      </c>
      <c r="U1484" s="3" t="s">
        <v>5430</v>
      </c>
      <c r="V1484" s="41" t="str">
        <f>HYPERLINK("http://ictvonline.org/taxonomy/p/taxonomy-history?taxnode_id=20181307","ICTVonline=20181307")</f>
        <v>ICTVonline=20181307</v>
      </c>
    </row>
    <row r="1485" spans="1:22">
      <c r="A1485" s="3">
        <v>1484</v>
      </c>
      <c r="J1485" s="1" t="s">
        <v>1338</v>
      </c>
      <c r="L1485" s="1" t="s">
        <v>903</v>
      </c>
      <c r="N1485" s="1" t="s">
        <v>4639</v>
      </c>
      <c r="P1485" s="1" t="s">
        <v>4640</v>
      </c>
      <c r="Q1485" s="3">
        <v>0</v>
      </c>
      <c r="R1485" s="22" t="s">
        <v>2764</v>
      </c>
      <c r="S1485" s="22" t="s">
        <v>5097</v>
      </c>
      <c r="T1485" s="51">
        <v>31</v>
      </c>
      <c r="U1485" s="3" t="s">
        <v>5431</v>
      </c>
      <c r="V1485" s="41" t="str">
        <f>HYPERLINK("http://ictvonline.org/taxonomy/p/taxonomy-history?taxnode_id=20181309","ICTVonline=20181309")</f>
        <v>ICTVonline=20181309</v>
      </c>
    </row>
    <row r="1486" spans="1:22">
      <c r="A1486" s="3">
        <v>1485</v>
      </c>
      <c r="J1486" s="1" t="s">
        <v>1338</v>
      </c>
      <c r="L1486" s="1" t="s">
        <v>903</v>
      </c>
      <c r="N1486" s="1" t="s">
        <v>4639</v>
      </c>
      <c r="P1486" s="1" t="s">
        <v>4641</v>
      </c>
      <c r="Q1486" s="3">
        <v>0</v>
      </c>
      <c r="R1486" s="22" t="s">
        <v>2764</v>
      </c>
      <c r="S1486" s="22" t="s">
        <v>5097</v>
      </c>
      <c r="T1486" s="51">
        <v>31</v>
      </c>
      <c r="U1486" s="3" t="s">
        <v>5431</v>
      </c>
      <c r="V1486" s="41" t="str">
        <f>HYPERLINK("http://ictvonline.org/taxonomy/p/taxonomy-history?taxnode_id=20181310","ICTVonline=20181310")</f>
        <v>ICTVonline=20181310</v>
      </c>
    </row>
    <row r="1487" spans="1:22">
      <c r="A1487" s="3">
        <v>1486</v>
      </c>
      <c r="J1487" s="1" t="s">
        <v>1338</v>
      </c>
      <c r="L1487" s="1" t="s">
        <v>903</v>
      </c>
      <c r="N1487" s="1" t="s">
        <v>4639</v>
      </c>
      <c r="P1487" s="1" t="s">
        <v>4642</v>
      </c>
      <c r="Q1487" s="3">
        <v>0</v>
      </c>
      <c r="R1487" s="22" t="s">
        <v>2764</v>
      </c>
      <c r="S1487" s="22" t="s">
        <v>5097</v>
      </c>
      <c r="T1487" s="51">
        <v>31</v>
      </c>
      <c r="U1487" s="3" t="s">
        <v>5431</v>
      </c>
      <c r="V1487" s="41" t="str">
        <f>HYPERLINK("http://ictvonline.org/taxonomy/p/taxonomy-history?taxnode_id=20181311","ICTVonline=20181311")</f>
        <v>ICTVonline=20181311</v>
      </c>
    </row>
    <row r="1488" spans="1:22">
      <c r="A1488" s="3">
        <v>1487</v>
      </c>
      <c r="J1488" s="1" t="s">
        <v>1338</v>
      </c>
      <c r="L1488" s="1" t="s">
        <v>903</v>
      </c>
      <c r="N1488" s="1" t="s">
        <v>4639</v>
      </c>
      <c r="P1488" s="1" t="s">
        <v>4643</v>
      </c>
      <c r="Q1488" s="3">
        <v>1</v>
      </c>
      <c r="R1488" s="22" t="s">
        <v>2764</v>
      </c>
      <c r="S1488" s="22" t="s">
        <v>5097</v>
      </c>
      <c r="T1488" s="51">
        <v>31</v>
      </c>
      <c r="U1488" s="3" t="s">
        <v>5431</v>
      </c>
      <c r="V1488" s="41" t="str">
        <f>HYPERLINK("http://ictvonline.org/taxonomy/p/taxonomy-history?taxnode_id=20181312","ICTVonline=20181312")</f>
        <v>ICTVonline=20181312</v>
      </c>
    </row>
    <row r="1489" spans="1:22">
      <c r="A1489" s="3">
        <v>1488</v>
      </c>
      <c r="J1489" s="1" t="s">
        <v>1338</v>
      </c>
      <c r="L1489" s="1" t="s">
        <v>903</v>
      </c>
      <c r="N1489" s="1" t="s">
        <v>4644</v>
      </c>
      <c r="P1489" s="1" t="s">
        <v>4645</v>
      </c>
      <c r="Q1489" s="3">
        <v>1</v>
      </c>
      <c r="R1489" s="22" t="s">
        <v>2764</v>
      </c>
      <c r="S1489" s="22" t="s">
        <v>5097</v>
      </c>
      <c r="T1489" s="51">
        <v>31</v>
      </c>
      <c r="U1489" s="3" t="s">
        <v>5432</v>
      </c>
      <c r="V1489" s="41" t="str">
        <f>HYPERLINK("http://ictvonline.org/taxonomy/p/taxonomy-history?taxnode_id=20181314","ICTVonline=20181314")</f>
        <v>ICTVonline=20181314</v>
      </c>
    </row>
    <row r="1490" spans="1:22">
      <c r="A1490" s="3">
        <v>1489</v>
      </c>
      <c r="J1490" s="1" t="s">
        <v>1338</v>
      </c>
      <c r="L1490" s="1" t="s">
        <v>903</v>
      </c>
      <c r="N1490" s="1" t="s">
        <v>3521</v>
      </c>
      <c r="P1490" s="1" t="s">
        <v>3522</v>
      </c>
      <c r="Q1490" s="3">
        <v>1</v>
      </c>
      <c r="R1490" s="22" t="s">
        <v>2764</v>
      </c>
      <c r="S1490" s="22" t="s">
        <v>5098</v>
      </c>
      <c r="T1490" s="51">
        <v>30</v>
      </c>
      <c r="U1490" s="3" t="s">
        <v>5216</v>
      </c>
      <c r="V1490" s="41" t="str">
        <f>HYPERLINK("http://ictvonline.org/taxonomy/p/taxonomy-history?taxnode_id=20181316","ICTVonline=20181316")</f>
        <v>ICTVonline=20181316</v>
      </c>
    </row>
    <row r="1491" spans="1:22">
      <c r="A1491" s="3">
        <v>1490</v>
      </c>
      <c r="J1491" s="1" t="s">
        <v>1338</v>
      </c>
      <c r="L1491" s="1" t="s">
        <v>903</v>
      </c>
      <c r="N1491" s="1" t="s">
        <v>3523</v>
      </c>
      <c r="P1491" s="1" t="s">
        <v>3524</v>
      </c>
      <c r="Q1491" s="3">
        <v>0</v>
      </c>
      <c r="R1491" s="22" t="s">
        <v>2764</v>
      </c>
      <c r="S1491" s="22" t="s">
        <v>5097</v>
      </c>
      <c r="T1491" s="51">
        <v>30</v>
      </c>
      <c r="U1491" s="3" t="s">
        <v>5433</v>
      </c>
      <c r="V1491" s="41" t="str">
        <f>HYPERLINK("http://ictvonline.org/taxonomy/p/taxonomy-history?taxnode_id=20181318","ICTVonline=20181318")</f>
        <v>ICTVonline=20181318</v>
      </c>
    </row>
    <row r="1492" spans="1:22">
      <c r="A1492" s="3">
        <v>1491</v>
      </c>
      <c r="J1492" s="1" t="s">
        <v>1338</v>
      </c>
      <c r="L1492" s="1" t="s">
        <v>903</v>
      </c>
      <c r="N1492" s="1" t="s">
        <v>3523</v>
      </c>
      <c r="P1492" s="1" t="s">
        <v>3525</v>
      </c>
      <c r="Q1492" s="3">
        <v>1</v>
      </c>
      <c r="R1492" s="22" t="s">
        <v>2764</v>
      </c>
      <c r="S1492" s="22" t="s">
        <v>5097</v>
      </c>
      <c r="T1492" s="51">
        <v>30</v>
      </c>
      <c r="U1492" s="3" t="s">
        <v>5433</v>
      </c>
      <c r="V1492" s="41" t="str">
        <f>HYPERLINK("http://ictvonline.org/taxonomy/p/taxonomy-history?taxnode_id=20181319","ICTVonline=20181319")</f>
        <v>ICTVonline=20181319</v>
      </c>
    </row>
    <row r="1493" spans="1:22">
      <c r="A1493" s="3">
        <v>1492</v>
      </c>
      <c r="J1493" s="1" t="s">
        <v>1338</v>
      </c>
      <c r="L1493" s="1" t="s">
        <v>903</v>
      </c>
      <c r="N1493" s="1" t="s">
        <v>3526</v>
      </c>
      <c r="P1493" s="1" t="s">
        <v>3527</v>
      </c>
      <c r="Q1493" s="3">
        <v>0</v>
      </c>
      <c r="R1493" s="22" t="s">
        <v>2764</v>
      </c>
      <c r="S1493" s="22" t="s">
        <v>5098</v>
      </c>
      <c r="T1493" s="51">
        <v>30</v>
      </c>
      <c r="U1493" s="3" t="s">
        <v>5216</v>
      </c>
      <c r="V1493" s="41" t="str">
        <f>HYPERLINK("http://ictvonline.org/taxonomy/p/taxonomy-history?taxnode_id=20181321","ICTVonline=20181321")</f>
        <v>ICTVonline=20181321</v>
      </c>
    </row>
    <row r="1494" spans="1:22">
      <c r="A1494" s="3">
        <v>1493</v>
      </c>
      <c r="J1494" s="1" t="s">
        <v>1338</v>
      </c>
      <c r="L1494" s="1" t="s">
        <v>903</v>
      </c>
      <c r="N1494" s="1" t="s">
        <v>3526</v>
      </c>
      <c r="P1494" s="1" t="s">
        <v>3528</v>
      </c>
      <c r="Q1494" s="3">
        <v>0</v>
      </c>
      <c r="R1494" s="22" t="s">
        <v>2764</v>
      </c>
      <c r="S1494" s="22" t="s">
        <v>5098</v>
      </c>
      <c r="T1494" s="51">
        <v>30</v>
      </c>
      <c r="U1494" s="3" t="s">
        <v>5216</v>
      </c>
      <c r="V1494" s="41" t="str">
        <f>HYPERLINK("http://ictvonline.org/taxonomy/p/taxonomy-history?taxnode_id=20181322","ICTVonline=20181322")</f>
        <v>ICTVonline=20181322</v>
      </c>
    </row>
    <row r="1495" spans="1:22">
      <c r="A1495" s="3">
        <v>1494</v>
      </c>
      <c r="J1495" s="1" t="s">
        <v>1338</v>
      </c>
      <c r="L1495" s="1" t="s">
        <v>903</v>
      </c>
      <c r="N1495" s="1" t="s">
        <v>3526</v>
      </c>
      <c r="P1495" s="1" t="s">
        <v>3529</v>
      </c>
      <c r="Q1495" s="3">
        <v>0</v>
      </c>
      <c r="R1495" s="22" t="s">
        <v>2764</v>
      </c>
      <c r="S1495" s="22" t="s">
        <v>5097</v>
      </c>
      <c r="T1495" s="51">
        <v>30</v>
      </c>
      <c r="U1495" s="3" t="s">
        <v>5434</v>
      </c>
      <c r="V1495" s="41" t="str">
        <f>HYPERLINK("http://ictvonline.org/taxonomy/p/taxonomy-history?taxnode_id=20181323","ICTVonline=20181323")</f>
        <v>ICTVonline=20181323</v>
      </c>
    </row>
    <row r="1496" spans="1:22">
      <c r="A1496" s="3">
        <v>1495</v>
      </c>
      <c r="J1496" s="1" t="s">
        <v>1338</v>
      </c>
      <c r="L1496" s="1" t="s">
        <v>903</v>
      </c>
      <c r="N1496" s="1" t="s">
        <v>3526</v>
      </c>
      <c r="P1496" s="1" t="s">
        <v>3530</v>
      </c>
      <c r="Q1496" s="3">
        <v>0</v>
      </c>
      <c r="R1496" s="22" t="s">
        <v>2764</v>
      </c>
      <c r="S1496" s="22" t="s">
        <v>5098</v>
      </c>
      <c r="T1496" s="51">
        <v>30</v>
      </c>
      <c r="U1496" s="3" t="s">
        <v>5216</v>
      </c>
      <c r="V1496" s="41" t="str">
        <f>HYPERLINK("http://ictvonline.org/taxonomy/p/taxonomy-history?taxnode_id=20181324","ICTVonline=20181324")</f>
        <v>ICTVonline=20181324</v>
      </c>
    </row>
    <row r="1497" spans="1:22">
      <c r="A1497" s="3">
        <v>1496</v>
      </c>
      <c r="J1497" s="1" t="s">
        <v>1338</v>
      </c>
      <c r="L1497" s="1" t="s">
        <v>903</v>
      </c>
      <c r="N1497" s="1" t="s">
        <v>3526</v>
      </c>
      <c r="P1497" s="1" t="s">
        <v>3531</v>
      </c>
      <c r="Q1497" s="3">
        <v>0</v>
      </c>
      <c r="R1497" s="22" t="s">
        <v>2764</v>
      </c>
      <c r="S1497" s="22" t="s">
        <v>5097</v>
      </c>
      <c r="T1497" s="51">
        <v>30</v>
      </c>
      <c r="U1497" s="3" t="s">
        <v>5434</v>
      </c>
      <c r="V1497" s="41" t="str">
        <f>HYPERLINK("http://ictvonline.org/taxonomy/p/taxonomy-history?taxnode_id=20181325","ICTVonline=20181325")</f>
        <v>ICTVonline=20181325</v>
      </c>
    </row>
    <row r="1498" spans="1:22">
      <c r="A1498" s="3">
        <v>1497</v>
      </c>
      <c r="J1498" s="1" t="s">
        <v>1338</v>
      </c>
      <c r="L1498" s="1" t="s">
        <v>903</v>
      </c>
      <c r="N1498" s="1" t="s">
        <v>3526</v>
      </c>
      <c r="P1498" s="1" t="s">
        <v>3532</v>
      </c>
      <c r="Q1498" s="3">
        <v>0</v>
      </c>
      <c r="R1498" s="22" t="s">
        <v>2764</v>
      </c>
      <c r="S1498" s="22" t="s">
        <v>5098</v>
      </c>
      <c r="T1498" s="51">
        <v>30</v>
      </c>
      <c r="U1498" s="3" t="s">
        <v>5216</v>
      </c>
      <c r="V1498" s="41" t="str">
        <f>HYPERLINK("http://ictvonline.org/taxonomy/p/taxonomy-history?taxnode_id=20181326","ICTVonline=20181326")</f>
        <v>ICTVonline=20181326</v>
      </c>
    </row>
    <row r="1499" spans="1:22">
      <c r="A1499" s="3">
        <v>1498</v>
      </c>
      <c r="J1499" s="1" t="s">
        <v>1338</v>
      </c>
      <c r="L1499" s="1" t="s">
        <v>903</v>
      </c>
      <c r="N1499" s="1" t="s">
        <v>3526</v>
      </c>
      <c r="P1499" s="1" t="s">
        <v>4646</v>
      </c>
      <c r="Q1499" s="3">
        <v>0</v>
      </c>
      <c r="R1499" s="22" t="s">
        <v>2764</v>
      </c>
      <c r="S1499" s="22" t="s">
        <v>5097</v>
      </c>
      <c r="T1499" s="51">
        <v>31</v>
      </c>
      <c r="U1499" s="3" t="s">
        <v>5217</v>
      </c>
      <c r="V1499" s="41" t="str">
        <f>HYPERLINK("http://ictvonline.org/taxonomy/p/taxonomy-history?taxnode_id=20181327","ICTVonline=20181327")</f>
        <v>ICTVonline=20181327</v>
      </c>
    </row>
    <row r="1500" spans="1:22">
      <c r="A1500" s="3">
        <v>1499</v>
      </c>
      <c r="J1500" s="1" t="s">
        <v>1338</v>
      </c>
      <c r="L1500" s="1" t="s">
        <v>903</v>
      </c>
      <c r="N1500" s="1" t="s">
        <v>3526</v>
      </c>
      <c r="P1500" s="1" t="s">
        <v>3533</v>
      </c>
      <c r="Q1500" s="3">
        <v>1</v>
      </c>
      <c r="R1500" s="22" t="s">
        <v>2764</v>
      </c>
      <c r="S1500" s="22" t="s">
        <v>5101</v>
      </c>
      <c r="T1500" s="51">
        <v>30</v>
      </c>
      <c r="U1500" s="3" t="s">
        <v>5216</v>
      </c>
      <c r="V1500" s="41" t="str">
        <f>HYPERLINK("http://ictvonline.org/taxonomy/p/taxonomy-history?taxnode_id=20181328","ICTVonline=20181328")</f>
        <v>ICTVonline=20181328</v>
      </c>
    </row>
    <row r="1501" spans="1:22">
      <c r="A1501" s="3">
        <v>1500</v>
      </c>
      <c r="J1501" s="1" t="s">
        <v>1338</v>
      </c>
      <c r="L1501" s="1" t="s">
        <v>903</v>
      </c>
      <c r="N1501" s="1" t="s">
        <v>3526</v>
      </c>
      <c r="P1501" s="1" t="s">
        <v>4647</v>
      </c>
      <c r="Q1501" s="3">
        <v>0</v>
      </c>
      <c r="R1501" s="22" t="s">
        <v>2764</v>
      </c>
      <c r="S1501" s="22" t="s">
        <v>5097</v>
      </c>
      <c r="T1501" s="51">
        <v>31</v>
      </c>
      <c r="U1501" s="3" t="s">
        <v>5217</v>
      </c>
      <c r="V1501" s="41" t="str">
        <f>HYPERLINK("http://ictvonline.org/taxonomy/p/taxonomy-history?taxnode_id=20181329","ICTVonline=20181329")</f>
        <v>ICTVonline=20181329</v>
      </c>
    </row>
    <row r="1502" spans="1:22">
      <c r="A1502" s="3">
        <v>1501</v>
      </c>
      <c r="J1502" s="1" t="s">
        <v>1338</v>
      </c>
      <c r="L1502" s="1" t="s">
        <v>903</v>
      </c>
      <c r="N1502" s="1" t="s">
        <v>3526</v>
      </c>
      <c r="P1502" s="1" t="s">
        <v>3534</v>
      </c>
      <c r="Q1502" s="3">
        <v>0</v>
      </c>
      <c r="R1502" s="22" t="s">
        <v>2764</v>
      </c>
      <c r="S1502" s="22" t="s">
        <v>5097</v>
      </c>
      <c r="T1502" s="51">
        <v>30</v>
      </c>
      <c r="U1502" s="3" t="s">
        <v>5434</v>
      </c>
      <c r="V1502" s="41" t="str">
        <f>HYPERLINK("http://ictvonline.org/taxonomy/p/taxonomy-history?taxnode_id=20181330","ICTVonline=20181330")</f>
        <v>ICTVonline=20181330</v>
      </c>
    </row>
    <row r="1503" spans="1:22">
      <c r="A1503" s="3">
        <v>1502</v>
      </c>
      <c r="J1503" s="1" t="s">
        <v>1338</v>
      </c>
      <c r="L1503" s="1" t="s">
        <v>903</v>
      </c>
      <c r="N1503" s="1" t="s">
        <v>3526</v>
      </c>
      <c r="P1503" s="1" t="s">
        <v>3535</v>
      </c>
      <c r="Q1503" s="3">
        <v>0</v>
      </c>
      <c r="R1503" s="22" t="s">
        <v>2764</v>
      </c>
      <c r="S1503" s="22" t="s">
        <v>5098</v>
      </c>
      <c r="T1503" s="51">
        <v>30</v>
      </c>
      <c r="U1503" s="3" t="s">
        <v>5216</v>
      </c>
      <c r="V1503" s="41" t="str">
        <f>HYPERLINK("http://ictvonline.org/taxonomy/p/taxonomy-history?taxnode_id=20181331","ICTVonline=20181331")</f>
        <v>ICTVonline=20181331</v>
      </c>
    </row>
    <row r="1504" spans="1:22">
      <c r="A1504" s="3">
        <v>1503</v>
      </c>
      <c r="J1504" s="1" t="s">
        <v>1338</v>
      </c>
      <c r="L1504" s="1" t="s">
        <v>903</v>
      </c>
      <c r="N1504" s="1" t="s">
        <v>3526</v>
      </c>
      <c r="P1504" s="1" t="s">
        <v>3536</v>
      </c>
      <c r="Q1504" s="3">
        <v>0</v>
      </c>
      <c r="R1504" s="22" t="s">
        <v>2764</v>
      </c>
      <c r="S1504" s="22" t="s">
        <v>5097</v>
      </c>
      <c r="T1504" s="51">
        <v>30</v>
      </c>
      <c r="U1504" s="3" t="s">
        <v>5434</v>
      </c>
      <c r="V1504" s="41" t="str">
        <f>HYPERLINK("http://ictvonline.org/taxonomy/p/taxonomy-history?taxnode_id=20181332","ICTVonline=20181332")</f>
        <v>ICTVonline=20181332</v>
      </c>
    </row>
    <row r="1505" spans="1:22">
      <c r="A1505" s="3">
        <v>1504</v>
      </c>
      <c r="J1505" s="1" t="s">
        <v>1338</v>
      </c>
      <c r="L1505" s="1" t="s">
        <v>903</v>
      </c>
      <c r="N1505" s="1" t="s">
        <v>4648</v>
      </c>
      <c r="P1505" s="1" t="s">
        <v>4649</v>
      </c>
      <c r="Q1505" s="3">
        <v>1</v>
      </c>
      <c r="R1505" s="22" t="s">
        <v>2764</v>
      </c>
      <c r="S1505" s="22" t="s">
        <v>5097</v>
      </c>
      <c r="T1505" s="51">
        <v>31</v>
      </c>
      <c r="U1505" s="3" t="s">
        <v>5435</v>
      </c>
      <c r="V1505" s="41" t="str">
        <f>HYPERLINK("http://ictvonline.org/taxonomy/p/taxonomy-history?taxnode_id=20181334","ICTVonline=20181334")</f>
        <v>ICTVonline=20181334</v>
      </c>
    </row>
    <row r="1506" spans="1:22">
      <c r="A1506" s="3">
        <v>1505</v>
      </c>
      <c r="J1506" s="1" t="s">
        <v>1338</v>
      </c>
      <c r="L1506" s="1" t="s">
        <v>903</v>
      </c>
      <c r="N1506" s="1" t="s">
        <v>4650</v>
      </c>
      <c r="P1506" s="1" t="s">
        <v>4651</v>
      </c>
      <c r="Q1506" s="3">
        <v>1</v>
      </c>
      <c r="R1506" s="22" t="s">
        <v>2764</v>
      </c>
      <c r="S1506" s="22" t="s">
        <v>5097</v>
      </c>
      <c r="T1506" s="51">
        <v>31</v>
      </c>
      <c r="U1506" s="3" t="s">
        <v>5436</v>
      </c>
      <c r="V1506" s="41" t="str">
        <f>HYPERLINK("http://ictvonline.org/taxonomy/p/taxonomy-history?taxnode_id=20181336","ICTVonline=20181336")</f>
        <v>ICTVonline=20181336</v>
      </c>
    </row>
    <row r="1507" spans="1:22">
      <c r="A1507" s="3">
        <v>1506</v>
      </c>
      <c r="J1507" s="1" t="s">
        <v>1338</v>
      </c>
      <c r="L1507" s="1" t="s">
        <v>903</v>
      </c>
      <c r="N1507" s="1" t="s">
        <v>4650</v>
      </c>
      <c r="P1507" s="1" t="s">
        <v>4652</v>
      </c>
      <c r="Q1507" s="3">
        <v>0</v>
      </c>
      <c r="R1507" s="22" t="s">
        <v>2764</v>
      </c>
      <c r="S1507" s="22" t="s">
        <v>5097</v>
      </c>
      <c r="T1507" s="51">
        <v>31</v>
      </c>
      <c r="U1507" s="3" t="s">
        <v>5436</v>
      </c>
      <c r="V1507" s="41" t="str">
        <f>HYPERLINK("http://ictvonline.org/taxonomy/p/taxonomy-history?taxnode_id=20181337","ICTVonline=20181337")</f>
        <v>ICTVonline=20181337</v>
      </c>
    </row>
    <row r="1508" spans="1:22">
      <c r="A1508" s="3">
        <v>1507</v>
      </c>
      <c r="J1508" s="1" t="s">
        <v>1338</v>
      </c>
      <c r="L1508" s="1" t="s">
        <v>903</v>
      </c>
      <c r="N1508" s="1" t="s">
        <v>4650</v>
      </c>
      <c r="P1508" s="1" t="s">
        <v>4653</v>
      </c>
      <c r="Q1508" s="3">
        <v>0</v>
      </c>
      <c r="R1508" s="22" t="s">
        <v>2764</v>
      </c>
      <c r="S1508" s="22" t="s">
        <v>5097</v>
      </c>
      <c r="T1508" s="51">
        <v>31</v>
      </c>
      <c r="U1508" s="3" t="s">
        <v>5436</v>
      </c>
      <c r="V1508" s="41" t="str">
        <f>HYPERLINK("http://ictvonline.org/taxonomy/p/taxonomy-history?taxnode_id=20181338","ICTVonline=20181338")</f>
        <v>ICTVonline=20181338</v>
      </c>
    </row>
    <row r="1509" spans="1:22">
      <c r="A1509" s="3">
        <v>1508</v>
      </c>
      <c r="J1509" s="1" t="s">
        <v>1338</v>
      </c>
      <c r="L1509" s="1" t="s">
        <v>903</v>
      </c>
      <c r="N1509" s="1" t="s">
        <v>4654</v>
      </c>
      <c r="P1509" s="1" t="s">
        <v>4655</v>
      </c>
      <c r="Q1509" s="3">
        <v>0</v>
      </c>
      <c r="R1509" s="22" t="s">
        <v>2764</v>
      </c>
      <c r="S1509" s="22" t="s">
        <v>5097</v>
      </c>
      <c r="T1509" s="51">
        <v>31</v>
      </c>
      <c r="U1509" s="3" t="s">
        <v>5437</v>
      </c>
      <c r="V1509" s="41" t="str">
        <f>HYPERLINK("http://ictvonline.org/taxonomy/p/taxonomy-history?taxnode_id=20181340","ICTVonline=20181340")</f>
        <v>ICTVonline=20181340</v>
      </c>
    </row>
    <row r="1510" spans="1:22">
      <c r="A1510" s="3">
        <v>1509</v>
      </c>
      <c r="J1510" s="1" t="s">
        <v>1338</v>
      </c>
      <c r="L1510" s="1" t="s">
        <v>903</v>
      </c>
      <c r="N1510" s="1" t="s">
        <v>4654</v>
      </c>
      <c r="P1510" s="1" t="s">
        <v>4656</v>
      </c>
      <c r="Q1510" s="3">
        <v>1</v>
      </c>
      <c r="R1510" s="22" t="s">
        <v>2764</v>
      </c>
      <c r="S1510" s="22" t="s">
        <v>5097</v>
      </c>
      <c r="T1510" s="51">
        <v>31</v>
      </c>
      <c r="U1510" s="3" t="s">
        <v>5437</v>
      </c>
      <c r="V1510" s="41" t="str">
        <f>HYPERLINK("http://ictvonline.org/taxonomy/p/taxonomy-history?taxnode_id=20181341","ICTVonline=20181341")</f>
        <v>ICTVonline=20181341</v>
      </c>
    </row>
    <row r="1511" spans="1:22">
      <c r="A1511" s="3">
        <v>1510</v>
      </c>
      <c r="J1511" s="1" t="s">
        <v>1338</v>
      </c>
      <c r="L1511" s="1" t="s">
        <v>903</v>
      </c>
      <c r="N1511" s="1" t="s">
        <v>3537</v>
      </c>
      <c r="P1511" s="1" t="s">
        <v>3538</v>
      </c>
      <c r="Q1511" s="3">
        <v>0</v>
      </c>
      <c r="R1511" s="22" t="s">
        <v>2764</v>
      </c>
      <c r="S1511" s="22" t="s">
        <v>5098</v>
      </c>
      <c r="T1511" s="51">
        <v>30</v>
      </c>
      <c r="U1511" s="3" t="s">
        <v>5216</v>
      </c>
      <c r="V1511" s="41" t="str">
        <f>HYPERLINK("http://ictvonline.org/taxonomy/p/taxonomy-history?taxnode_id=20181343","ICTVonline=20181343")</f>
        <v>ICTVonline=20181343</v>
      </c>
    </row>
    <row r="1512" spans="1:22">
      <c r="A1512" s="3">
        <v>1511</v>
      </c>
      <c r="J1512" s="1" t="s">
        <v>1338</v>
      </c>
      <c r="L1512" s="1" t="s">
        <v>903</v>
      </c>
      <c r="N1512" s="1" t="s">
        <v>3537</v>
      </c>
      <c r="P1512" s="1" t="s">
        <v>3539</v>
      </c>
      <c r="Q1512" s="3">
        <v>0</v>
      </c>
      <c r="R1512" s="22" t="s">
        <v>2764</v>
      </c>
      <c r="S1512" s="22" t="s">
        <v>5098</v>
      </c>
      <c r="T1512" s="51">
        <v>30</v>
      </c>
      <c r="U1512" s="3" t="s">
        <v>5216</v>
      </c>
      <c r="V1512" s="41" t="str">
        <f>HYPERLINK("http://ictvonline.org/taxonomy/p/taxonomy-history?taxnode_id=20181344","ICTVonline=20181344")</f>
        <v>ICTVonline=20181344</v>
      </c>
    </row>
    <row r="1513" spans="1:22">
      <c r="A1513" s="3">
        <v>1512</v>
      </c>
      <c r="J1513" s="1" t="s">
        <v>1338</v>
      </c>
      <c r="L1513" s="1" t="s">
        <v>903</v>
      </c>
      <c r="N1513" s="1" t="s">
        <v>3537</v>
      </c>
      <c r="P1513" s="1" t="s">
        <v>3540</v>
      </c>
      <c r="Q1513" s="3">
        <v>0</v>
      </c>
      <c r="R1513" s="22" t="s">
        <v>2764</v>
      </c>
      <c r="S1513" s="22" t="s">
        <v>5098</v>
      </c>
      <c r="T1513" s="51">
        <v>30</v>
      </c>
      <c r="U1513" s="3" t="s">
        <v>5216</v>
      </c>
      <c r="V1513" s="41" t="str">
        <f>HYPERLINK("http://ictvonline.org/taxonomy/p/taxonomy-history?taxnode_id=20181345","ICTVonline=20181345")</f>
        <v>ICTVonline=20181345</v>
      </c>
    </row>
    <row r="1514" spans="1:22">
      <c r="A1514" s="3">
        <v>1513</v>
      </c>
      <c r="J1514" s="1" t="s">
        <v>1338</v>
      </c>
      <c r="L1514" s="1" t="s">
        <v>903</v>
      </c>
      <c r="N1514" s="1" t="s">
        <v>3537</v>
      </c>
      <c r="P1514" s="1" t="s">
        <v>5115</v>
      </c>
      <c r="Q1514" s="3">
        <v>0</v>
      </c>
      <c r="R1514" s="22" t="s">
        <v>2764</v>
      </c>
      <c r="S1514" s="22" t="s">
        <v>5100</v>
      </c>
      <c r="T1514" s="51">
        <v>31</v>
      </c>
      <c r="U1514" s="3" t="s">
        <v>5219</v>
      </c>
      <c r="V1514" s="41" t="str">
        <f>HYPERLINK("http://ictvonline.org/taxonomy/p/taxonomy-history?taxnode_id=20181346","ICTVonline=20181346")</f>
        <v>ICTVonline=20181346</v>
      </c>
    </row>
    <row r="1515" spans="1:22">
      <c r="A1515" s="3">
        <v>1514</v>
      </c>
      <c r="J1515" s="1" t="s">
        <v>1338</v>
      </c>
      <c r="L1515" s="1" t="s">
        <v>903</v>
      </c>
      <c r="N1515" s="1" t="s">
        <v>3537</v>
      </c>
      <c r="P1515" s="1" t="s">
        <v>3541</v>
      </c>
      <c r="Q1515" s="3">
        <v>0</v>
      </c>
      <c r="R1515" s="22" t="s">
        <v>2764</v>
      </c>
      <c r="S1515" s="22" t="s">
        <v>5098</v>
      </c>
      <c r="T1515" s="51">
        <v>30</v>
      </c>
      <c r="U1515" s="3" t="s">
        <v>5216</v>
      </c>
      <c r="V1515" s="41" t="str">
        <f>HYPERLINK("http://ictvonline.org/taxonomy/p/taxonomy-history?taxnode_id=20181347","ICTVonline=20181347")</f>
        <v>ICTVonline=20181347</v>
      </c>
    </row>
    <row r="1516" spans="1:22">
      <c r="A1516" s="3">
        <v>1515</v>
      </c>
      <c r="J1516" s="1" t="s">
        <v>1338</v>
      </c>
      <c r="L1516" s="1" t="s">
        <v>903</v>
      </c>
      <c r="N1516" s="1" t="s">
        <v>3537</v>
      </c>
      <c r="P1516" s="1" t="s">
        <v>3542</v>
      </c>
      <c r="Q1516" s="3">
        <v>0</v>
      </c>
      <c r="R1516" s="22" t="s">
        <v>2764</v>
      </c>
      <c r="S1516" s="22" t="s">
        <v>5098</v>
      </c>
      <c r="T1516" s="51">
        <v>30</v>
      </c>
      <c r="U1516" s="3" t="s">
        <v>5216</v>
      </c>
      <c r="V1516" s="41" t="str">
        <f>HYPERLINK("http://ictvonline.org/taxonomy/p/taxonomy-history?taxnode_id=20181348","ICTVonline=20181348")</f>
        <v>ICTVonline=20181348</v>
      </c>
    </row>
    <row r="1517" spans="1:22">
      <c r="A1517" s="3">
        <v>1516</v>
      </c>
      <c r="J1517" s="1" t="s">
        <v>1338</v>
      </c>
      <c r="L1517" s="1" t="s">
        <v>903</v>
      </c>
      <c r="N1517" s="1" t="s">
        <v>3537</v>
      </c>
      <c r="P1517" s="1" t="s">
        <v>3543</v>
      </c>
      <c r="Q1517" s="3">
        <v>0</v>
      </c>
      <c r="R1517" s="22" t="s">
        <v>2764</v>
      </c>
      <c r="S1517" s="22" t="s">
        <v>5098</v>
      </c>
      <c r="T1517" s="51">
        <v>30</v>
      </c>
      <c r="U1517" s="3" t="s">
        <v>5216</v>
      </c>
      <c r="V1517" s="41" t="str">
        <f>HYPERLINK("http://ictvonline.org/taxonomy/p/taxonomy-history?taxnode_id=20181349","ICTVonline=20181349")</f>
        <v>ICTVonline=20181349</v>
      </c>
    </row>
    <row r="1518" spans="1:22">
      <c r="A1518" s="3">
        <v>1517</v>
      </c>
      <c r="J1518" s="1" t="s">
        <v>1338</v>
      </c>
      <c r="L1518" s="1" t="s">
        <v>903</v>
      </c>
      <c r="N1518" s="1" t="s">
        <v>3537</v>
      </c>
      <c r="P1518" s="1" t="s">
        <v>3544</v>
      </c>
      <c r="Q1518" s="3">
        <v>0</v>
      </c>
      <c r="R1518" s="22" t="s">
        <v>2764</v>
      </c>
      <c r="S1518" s="22" t="s">
        <v>5098</v>
      </c>
      <c r="T1518" s="51">
        <v>30</v>
      </c>
      <c r="U1518" s="3" t="s">
        <v>5216</v>
      </c>
      <c r="V1518" s="41" t="str">
        <f>HYPERLINK("http://ictvonline.org/taxonomy/p/taxonomy-history?taxnode_id=20181350","ICTVonline=20181350")</f>
        <v>ICTVonline=20181350</v>
      </c>
    </row>
    <row r="1519" spans="1:22">
      <c r="A1519" s="3">
        <v>1518</v>
      </c>
      <c r="J1519" s="1" t="s">
        <v>1338</v>
      </c>
      <c r="L1519" s="1" t="s">
        <v>903</v>
      </c>
      <c r="N1519" s="1" t="s">
        <v>3537</v>
      </c>
      <c r="P1519" s="1" t="s">
        <v>3545</v>
      </c>
      <c r="Q1519" s="3">
        <v>1</v>
      </c>
      <c r="R1519" s="22" t="s">
        <v>2764</v>
      </c>
      <c r="S1519" s="22" t="s">
        <v>5098</v>
      </c>
      <c r="T1519" s="51">
        <v>30</v>
      </c>
      <c r="U1519" s="3" t="s">
        <v>5216</v>
      </c>
      <c r="V1519" s="41" t="str">
        <f>HYPERLINK("http://ictvonline.org/taxonomy/p/taxonomy-history?taxnode_id=20181351","ICTVonline=20181351")</f>
        <v>ICTVonline=20181351</v>
      </c>
    </row>
    <row r="1520" spans="1:22">
      <c r="A1520" s="3">
        <v>1519</v>
      </c>
      <c r="J1520" s="1" t="s">
        <v>1338</v>
      </c>
      <c r="L1520" s="1" t="s">
        <v>903</v>
      </c>
      <c r="N1520" s="1" t="s">
        <v>3546</v>
      </c>
      <c r="P1520" s="1" t="s">
        <v>3547</v>
      </c>
      <c r="Q1520" s="3">
        <v>0</v>
      </c>
      <c r="R1520" s="22" t="s">
        <v>2764</v>
      </c>
      <c r="S1520" s="22" t="s">
        <v>5098</v>
      </c>
      <c r="T1520" s="51">
        <v>30</v>
      </c>
      <c r="U1520" s="3" t="s">
        <v>5216</v>
      </c>
      <c r="V1520" s="41" t="str">
        <f>HYPERLINK("http://ictvonline.org/taxonomy/p/taxonomy-history?taxnode_id=20181353","ICTVonline=20181353")</f>
        <v>ICTVonline=20181353</v>
      </c>
    </row>
    <row r="1521" spans="1:22">
      <c r="A1521" s="3">
        <v>1520</v>
      </c>
      <c r="J1521" s="1" t="s">
        <v>1338</v>
      </c>
      <c r="L1521" s="1" t="s">
        <v>903</v>
      </c>
      <c r="N1521" s="1" t="s">
        <v>3546</v>
      </c>
      <c r="P1521" s="1" t="s">
        <v>3548</v>
      </c>
      <c r="Q1521" s="3">
        <v>1</v>
      </c>
      <c r="R1521" s="22" t="s">
        <v>2764</v>
      </c>
      <c r="S1521" s="22" t="s">
        <v>5098</v>
      </c>
      <c r="T1521" s="51">
        <v>30</v>
      </c>
      <c r="U1521" s="3" t="s">
        <v>5216</v>
      </c>
      <c r="V1521" s="41" t="str">
        <f>HYPERLINK("http://ictvonline.org/taxonomy/p/taxonomy-history?taxnode_id=20181354","ICTVonline=20181354")</f>
        <v>ICTVonline=20181354</v>
      </c>
    </row>
    <row r="1522" spans="1:22">
      <c r="A1522" s="3">
        <v>1521</v>
      </c>
      <c r="J1522" s="1" t="s">
        <v>1338</v>
      </c>
      <c r="L1522" s="1" t="s">
        <v>903</v>
      </c>
      <c r="N1522" s="1" t="s">
        <v>5438</v>
      </c>
      <c r="P1522" s="1" t="s">
        <v>5439</v>
      </c>
      <c r="Q1522" s="3">
        <v>1</v>
      </c>
      <c r="R1522" s="22" t="s">
        <v>2764</v>
      </c>
      <c r="S1522" s="22" t="s">
        <v>5097</v>
      </c>
      <c r="T1522" s="51">
        <v>32</v>
      </c>
      <c r="U1522" s="3" t="s">
        <v>5440</v>
      </c>
      <c r="V1522" s="41" t="str">
        <f>HYPERLINK("http://ictvonline.org/taxonomy/p/taxonomy-history?taxnode_id=20185563","ICTVonline=20185563")</f>
        <v>ICTVonline=20185563</v>
      </c>
    </row>
    <row r="1523" spans="1:22">
      <c r="A1523" s="3">
        <v>1522</v>
      </c>
      <c r="J1523" s="1" t="s">
        <v>1338</v>
      </c>
      <c r="L1523" s="1" t="s">
        <v>903</v>
      </c>
      <c r="N1523" s="1" t="s">
        <v>3549</v>
      </c>
      <c r="P1523" s="1" t="s">
        <v>3550</v>
      </c>
      <c r="Q1523" s="3">
        <v>0</v>
      </c>
      <c r="R1523" s="22" t="s">
        <v>2764</v>
      </c>
      <c r="S1523" s="22" t="s">
        <v>5098</v>
      </c>
      <c r="T1523" s="51">
        <v>30</v>
      </c>
      <c r="U1523" s="3" t="s">
        <v>5216</v>
      </c>
      <c r="V1523" s="41" t="str">
        <f>HYPERLINK("http://ictvonline.org/taxonomy/p/taxonomy-history?taxnode_id=20181356","ICTVonline=20181356")</f>
        <v>ICTVonline=20181356</v>
      </c>
    </row>
    <row r="1524" spans="1:22">
      <c r="A1524" s="3">
        <v>1523</v>
      </c>
      <c r="J1524" s="1" t="s">
        <v>1338</v>
      </c>
      <c r="L1524" s="1" t="s">
        <v>903</v>
      </c>
      <c r="N1524" s="1" t="s">
        <v>3549</v>
      </c>
      <c r="P1524" s="1" t="s">
        <v>3551</v>
      </c>
      <c r="Q1524" s="3">
        <v>1</v>
      </c>
      <c r="R1524" s="22" t="s">
        <v>2764</v>
      </c>
      <c r="S1524" s="22" t="s">
        <v>5098</v>
      </c>
      <c r="T1524" s="51">
        <v>30</v>
      </c>
      <c r="U1524" s="3" t="s">
        <v>5216</v>
      </c>
      <c r="V1524" s="41" t="str">
        <f>HYPERLINK("http://ictvonline.org/taxonomy/p/taxonomy-history?taxnode_id=20181357","ICTVonline=20181357")</f>
        <v>ICTVonline=20181357</v>
      </c>
    </row>
    <row r="1525" spans="1:22">
      <c r="A1525" s="3">
        <v>1524</v>
      </c>
      <c r="J1525" s="1" t="s">
        <v>1338</v>
      </c>
      <c r="L1525" s="1" t="s">
        <v>903</v>
      </c>
      <c r="N1525" s="1" t="s">
        <v>3549</v>
      </c>
      <c r="P1525" s="1" t="s">
        <v>3552</v>
      </c>
      <c r="Q1525" s="3">
        <v>0</v>
      </c>
      <c r="R1525" s="22" t="s">
        <v>2764</v>
      </c>
      <c r="S1525" s="22" t="s">
        <v>5098</v>
      </c>
      <c r="T1525" s="51">
        <v>30</v>
      </c>
      <c r="U1525" s="3" t="s">
        <v>5216</v>
      </c>
      <c r="V1525" s="41" t="str">
        <f>HYPERLINK("http://ictvonline.org/taxonomy/p/taxonomy-history?taxnode_id=20181358","ICTVonline=20181358")</f>
        <v>ICTVonline=20181358</v>
      </c>
    </row>
    <row r="1526" spans="1:22">
      <c r="A1526" s="3">
        <v>1525</v>
      </c>
      <c r="J1526" s="1" t="s">
        <v>1338</v>
      </c>
      <c r="L1526" s="1" t="s">
        <v>903</v>
      </c>
      <c r="N1526" s="1" t="s">
        <v>3549</v>
      </c>
      <c r="P1526" s="1" t="s">
        <v>3553</v>
      </c>
      <c r="Q1526" s="3">
        <v>0</v>
      </c>
      <c r="R1526" s="22" t="s">
        <v>2764</v>
      </c>
      <c r="S1526" s="22" t="s">
        <v>5098</v>
      </c>
      <c r="T1526" s="51">
        <v>30</v>
      </c>
      <c r="U1526" s="3" t="s">
        <v>5216</v>
      </c>
      <c r="V1526" s="41" t="str">
        <f>HYPERLINK("http://ictvonline.org/taxonomy/p/taxonomy-history?taxnode_id=20181359","ICTVonline=20181359")</f>
        <v>ICTVonline=20181359</v>
      </c>
    </row>
    <row r="1527" spans="1:22">
      <c r="A1527" s="3">
        <v>1526</v>
      </c>
      <c r="J1527" s="1" t="s">
        <v>1338</v>
      </c>
      <c r="L1527" s="1" t="s">
        <v>903</v>
      </c>
      <c r="N1527" s="1" t="s">
        <v>3549</v>
      </c>
      <c r="P1527" s="1" t="s">
        <v>3554</v>
      </c>
      <c r="Q1527" s="3">
        <v>0</v>
      </c>
      <c r="R1527" s="22" t="s">
        <v>2764</v>
      </c>
      <c r="S1527" s="22" t="s">
        <v>5098</v>
      </c>
      <c r="T1527" s="51">
        <v>30</v>
      </c>
      <c r="U1527" s="3" t="s">
        <v>5216</v>
      </c>
      <c r="V1527" s="41" t="str">
        <f>HYPERLINK("http://ictvonline.org/taxonomy/p/taxonomy-history?taxnode_id=20181360","ICTVonline=20181360")</f>
        <v>ICTVonline=20181360</v>
      </c>
    </row>
    <row r="1528" spans="1:22">
      <c r="A1528" s="3">
        <v>1527</v>
      </c>
      <c r="J1528" s="1" t="s">
        <v>1338</v>
      </c>
      <c r="L1528" s="1" t="s">
        <v>903</v>
      </c>
      <c r="N1528" s="1" t="s">
        <v>3549</v>
      </c>
      <c r="P1528" s="1" t="s">
        <v>3555</v>
      </c>
      <c r="Q1528" s="3">
        <v>0</v>
      </c>
      <c r="R1528" s="22" t="s">
        <v>2764</v>
      </c>
      <c r="S1528" s="22" t="s">
        <v>5098</v>
      </c>
      <c r="T1528" s="51">
        <v>30</v>
      </c>
      <c r="U1528" s="3" t="s">
        <v>5216</v>
      </c>
      <c r="V1528" s="41" t="str">
        <f>HYPERLINK("http://ictvonline.org/taxonomy/p/taxonomy-history?taxnode_id=20181361","ICTVonline=20181361")</f>
        <v>ICTVonline=20181361</v>
      </c>
    </row>
    <row r="1529" spans="1:22">
      <c r="A1529" s="3">
        <v>1528</v>
      </c>
      <c r="J1529" s="1" t="s">
        <v>1338</v>
      </c>
      <c r="L1529" s="1" t="s">
        <v>903</v>
      </c>
      <c r="N1529" s="1" t="s">
        <v>5441</v>
      </c>
      <c r="P1529" s="1" t="s">
        <v>5442</v>
      </c>
      <c r="Q1529" s="3">
        <v>1</v>
      </c>
      <c r="R1529" s="22" t="s">
        <v>2764</v>
      </c>
      <c r="S1529" s="22" t="s">
        <v>5097</v>
      </c>
      <c r="T1529" s="51">
        <v>32</v>
      </c>
      <c r="U1529" s="3" t="s">
        <v>5443</v>
      </c>
      <c r="V1529" s="41" t="str">
        <f>HYPERLINK("http://ictvonline.org/taxonomy/p/taxonomy-history?taxnode_id=20185565","ICTVonline=20185565")</f>
        <v>ICTVonline=20185565</v>
      </c>
    </row>
    <row r="1530" spans="1:22">
      <c r="A1530" s="3">
        <v>1529</v>
      </c>
      <c r="J1530" s="1" t="s">
        <v>1338</v>
      </c>
      <c r="L1530" s="1" t="s">
        <v>903</v>
      </c>
      <c r="N1530" s="1" t="s">
        <v>4657</v>
      </c>
      <c r="P1530" s="1" t="s">
        <v>4658</v>
      </c>
      <c r="Q1530" s="3">
        <v>1</v>
      </c>
      <c r="R1530" s="22" t="s">
        <v>2764</v>
      </c>
      <c r="S1530" s="22" t="s">
        <v>5097</v>
      </c>
      <c r="T1530" s="51">
        <v>31</v>
      </c>
      <c r="U1530" s="3" t="s">
        <v>5444</v>
      </c>
      <c r="V1530" s="41" t="str">
        <f>HYPERLINK("http://ictvonline.org/taxonomy/p/taxonomy-history?taxnode_id=20181365","ICTVonline=20181365")</f>
        <v>ICTVonline=20181365</v>
      </c>
    </row>
    <row r="1531" spans="1:22">
      <c r="A1531" s="3">
        <v>1530</v>
      </c>
      <c r="J1531" s="1" t="s">
        <v>1338</v>
      </c>
      <c r="L1531" s="1" t="s">
        <v>903</v>
      </c>
      <c r="N1531" s="1" t="s">
        <v>4659</v>
      </c>
      <c r="P1531" s="1" t="s">
        <v>4660</v>
      </c>
      <c r="Q1531" s="3">
        <v>1</v>
      </c>
      <c r="R1531" s="22" t="s">
        <v>2764</v>
      </c>
      <c r="S1531" s="22" t="s">
        <v>5097</v>
      </c>
      <c r="T1531" s="51">
        <v>31</v>
      </c>
      <c r="U1531" s="3" t="s">
        <v>5445</v>
      </c>
      <c r="V1531" s="41" t="str">
        <f>HYPERLINK("http://ictvonline.org/taxonomy/p/taxonomy-history?taxnode_id=20181367","ICTVonline=20181367")</f>
        <v>ICTVonline=20181367</v>
      </c>
    </row>
    <row r="1532" spans="1:22">
      <c r="A1532" s="3">
        <v>1531</v>
      </c>
      <c r="J1532" s="1" t="s">
        <v>1338</v>
      </c>
      <c r="L1532" s="1" t="s">
        <v>903</v>
      </c>
      <c r="N1532" s="1" t="s">
        <v>3556</v>
      </c>
      <c r="P1532" s="1" t="s">
        <v>3557</v>
      </c>
      <c r="Q1532" s="3">
        <v>1</v>
      </c>
      <c r="R1532" s="22" t="s">
        <v>2764</v>
      </c>
      <c r="S1532" s="22" t="s">
        <v>5098</v>
      </c>
      <c r="T1532" s="51">
        <v>30</v>
      </c>
      <c r="U1532" s="3" t="s">
        <v>5216</v>
      </c>
      <c r="V1532" s="41" t="str">
        <f>HYPERLINK("http://ictvonline.org/taxonomy/p/taxonomy-history?taxnode_id=20181369","ICTVonline=20181369")</f>
        <v>ICTVonline=20181369</v>
      </c>
    </row>
    <row r="1533" spans="1:22">
      <c r="A1533" s="3">
        <v>1532</v>
      </c>
      <c r="J1533" s="1" t="s">
        <v>1338</v>
      </c>
      <c r="L1533" s="1" t="s">
        <v>903</v>
      </c>
      <c r="N1533" s="1" t="s">
        <v>4661</v>
      </c>
      <c r="P1533" s="1" t="s">
        <v>4662</v>
      </c>
      <c r="Q1533" s="3">
        <v>1</v>
      </c>
      <c r="R1533" s="22" t="s">
        <v>2764</v>
      </c>
      <c r="S1533" s="22" t="s">
        <v>5097</v>
      </c>
      <c r="T1533" s="51">
        <v>31</v>
      </c>
      <c r="U1533" s="3" t="s">
        <v>5446</v>
      </c>
      <c r="V1533" s="41" t="str">
        <f>HYPERLINK("http://ictvonline.org/taxonomy/p/taxonomy-history?taxnode_id=20181371","ICTVonline=20181371")</f>
        <v>ICTVonline=20181371</v>
      </c>
    </row>
    <row r="1534" spans="1:22">
      <c r="A1534" s="3">
        <v>1533</v>
      </c>
      <c r="J1534" s="1" t="s">
        <v>1338</v>
      </c>
      <c r="L1534" s="1" t="s">
        <v>903</v>
      </c>
      <c r="N1534" s="1" t="s">
        <v>5447</v>
      </c>
      <c r="P1534" s="1" t="s">
        <v>5448</v>
      </c>
      <c r="Q1534" s="3">
        <v>0</v>
      </c>
      <c r="R1534" s="22" t="s">
        <v>2764</v>
      </c>
      <c r="S1534" s="22" t="s">
        <v>5097</v>
      </c>
      <c r="T1534" s="51">
        <v>32</v>
      </c>
      <c r="U1534" s="3" t="s">
        <v>5449</v>
      </c>
      <c r="V1534" s="41" t="str">
        <f>HYPERLINK("http://ictvonline.org/taxonomy/p/taxonomy-history?taxnode_id=20185567","ICTVonline=20185567")</f>
        <v>ICTVonline=20185567</v>
      </c>
    </row>
    <row r="1535" spans="1:22">
      <c r="A1535" s="3">
        <v>1534</v>
      </c>
      <c r="J1535" s="1" t="s">
        <v>1338</v>
      </c>
      <c r="L1535" s="1" t="s">
        <v>903</v>
      </c>
      <c r="N1535" s="1" t="s">
        <v>5447</v>
      </c>
      <c r="P1535" s="1" t="s">
        <v>5450</v>
      </c>
      <c r="Q1535" s="3">
        <v>1</v>
      </c>
      <c r="R1535" s="22" t="s">
        <v>2764</v>
      </c>
      <c r="S1535" s="22" t="s">
        <v>5097</v>
      </c>
      <c r="T1535" s="51">
        <v>32</v>
      </c>
      <c r="U1535" s="3" t="s">
        <v>5449</v>
      </c>
      <c r="V1535" s="41" t="str">
        <f>HYPERLINK("http://ictvonline.org/taxonomy/p/taxonomy-history?taxnode_id=20185568","ICTVonline=20185568")</f>
        <v>ICTVonline=20185568</v>
      </c>
    </row>
    <row r="1536" spans="1:22">
      <c r="A1536" s="3">
        <v>1535</v>
      </c>
      <c r="J1536" s="1" t="s">
        <v>1338</v>
      </c>
      <c r="L1536" s="1" t="s">
        <v>903</v>
      </c>
      <c r="N1536" s="1" t="s">
        <v>4663</v>
      </c>
      <c r="P1536" s="1" t="s">
        <v>4664</v>
      </c>
      <c r="Q1536" s="3">
        <v>0</v>
      </c>
      <c r="R1536" s="22" t="s">
        <v>2764</v>
      </c>
      <c r="S1536" s="22" t="s">
        <v>5097</v>
      </c>
      <c r="T1536" s="51">
        <v>31</v>
      </c>
      <c r="U1536" s="3" t="s">
        <v>5451</v>
      </c>
      <c r="V1536" s="41" t="str">
        <f>HYPERLINK("http://ictvonline.org/taxonomy/p/taxonomy-history?taxnode_id=20181373","ICTVonline=20181373")</f>
        <v>ICTVonline=20181373</v>
      </c>
    </row>
    <row r="1537" spans="1:22">
      <c r="A1537" s="3">
        <v>1536</v>
      </c>
      <c r="J1537" s="1" t="s">
        <v>1338</v>
      </c>
      <c r="L1537" s="1" t="s">
        <v>903</v>
      </c>
      <c r="N1537" s="1" t="s">
        <v>4663</v>
      </c>
      <c r="P1537" s="1" t="s">
        <v>4665</v>
      </c>
      <c r="Q1537" s="3">
        <v>0</v>
      </c>
      <c r="R1537" s="22" t="s">
        <v>2764</v>
      </c>
      <c r="S1537" s="22" t="s">
        <v>5097</v>
      </c>
      <c r="T1537" s="51">
        <v>31</v>
      </c>
      <c r="U1537" s="3" t="s">
        <v>5451</v>
      </c>
      <c r="V1537" s="41" t="str">
        <f>HYPERLINK("http://ictvonline.org/taxonomy/p/taxonomy-history?taxnode_id=20181374","ICTVonline=20181374")</f>
        <v>ICTVonline=20181374</v>
      </c>
    </row>
    <row r="1538" spans="1:22">
      <c r="A1538" s="3">
        <v>1537</v>
      </c>
      <c r="J1538" s="1" t="s">
        <v>1338</v>
      </c>
      <c r="L1538" s="1" t="s">
        <v>903</v>
      </c>
      <c r="N1538" s="1" t="s">
        <v>4663</v>
      </c>
      <c r="P1538" s="1" t="s">
        <v>4666</v>
      </c>
      <c r="Q1538" s="3">
        <v>1</v>
      </c>
      <c r="R1538" s="22" t="s">
        <v>2764</v>
      </c>
      <c r="S1538" s="22" t="s">
        <v>5097</v>
      </c>
      <c r="T1538" s="51">
        <v>31</v>
      </c>
      <c r="U1538" s="3" t="s">
        <v>5451</v>
      </c>
      <c r="V1538" s="41" t="str">
        <f>HYPERLINK("http://ictvonline.org/taxonomy/p/taxonomy-history?taxnode_id=20181375","ICTVonline=20181375")</f>
        <v>ICTVonline=20181375</v>
      </c>
    </row>
    <row r="1539" spans="1:22">
      <c r="A1539" s="3">
        <v>1538</v>
      </c>
      <c r="J1539" s="1" t="s">
        <v>1338</v>
      </c>
      <c r="L1539" s="1" t="s">
        <v>903</v>
      </c>
      <c r="N1539" s="1" t="s">
        <v>3558</v>
      </c>
      <c r="P1539" s="1" t="s">
        <v>3559</v>
      </c>
      <c r="Q1539" s="3">
        <v>0</v>
      </c>
      <c r="R1539" s="22" t="s">
        <v>2764</v>
      </c>
      <c r="S1539" s="22" t="s">
        <v>5098</v>
      </c>
      <c r="T1539" s="51">
        <v>30</v>
      </c>
      <c r="U1539" s="3" t="s">
        <v>5216</v>
      </c>
      <c r="V1539" s="41" t="str">
        <f>HYPERLINK("http://ictvonline.org/taxonomy/p/taxonomy-history?taxnode_id=20181377","ICTVonline=20181377")</f>
        <v>ICTVonline=20181377</v>
      </c>
    </row>
    <row r="1540" spans="1:22">
      <c r="A1540" s="3">
        <v>1539</v>
      </c>
      <c r="J1540" s="1" t="s">
        <v>1338</v>
      </c>
      <c r="L1540" s="1" t="s">
        <v>903</v>
      </c>
      <c r="N1540" s="1" t="s">
        <v>3558</v>
      </c>
      <c r="P1540" s="1" t="s">
        <v>3560</v>
      </c>
      <c r="Q1540" s="3">
        <v>0</v>
      </c>
      <c r="R1540" s="22" t="s">
        <v>2764</v>
      </c>
      <c r="S1540" s="22" t="s">
        <v>5098</v>
      </c>
      <c r="T1540" s="51">
        <v>30</v>
      </c>
      <c r="U1540" s="3" t="s">
        <v>5216</v>
      </c>
      <c r="V1540" s="41" t="str">
        <f>HYPERLINK("http://ictvonline.org/taxonomy/p/taxonomy-history?taxnode_id=20181378","ICTVonline=20181378")</f>
        <v>ICTVonline=20181378</v>
      </c>
    </row>
    <row r="1541" spans="1:22">
      <c r="A1541" s="3">
        <v>1540</v>
      </c>
      <c r="J1541" s="1" t="s">
        <v>1338</v>
      </c>
      <c r="L1541" s="1" t="s">
        <v>903</v>
      </c>
      <c r="N1541" s="1" t="s">
        <v>3558</v>
      </c>
      <c r="P1541" s="1" t="s">
        <v>3561</v>
      </c>
      <c r="Q1541" s="3">
        <v>0</v>
      </c>
      <c r="R1541" s="22" t="s">
        <v>2764</v>
      </c>
      <c r="S1541" s="22" t="s">
        <v>5098</v>
      </c>
      <c r="T1541" s="51">
        <v>30</v>
      </c>
      <c r="U1541" s="3" t="s">
        <v>5216</v>
      </c>
      <c r="V1541" s="41" t="str">
        <f>HYPERLINK("http://ictvonline.org/taxonomy/p/taxonomy-history?taxnode_id=20181379","ICTVonline=20181379")</f>
        <v>ICTVonline=20181379</v>
      </c>
    </row>
    <row r="1542" spans="1:22">
      <c r="A1542" s="3">
        <v>1541</v>
      </c>
      <c r="J1542" s="1" t="s">
        <v>1338</v>
      </c>
      <c r="L1542" s="1" t="s">
        <v>903</v>
      </c>
      <c r="N1542" s="1" t="s">
        <v>3558</v>
      </c>
      <c r="P1542" s="1" t="s">
        <v>3562</v>
      </c>
      <c r="Q1542" s="3">
        <v>0</v>
      </c>
      <c r="R1542" s="22" t="s">
        <v>2764</v>
      </c>
      <c r="S1542" s="22" t="s">
        <v>5098</v>
      </c>
      <c r="T1542" s="51">
        <v>30</v>
      </c>
      <c r="U1542" s="3" t="s">
        <v>5216</v>
      </c>
      <c r="V1542" s="41" t="str">
        <f>HYPERLINK("http://ictvonline.org/taxonomy/p/taxonomy-history?taxnode_id=20181380","ICTVonline=20181380")</f>
        <v>ICTVonline=20181380</v>
      </c>
    </row>
    <row r="1543" spans="1:22">
      <c r="A1543" s="3">
        <v>1542</v>
      </c>
      <c r="J1543" s="1" t="s">
        <v>1338</v>
      </c>
      <c r="L1543" s="1" t="s">
        <v>903</v>
      </c>
      <c r="N1543" s="1" t="s">
        <v>3558</v>
      </c>
      <c r="P1543" s="1" t="s">
        <v>3563</v>
      </c>
      <c r="Q1543" s="3">
        <v>1</v>
      </c>
      <c r="R1543" s="22" t="s">
        <v>2764</v>
      </c>
      <c r="S1543" s="22" t="s">
        <v>5098</v>
      </c>
      <c r="T1543" s="51">
        <v>30</v>
      </c>
      <c r="U1543" s="3" t="s">
        <v>5216</v>
      </c>
      <c r="V1543" s="41" t="str">
        <f>HYPERLINK("http://ictvonline.org/taxonomy/p/taxonomy-history?taxnode_id=20181381","ICTVonline=20181381")</f>
        <v>ICTVonline=20181381</v>
      </c>
    </row>
    <row r="1544" spans="1:22">
      <c r="A1544" s="3">
        <v>1543</v>
      </c>
      <c r="J1544" s="1" t="s">
        <v>1338</v>
      </c>
      <c r="L1544" s="1" t="s">
        <v>903</v>
      </c>
      <c r="N1544" s="1" t="s">
        <v>4667</v>
      </c>
      <c r="P1544" s="1" t="s">
        <v>4668</v>
      </c>
      <c r="Q1544" s="3">
        <v>0</v>
      </c>
      <c r="R1544" s="22" t="s">
        <v>2764</v>
      </c>
      <c r="S1544" s="22" t="s">
        <v>5097</v>
      </c>
      <c r="T1544" s="51">
        <v>31</v>
      </c>
      <c r="U1544" s="3" t="s">
        <v>5452</v>
      </c>
      <c r="V1544" s="41" t="str">
        <f>HYPERLINK("http://ictvonline.org/taxonomy/p/taxonomy-history?taxnode_id=20181383","ICTVonline=20181383")</f>
        <v>ICTVonline=20181383</v>
      </c>
    </row>
    <row r="1545" spans="1:22">
      <c r="A1545" s="3">
        <v>1544</v>
      </c>
      <c r="J1545" s="1" t="s">
        <v>1338</v>
      </c>
      <c r="L1545" s="1" t="s">
        <v>903</v>
      </c>
      <c r="N1545" s="1" t="s">
        <v>4667</v>
      </c>
      <c r="P1545" s="1" t="s">
        <v>4669</v>
      </c>
      <c r="Q1545" s="3">
        <v>1</v>
      </c>
      <c r="R1545" s="22" t="s">
        <v>2764</v>
      </c>
      <c r="S1545" s="22" t="s">
        <v>5097</v>
      </c>
      <c r="T1545" s="51">
        <v>31</v>
      </c>
      <c r="U1545" s="3" t="s">
        <v>5452</v>
      </c>
      <c r="V1545" s="41" t="str">
        <f>HYPERLINK("http://ictvonline.org/taxonomy/p/taxonomy-history?taxnode_id=20181384","ICTVonline=20181384")</f>
        <v>ICTVonline=20181384</v>
      </c>
    </row>
    <row r="1546" spans="1:22">
      <c r="A1546" s="3">
        <v>1545</v>
      </c>
      <c r="J1546" s="1" t="s">
        <v>1338</v>
      </c>
      <c r="L1546" s="1" t="s">
        <v>903</v>
      </c>
      <c r="N1546" s="1" t="s">
        <v>3564</v>
      </c>
      <c r="P1546" s="1" t="s">
        <v>3565</v>
      </c>
      <c r="Q1546" s="3">
        <v>0</v>
      </c>
      <c r="R1546" s="22" t="s">
        <v>2764</v>
      </c>
      <c r="S1546" s="22" t="s">
        <v>5098</v>
      </c>
      <c r="T1546" s="51">
        <v>30</v>
      </c>
      <c r="U1546" s="3" t="s">
        <v>5216</v>
      </c>
      <c r="V1546" s="41" t="str">
        <f>HYPERLINK("http://ictvonline.org/taxonomy/p/taxonomy-history?taxnode_id=20181386","ICTVonline=20181386")</f>
        <v>ICTVonline=20181386</v>
      </c>
    </row>
    <row r="1547" spans="1:22">
      <c r="A1547" s="3">
        <v>1546</v>
      </c>
      <c r="J1547" s="1" t="s">
        <v>1338</v>
      </c>
      <c r="L1547" s="1" t="s">
        <v>903</v>
      </c>
      <c r="N1547" s="1" t="s">
        <v>3564</v>
      </c>
      <c r="P1547" s="1" t="s">
        <v>4670</v>
      </c>
      <c r="Q1547" s="3">
        <v>0</v>
      </c>
      <c r="R1547" s="22" t="s">
        <v>2764</v>
      </c>
      <c r="S1547" s="22" t="s">
        <v>5097</v>
      </c>
      <c r="T1547" s="51">
        <v>31</v>
      </c>
      <c r="U1547" s="3" t="s">
        <v>5217</v>
      </c>
      <c r="V1547" s="41" t="str">
        <f>HYPERLINK("http://ictvonline.org/taxonomy/p/taxonomy-history?taxnode_id=20181387","ICTVonline=20181387")</f>
        <v>ICTVonline=20181387</v>
      </c>
    </row>
    <row r="1548" spans="1:22">
      <c r="A1548" s="3">
        <v>1547</v>
      </c>
      <c r="J1548" s="1" t="s">
        <v>1338</v>
      </c>
      <c r="L1548" s="1" t="s">
        <v>903</v>
      </c>
      <c r="N1548" s="1" t="s">
        <v>3564</v>
      </c>
      <c r="P1548" s="1" t="s">
        <v>3566</v>
      </c>
      <c r="Q1548" s="3">
        <v>0</v>
      </c>
      <c r="R1548" s="22" t="s">
        <v>2764</v>
      </c>
      <c r="S1548" s="22" t="s">
        <v>5098</v>
      </c>
      <c r="T1548" s="51">
        <v>30</v>
      </c>
      <c r="U1548" s="3" t="s">
        <v>5216</v>
      </c>
      <c r="V1548" s="41" t="str">
        <f>HYPERLINK("http://ictvonline.org/taxonomy/p/taxonomy-history?taxnode_id=20181388","ICTVonline=20181388")</f>
        <v>ICTVonline=20181388</v>
      </c>
    </row>
    <row r="1549" spans="1:22">
      <c r="A1549" s="3">
        <v>1548</v>
      </c>
      <c r="J1549" s="1" t="s">
        <v>1338</v>
      </c>
      <c r="L1549" s="1" t="s">
        <v>903</v>
      </c>
      <c r="N1549" s="1" t="s">
        <v>3564</v>
      </c>
      <c r="P1549" s="1" t="s">
        <v>4671</v>
      </c>
      <c r="Q1549" s="3">
        <v>0</v>
      </c>
      <c r="R1549" s="22" t="s">
        <v>2764</v>
      </c>
      <c r="S1549" s="22" t="s">
        <v>5097</v>
      </c>
      <c r="T1549" s="51">
        <v>31</v>
      </c>
      <c r="U1549" s="3" t="s">
        <v>5217</v>
      </c>
      <c r="V1549" s="41" t="str">
        <f>HYPERLINK("http://ictvonline.org/taxonomy/p/taxonomy-history?taxnode_id=20181389","ICTVonline=20181389")</f>
        <v>ICTVonline=20181389</v>
      </c>
    </row>
    <row r="1550" spans="1:22">
      <c r="A1550" s="3">
        <v>1549</v>
      </c>
      <c r="J1550" s="1" t="s">
        <v>1338</v>
      </c>
      <c r="L1550" s="1" t="s">
        <v>903</v>
      </c>
      <c r="N1550" s="1" t="s">
        <v>3564</v>
      </c>
      <c r="P1550" s="1" t="s">
        <v>4672</v>
      </c>
      <c r="Q1550" s="3">
        <v>0</v>
      </c>
      <c r="R1550" s="22" t="s">
        <v>2764</v>
      </c>
      <c r="S1550" s="22" t="s">
        <v>5097</v>
      </c>
      <c r="T1550" s="51">
        <v>31</v>
      </c>
      <c r="U1550" s="3" t="s">
        <v>5217</v>
      </c>
      <c r="V1550" s="41" t="str">
        <f>HYPERLINK("http://ictvonline.org/taxonomy/p/taxonomy-history?taxnode_id=20181390","ICTVonline=20181390")</f>
        <v>ICTVonline=20181390</v>
      </c>
    </row>
    <row r="1551" spans="1:22">
      <c r="A1551" s="3">
        <v>1550</v>
      </c>
      <c r="J1551" s="1" t="s">
        <v>1338</v>
      </c>
      <c r="L1551" s="1" t="s">
        <v>903</v>
      </c>
      <c r="N1551" s="1" t="s">
        <v>3564</v>
      </c>
      <c r="P1551" s="1" t="s">
        <v>3567</v>
      </c>
      <c r="Q1551" s="3">
        <v>1</v>
      </c>
      <c r="R1551" s="22" t="s">
        <v>2764</v>
      </c>
      <c r="S1551" s="22" t="s">
        <v>5098</v>
      </c>
      <c r="T1551" s="51">
        <v>30</v>
      </c>
      <c r="U1551" s="3" t="s">
        <v>5216</v>
      </c>
      <c r="V1551" s="41" t="str">
        <f>HYPERLINK("http://ictvonline.org/taxonomy/p/taxonomy-history?taxnode_id=20181391","ICTVonline=20181391")</f>
        <v>ICTVonline=20181391</v>
      </c>
    </row>
    <row r="1552" spans="1:22">
      <c r="A1552" s="3">
        <v>1551</v>
      </c>
      <c r="J1552" s="1" t="s">
        <v>1338</v>
      </c>
      <c r="L1552" s="1" t="s">
        <v>903</v>
      </c>
      <c r="P1552" s="1" t="s">
        <v>3359</v>
      </c>
      <c r="Q1552" s="3">
        <v>0</v>
      </c>
      <c r="R1552" s="22" t="s">
        <v>2764</v>
      </c>
      <c r="S1552" s="22" t="s">
        <v>5099</v>
      </c>
      <c r="T1552" s="51">
        <v>31</v>
      </c>
      <c r="U1552" s="3" t="s">
        <v>5424</v>
      </c>
      <c r="V1552" s="41" t="str">
        <f>HYPERLINK("http://ictvonline.org/taxonomy/p/taxonomy-history?taxnode_id=20181363","ICTVonline=20181363")</f>
        <v>ICTVonline=20181363</v>
      </c>
    </row>
    <row r="1553" spans="1:22">
      <c r="A1553" s="3">
        <v>1552</v>
      </c>
      <c r="J1553" s="1" t="s">
        <v>904</v>
      </c>
      <c r="L1553" s="1" t="s">
        <v>905</v>
      </c>
      <c r="N1553" s="1" t="s">
        <v>407</v>
      </c>
      <c r="P1553" s="1" t="s">
        <v>408</v>
      </c>
      <c r="Q1553" s="3">
        <v>1</v>
      </c>
      <c r="R1553" s="22" t="s">
        <v>2764</v>
      </c>
      <c r="S1553" s="22" t="s">
        <v>5102</v>
      </c>
      <c r="T1553" s="51">
        <v>25</v>
      </c>
      <c r="U1553" s="3" t="s">
        <v>5453</v>
      </c>
      <c r="V1553" s="41" t="str">
        <f>HYPERLINK("http://ictvonline.org/taxonomy/p/taxonomy-history?taxnode_id=20181396","ICTVonline=20181396")</f>
        <v>ICTVonline=20181396</v>
      </c>
    </row>
    <row r="1554" spans="1:22">
      <c r="A1554" s="3">
        <v>1553</v>
      </c>
      <c r="J1554" s="1" t="s">
        <v>904</v>
      </c>
      <c r="L1554" s="1" t="s">
        <v>905</v>
      </c>
      <c r="N1554" s="1" t="s">
        <v>407</v>
      </c>
      <c r="P1554" s="1" t="s">
        <v>1505</v>
      </c>
      <c r="Q1554" s="3">
        <v>0</v>
      </c>
      <c r="R1554" s="22" t="s">
        <v>2764</v>
      </c>
      <c r="S1554" s="22" t="s">
        <v>5097</v>
      </c>
      <c r="T1554" s="51">
        <v>25</v>
      </c>
      <c r="U1554" s="3" t="s">
        <v>5453</v>
      </c>
      <c r="V1554" s="41" t="str">
        <f>HYPERLINK("http://ictvonline.org/taxonomy/p/taxonomy-history?taxnode_id=20181397","ICTVonline=20181397")</f>
        <v>ICTVonline=20181397</v>
      </c>
    </row>
    <row r="1555" spans="1:22">
      <c r="A1555" s="3">
        <v>1554</v>
      </c>
      <c r="J1555" s="1" t="s">
        <v>904</v>
      </c>
      <c r="L1555" s="1" t="s">
        <v>905</v>
      </c>
      <c r="N1555" s="1" t="s">
        <v>407</v>
      </c>
      <c r="P1555" s="1" t="s">
        <v>5454</v>
      </c>
      <c r="Q1555" s="3">
        <v>0</v>
      </c>
      <c r="R1555" s="22" t="s">
        <v>2764</v>
      </c>
      <c r="S1555" s="22" t="s">
        <v>5097</v>
      </c>
      <c r="T1555" s="51">
        <v>32</v>
      </c>
      <c r="U1555" s="3" t="s">
        <v>5455</v>
      </c>
      <c r="V1555" s="41" t="str">
        <f>HYPERLINK("http://ictvonline.org/taxonomy/p/taxonomy-history?taxnode_id=20185570","ICTVonline=20185570")</f>
        <v>ICTVonline=20185570</v>
      </c>
    </row>
    <row r="1556" spans="1:22">
      <c r="A1556" s="3">
        <v>1555</v>
      </c>
      <c r="J1556" s="1" t="s">
        <v>904</v>
      </c>
      <c r="L1556" s="1" t="s">
        <v>905</v>
      </c>
      <c r="N1556" s="1" t="s">
        <v>1506</v>
      </c>
      <c r="P1556" s="1" t="s">
        <v>561</v>
      </c>
      <c r="Q1556" s="3">
        <v>0</v>
      </c>
      <c r="R1556" s="22" t="s">
        <v>2764</v>
      </c>
      <c r="S1556" s="22" t="s">
        <v>5097</v>
      </c>
      <c r="T1556" s="51">
        <v>26</v>
      </c>
      <c r="U1556" s="3" t="s">
        <v>5456</v>
      </c>
      <c r="V1556" s="41" t="str">
        <f>HYPERLINK("http://ictvonline.org/taxonomy/p/taxonomy-history?taxnode_id=20181399","ICTVonline=20181399")</f>
        <v>ICTVonline=20181399</v>
      </c>
    </row>
    <row r="1557" spans="1:22">
      <c r="A1557" s="3">
        <v>1556</v>
      </c>
      <c r="J1557" s="1" t="s">
        <v>904</v>
      </c>
      <c r="L1557" s="1" t="s">
        <v>905</v>
      </c>
      <c r="N1557" s="1" t="s">
        <v>1506</v>
      </c>
      <c r="P1557" s="1" t="s">
        <v>1507</v>
      </c>
      <c r="Q1557" s="3">
        <v>0</v>
      </c>
      <c r="R1557" s="22" t="s">
        <v>2764</v>
      </c>
      <c r="S1557" s="22" t="s">
        <v>5097</v>
      </c>
      <c r="T1557" s="51">
        <v>25</v>
      </c>
      <c r="U1557" s="3" t="s">
        <v>5457</v>
      </c>
      <c r="V1557" s="41" t="str">
        <f>HYPERLINK("http://ictvonline.org/taxonomy/p/taxonomy-history?taxnode_id=20181400","ICTVonline=20181400")</f>
        <v>ICTVonline=20181400</v>
      </c>
    </row>
    <row r="1558" spans="1:22">
      <c r="A1558" s="3">
        <v>1557</v>
      </c>
      <c r="J1558" s="1" t="s">
        <v>904</v>
      </c>
      <c r="L1558" s="1" t="s">
        <v>905</v>
      </c>
      <c r="N1558" s="1" t="s">
        <v>1506</v>
      </c>
      <c r="P1558" s="1" t="s">
        <v>1508</v>
      </c>
      <c r="Q1558" s="3">
        <v>0</v>
      </c>
      <c r="R1558" s="22" t="s">
        <v>2764</v>
      </c>
      <c r="S1558" s="22" t="s">
        <v>5097</v>
      </c>
      <c r="T1558" s="51">
        <v>25</v>
      </c>
      <c r="U1558" s="3" t="s">
        <v>5457</v>
      </c>
      <c r="V1558" s="41" t="str">
        <f>HYPERLINK("http://ictvonline.org/taxonomy/p/taxonomy-history?taxnode_id=20181401","ICTVonline=20181401")</f>
        <v>ICTVonline=20181401</v>
      </c>
    </row>
    <row r="1559" spans="1:22">
      <c r="A1559" s="3">
        <v>1558</v>
      </c>
      <c r="J1559" s="1" t="s">
        <v>904</v>
      </c>
      <c r="L1559" s="1" t="s">
        <v>905</v>
      </c>
      <c r="N1559" s="1" t="s">
        <v>1506</v>
      </c>
      <c r="P1559" s="1" t="s">
        <v>907</v>
      </c>
      <c r="Q1559" s="3">
        <v>1</v>
      </c>
      <c r="R1559" s="22" t="s">
        <v>2764</v>
      </c>
      <c r="S1559" s="22" t="s">
        <v>5103</v>
      </c>
      <c r="T1559" s="51">
        <v>25</v>
      </c>
      <c r="U1559" s="3" t="s">
        <v>5457</v>
      </c>
      <c r="V1559" s="41" t="str">
        <f>HYPERLINK("http://ictvonline.org/taxonomy/p/taxonomy-history?taxnode_id=20181402","ICTVonline=20181402")</f>
        <v>ICTVonline=20181402</v>
      </c>
    </row>
    <row r="1560" spans="1:22">
      <c r="A1560" s="3">
        <v>1559</v>
      </c>
      <c r="J1560" s="1" t="s">
        <v>904</v>
      </c>
      <c r="L1560" s="1" t="s">
        <v>905</v>
      </c>
      <c r="N1560" s="1" t="s">
        <v>1356</v>
      </c>
      <c r="P1560" s="1" t="s">
        <v>1527</v>
      </c>
      <c r="Q1560" s="3">
        <v>0</v>
      </c>
      <c r="R1560" s="22" t="s">
        <v>2764</v>
      </c>
      <c r="S1560" s="22" t="s">
        <v>5097</v>
      </c>
      <c r="T1560" s="51">
        <v>25</v>
      </c>
      <c r="U1560" s="3" t="s">
        <v>5458</v>
      </c>
      <c r="V1560" s="41" t="str">
        <f>HYPERLINK("http://ictvonline.org/taxonomy/p/taxonomy-history?taxnode_id=20181404","ICTVonline=20181404")</f>
        <v>ICTVonline=20181404</v>
      </c>
    </row>
    <row r="1561" spans="1:22">
      <c r="A1561" s="3">
        <v>1560</v>
      </c>
      <c r="J1561" s="1" t="s">
        <v>904</v>
      </c>
      <c r="L1561" s="1" t="s">
        <v>905</v>
      </c>
      <c r="N1561" s="1" t="s">
        <v>1356</v>
      </c>
      <c r="P1561" s="1" t="s">
        <v>906</v>
      </c>
      <c r="Q1561" s="3">
        <v>1</v>
      </c>
      <c r="R1561" s="22" t="s">
        <v>2764</v>
      </c>
      <c r="S1561" s="22" t="s">
        <v>5099</v>
      </c>
      <c r="T1561" s="51">
        <v>24</v>
      </c>
      <c r="U1561" s="3" t="s">
        <v>5459</v>
      </c>
      <c r="V1561" s="41" t="str">
        <f>HYPERLINK("http://ictvonline.org/taxonomy/p/taxonomy-history?taxnode_id=20181405","ICTVonline=20181405")</f>
        <v>ICTVonline=20181405</v>
      </c>
    </row>
    <row r="1562" spans="1:22">
      <c r="A1562" s="3">
        <v>1561</v>
      </c>
      <c r="J1562" s="1" t="s">
        <v>904</v>
      </c>
      <c r="L1562" s="1" t="s">
        <v>905</v>
      </c>
      <c r="N1562" s="1" t="s">
        <v>1356</v>
      </c>
      <c r="P1562" s="1" t="s">
        <v>1842</v>
      </c>
      <c r="Q1562" s="3">
        <v>0</v>
      </c>
      <c r="R1562" s="22" t="s">
        <v>2764</v>
      </c>
      <c r="S1562" s="22" t="s">
        <v>5097</v>
      </c>
      <c r="T1562" s="51">
        <v>25</v>
      </c>
      <c r="U1562" s="3" t="s">
        <v>5458</v>
      </c>
      <c r="V1562" s="41" t="str">
        <f>HYPERLINK("http://ictvonline.org/taxonomy/p/taxonomy-history?taxnode_id=20181406","ICTVonline=20181406")</f>
        <v>ICTVonline=20181406</v>
      </c>
    </row>
    <row r="1563" spans="1:22">
      <c r="A1563" s="3">
        <v>1562</v>
      </c>
      <c r="J1563" s="1" t="s">
        <v>904</v>
      </c>
      <c r="L1563" s="1" t="s">
        <v>905</v>
      </c>
      <c r="N1563" s="1" t="s">
        <v>1509</v>
      </c>
      <c r="P1563" s="1" t="s">
        <v>1837</v>
      </c>
      <c r="Q1563" s="3">
        <v>1</v>
      </c>
      <c r="R1563" s="22" t="s">
        <v>2764</v>
      </c>
      <c r="S1563" s="22" t="s">
        <v>5102</v>
      </c>
      <c r="T1563" s="51">
        <v>25</v>
      </c>
      <c r="U1563" s="3" t="s">
        <v>5460</v>
      </c>
      <c r="V1563" s="41" t="str">
        <f>HYPERLINK("http://ictvonline.org/taxonomy/p/taxonomy-history?taxnode_id=20181408","ICTVonline=20181408")</f>
        <v>ICTVonline=20181408</v>
      </c>
    </row>
    <row r="1564" spans="1:22">
      <c r="A1564" s="3">
        <v>1563</v>
      </c>
      <c r="J1564" s="1" t="s">
        <v>904</v>
      </c>
      <c r="L1564" s="1" t="s">
        <v>905</v>
      </c>
      <c r="N1564" s="1" t="s">
        <v>1509</v>
      </c>
      <c r="P1564" s="1" t="s">
        <v>2141</v>
      </c>
      <c r="Q1564" s="3">
        <v>0</v>
      </c>
      <c r="R1564" s="22" t="s">
        <v>2764</v>
      </c>
      <c r="S1564" s="22" t="s">
        <v>5097</v>
      </c>
      <c r="T1564" s="51">
        <v>25</v>
      </c>
      <c r="U1564" s="3" t="s">
        <v>5460</v>
      </c>
      <c r="V1564" s="41" t="str">
        <f>HYPERLINK("http://ictvonline.org/taxonomy/p/taxonomy-history?taxnode_id=20181409","ICTVonline=20181409")</f>
        <v>ICTVonline=20181409</v>
      </c>
    </row>
    <row r="1565" spans="1:22">
      <c r="A1565" s="3">
        <v>1564</v>
      </c>
      <c r="J1565" s="1" t="s">
        <v>904</v>
      </c>
      <c r="L1565" s="1" t="s">
        <v>905</v>
      </c>
      <c r="N1565" s="1" t="s">
        <v>1509</v>
      </c>
      <c r="P1565" s="1" t="s">
        <v>1518</v>
      </c>
      <c r="Q1565" s="3">
        <v>0</v>
      </c>
      <c r="R1565" s="22" t="s">
        <v>2764</v>
      </c>
      <c r="S1565" s="22" t="s">
        <v>5097</v>
      </c>
      <c r="T1565" s="51">
        <v>25</v>
      </c>
      <c r="U1565" s="3" t="s">
        <v>5460</v>
      </c>
      <c r="V1565" s="41" t="str">
        <f>HYPERLINK("http://ictvonline.org/taxonomy/p/taxonomy-history?taxnode_id=20181410","ICTVonline=20181410")</f>
        <v>ICTVonline=20181410</v>
      </c>
    </row>
    <row r="1566" spans="1:22">
      <c r="A1566" s="3">
        <v>1565</v>
      </c>
      <c r="J1566" s="1" t="s">
        <v>904</v>
      </c>
      <c r="L1566" s="1" t="s">
        <v>908</v>
      </c>
      <c r="M1566" s="1" t="s">
        <v>909</v>
      </c>
      <c r="N1566" s="1" t="s">
        <v>910</v>
      </c>
      <c r="P1566" s="1" t="s">
        <v>3568</v>
      </c>
      <c r="Q1566" s="3">
        <v>1</v>
      </c>
      <c r="R1566" s="22" t="s">
        <v>2764</v>
      </c>
      <c r="S1566" s="22" t="s">
        <v>5100</v>
      </c>
      <c r="T1566" s="51">
        <v>30</v>
      </c>
      <c r="U1566" s="3" t="s">
        <v>5461</v>
      </c>
      <c r="V1566" s="41" t="str">
        <f>HYPERLINK("http://ictvonline.org/taxonomy/p/taxonomy-history?taxnode_id=20181414","ICTVonline=20181414")</f>
        <v>ICTVonline=20181414</v>
      </c>
    </row>
    <row r="1567" spans="1:22">
      <c r="A1567" s="3">
        <v>1566</v>
      </c>
      <c r="J1567" s="1" t="s">
        <v>904</v>
      </c>
      <c r="L1567" s="1" t="s">
        <v>908</v>
      </c>
      <c r="M1567" s="1" t="s">
        <v>909</v>
      </c>
      <c r="N1567" s="1" t="s">
        <v>910</v>
      </c>
      <c r="P1567" s="1" t="s">
        <v>3569</v>
      </c>
      <c r="Q1567" s="3">
        <v>0</v>
      </c>
      <c r="R1567" s="22" t="s">
        <v>2764</v>
      </c>
      <c r="S1567" s="22" t="s">
        <v>5100</v>
      </c>
      <c r="T1567" s="51">
        <v>30</v>
      </c>
      <c r="U1567" s="3" t="s">
        <v>5461</v>
      </c>
      <c r="V1567" s="41" t="str">
        <f>HYPERLINK("http://ictvonline.org/taxonomy/p/taxonomy-history?taxnode_id=20181415","ICTVonline=20181415")</f>
        <v>ICTVonline=20181415</v>
      </c>
    </row>
    <row r="1568" spans="1:22">
      <c r="A1568" s="3">
        <v>1567</v>
      </c>
      <c r="J1568" s="1" t="s">
        <v>904</v>
      </c>
      <c r="L1568" s="1" t="s">
        <v>908</v>
      </c>
      <c r="M1568" s="1" t="s">
        <v>909</v>
      </c>
      <c r="N1568" s="1" t="s">
        <v>1388</v>
      </c>
      <c r="P1568" s="1" t="s">
        <v>3570</v>
      </c>
      <c r="Q1568" s="3">
        <v>0</v>
      </c>
      <c r="R1568" s="22" t="s">
        <v>2764</v>
      </c>
      <c r="S1568" s="22" t="s">
        <v>5100</v>
      </c>
      <c r="T1568" s="51">
        <v>30</v>
      </c>
      <c r="U1568" s="3" t="s">
        <v>5461</v>
      </c>
      <c r="V1568" s="41" t="str">
        <f>HYPERLINK("http://ictvonline.org/taxonomy/p/taxonomy-history?taxnode_id=20181417","ICTVonline=20181417")</f>
        <v>ICTVonline=20181417</v>
      </c>
    </row>
    <row r="1569" spans="1:22">
      <c r="A1569" s="3">
        <v>1568</v>
      </c>
      <c r="J1569" s="1" t="s">
        <v>904</v>
      </c>
      <c r="L1569" s="1" t="s">
        <v>908</v>
      </c>
      <c r="M1569" s="1" t="s">
        <v>909</v>
      </c>
      <c r="N1569" s="1" t="s">
        <v>1388</v>
      </c>
      <c r="P1569" s="1" t="s">
        <v>3571</v>
      </c>
      <c r="Q1569" s="3">
        <v>0</v>
      </c>
      <c r="R1569" s="22" t="s">
        <v>2764</v>
      </c>
      <c r="S1569" s="22" t="s">
        <v>5100</v>
      </c>
      <c r="T1569" s="51">
        <v>30</v>
      </c>
      <c r="U1569" s="3" t="s">
        <v>5461</v>
      </c>
      <c r="V1569" s="41" t="str">
        <f>HYPERLINK("http://ictvonline.org/taxonomy/p/taxonomy-history?taxnode_id=20181418","ICTVonline=20181418")</f>
        <v>ICTVonline=20181418</v>
      </c>
    </row>
    <row r="1570" spans="1:22">
      <c r="A1570" s="3">
        <v>1569</v>
      </c>
      <c r="J1570" s="1" t="s">
        <v>904</v>
      </c>
      <c r="L1570" s="1" t="s">
        <v>908</v>
      </c>
      <c r="M1570" s="1" t="s">
        <v>909</v>
      </c>
      <c r="N1570" s="1" t="s">
        <v>1388</v>
      </c>
      <c r="P1570" s="1" t="s">
        <v>3572</v>
      </c>
      <c r="Q1570" s="3">
        <v>1</v>
      </c>
      <c r="R1570" s="22" t="s">
        <v>2764</v>
      </c>
      <c r="S1570" s="22" t="s">
        <v>5100</v>
      </c>
      <c r="T1570" s="51">
        <v>30</v>
      </c>
      <c r="U1570" s="3" t="s">
        <v>5461</v>
      </c>
      <c r="V1570" s="41" t="str">
        <f>HYPERLINK("http://ictvonline.org/taxonomy/p/taxonomy-history?taxnode_id=20181419","ICTVonline=20181419")</f>
        <v>ICTVonline=20181419</v>
      </c>
    </row>
    <row r="1571" spans="1:22">
      <c r="A1571" s="3">
        <v>1570</v>
      </c>
      <c r="J1571" s="1" t="s">
        <v>904</v>
      </c>
      <c r="L1571" s="1" t="s">
        <v>908</v>
      </c>
      <c r="M1571" s="1" t="s">
        <v>909</v>
      </c>
      <c r="N1571" s="1" t="s">
        <v>1388</v>
      </c>
      <c r="P1571" s="1" t="s">
        <v>3573</v>
      </c>
      <c r="Q1571" s="3">
        <v>0</v>
      </c>
      <c r="R1571" s="22" t="s">
        <v>2764</v>
      </c>
      <c r="S1571" s="22" t="s">
        <v>5100</v>
      </c>
      <c r="T1571" s="51">
        <v>30</v>
      </c>
      <c r="U1571" s="3" t="s">
        <v>5461</v>
      </c>
      <c r="V1571" s="41" t="str">
        <f>HYPERLINK("http://ictvonline.org/taxonomy/p/taxonomy-history?taxnode_id=20181420","ICTVonline=20181420")</f>
        <v>ICTVonline=20181420</v>
      </c>
    </row>
    <row r="1572" spans="1:22">
      <c r="A1572" s="3">
        <v>1571</v>
      </c>
      <c r="J1572" s="1" t="s">
        <v>904</v>
      </c>
      <c r="L1572" s="1" t="s">
        <v>908</v>
      </c>
      <c r="M1572" s="1" t="s">
        <v>909</v>
      </c>
      <c r="N1572" s="1" t="s">
        <v>1388</v>
      </c>
      <c r="P1572" s="1" t="s">
        <v>3574</v>
      </c>
      <c r="Q1572" s="3">
        <v>0</v>
      </c>
      <c r="R1572" s="22" t="s">
        <v>2764</v>
      </c>
      <c r="S1572" s="22" t="s">
        <v>5100</v>
      </c>
      <c r="T1572" s="51">
        <v>30</v>
      </c>
      <c r="U1572" s="3" t="s">
        <v>5461</v>
      </c>
      <c r="V1572" s="41" t="str">
        <f>HYPERLINK("http://ictvonline.org/taxonomy/p/taxonomy-history?taxnode_id=20181421","ICTVonline=20181421")</f>
        <v>ICTVonline=20181421</v>
      </c>
    </row>
    <row r="1573" spans="1:22">
      <c r="A1573" s="3">
        <v>1572</v>
      </c>
      <c r="J1573" s="1" t="s">
        <v>904</v>
      </c>
      <c r="L1573" s="1" t="s">
        <v>908</v>
      </c>
      <c r="M1573" s="1" t="s">
        <v>909</v>
      </c>
      <c r="N1573" s="1" t="s">
        <v>1350</v>
      </c>
      <c r="P1573" s="1" t="s">
        <v>3575</v>
      </c>
      <c r="Q1573" s="3">
        <v>1</v>
      </c>
      <c r="R1573" s="22" t="s">
        <v>2764</v>
      </c>
      <c r="S1573" s="22" t="s">
        <v>5100</v>
      </c>
      <c r="T1573" s="51">
        <v>30</v>
      </c>
      <c r="U1573" s="3" t="s">
        <v>5461</v>
      </c>
      <c r="V1573" s="41" t="str">
        <f>HYPERLINK("http://ictvonline.org/taxonomy/p/taxonomy-history?taxnode_id=20181423","ICTVonline=20181423")</f>
        <v>ICTVonline=20181423</v>
      </c>
    </row>
    <row r="1574" spans="1:22">
      <c r="A1574" s="3">
        <v>1573</v>
      </c>
      <c r="J1574" s="1" t="s">
        <v>904</v>
      </c>
      <c r="L1574" s="1" t="s">
        <v>908</v>
      </c>
      <c r="M1574" s="1" t="s">
        <v>909</v>
      </c>
      <c r="N1574" s="1" t="s">
        <v>1300</v>
      </c>
      <c r="P1574" s="1" t="s">
        <v>3576</v>
      </c>
      <c r="Q1574" s="3">
        <v>0</v>
      </c>
      <c r="R1574" s="22" t="s">
        <v>2764</v>
      </c>
      <c r="S1574" s="22" t="s">
        <v>5100</v>
      </c>
      <c r="T1574" s="51">
        <v>30</v>
      </c>
      <c r="U1574" s="3" t="s">
        <v>5461</v>
      </c>
      <c r="V1574" s="41" t="str">
        <f>HYPERLINK("http://ictvonline.org/taxonomy/p/taxonomy-history?taxnode_id=20181425","ICTVonline=20181425")</f>
        <v>ICTVonline=20181425</v>
      </c>
    </row>
    <row r="1575" spans="1:22">
      <c r="A1575" s="3">
        <v>1574</v>
      </c>
      <c r="J1575" s="1" t="s">
        <v>904</v>
      </c>
      <c r="L1575" s="1" t="s">
        <v>908</v>
      </c>
      <c r="M1575" s="1" t="s">
        <v>909</v>
      </c>
      <c r="N1575" s="1" t="s">
        <v>1300</v>
      </c>
      <c r="P1575" s="1" t="s">
        <v>3577</v>
      </c>
      <c r="Q1575" s="3">
        <v>0</v>
      </c>
      <c r="R1575" s="22" t="s">
        <v>2764</v>
      </c>
      <c r="S1575" s="22" t="s">
        <v>5100</v>
      </c>
      <c r="T1575" s="51">
        <v>30</v>
      </c>
      <c r="U1575" s="3" t="s">
        <v>5461</v>
      </c>
      <c r="V1575" s="41" t="str">
        <f>HYPERLINK("http://ictvonline.org/taxonomy/p/taxonomy-history?taxnode_id=20181426","ICTVonline=20181426")</f>
        <v>ICTVonline=20181426</v>
      </c>
    </row>
    <row r="1576" spans="1:22">
      <c r="A1576" s="3">
        <v>1575</v>
      </c>
      <c r="J1576" s="1" t="s">
        <v>904</v>
      </c>
      <c r="L1576" s="1" t="s">
        <v>908</v>
      </c>
      <c r="M1576" s="1" t="s">
        <v>909</v>
      </c>
      <c r="N1576" s="1" t="s">
        <v>1300</v>
      </c>
      <c r="P1576" s="1" t="s">
        <v>3578</v>
      </c>
      <c r="Q1576" s="3">
        <v>0</v>
      </c>
      <c r="R1576" s="22" t="s">
        <v>2764</v>
      </c>
      <c r="S1576" s="22" t="s">
        <v>5100</v>
      </c>
      <c r="T1576" s="51">
        <v>30</v>
      </c>
      <c r="U1576" s="3" t="s">
        <v>5461</v>
      </c>
      <c r="V1576" s="41" t="str">
        <f>HYPERLINK("http://ictvonline.org/taxonomy/p/taxonomy-history?taxnode_id=20181427","ICTVonline=20181427")</f>
        <v>ICTVonline=20181427</v>
      </c>
    </row>
    <row r="1577" spans="1:22">
      <c r="A1577" s="3">
        <v>1576</v>
      </c>
      <c r="J1577" s="1" t="s">
        <v>904</v>
      </c>
      <c r="L1577" s="1" t="s">
        <v>908</v>
      </c>
      <c r="M1577" s="1" t="s">
        <v>909</v>
      </c>
      <c r="N1577" s="1" t="s">
        <v>1300</v>
      </c>
      <c r="P1577" s="1" t="s">
        <v>3579</v>
      </c>
      <c r="Q1577" s="3">
        <v>1</v>
      </c>
      <c r="R1577" s="22" t="s">
        <v>2764</v>
      </c>
      <c r="S1577" s="22" t="s">
        <v>5100</v>
      </c>
      <c r="T1577" s="51">
        <v>30</v>
      </c>
      <c r="U1577" s="3" t="s">
        <v>5461</v>
      </c>
      <c r="V1577" s="41" t="str">
        <f>HYPERLINK("http://ictvonline.org/taxonomy/p/taxonomy-history?taxnode_id=20181428","ICTVonline=20181428")</f>
        <v>ICTVonline=20181428</v>
      </c>
    </row>
    <row r="1578" spans="1:22">
      <c r="A1578" s="3">
        <v>1577</v>
      </c>
      <c r="J1578" s="1" t="s">
        <v>904</v>
      </c>
      <c r="L1578" s="1" t="s">
        <v>908</v>
      </c>
      <c r="M1578" s="1" t="s">
        <v>909</v>
      </c>
      <c r="N1578" s="1" t="s">
        <v>1300</v>
      </c>
      <c r="P1578" s="1" t="s">
        <v>3580</v>
      </c>
      <c r="Q1578" s="3">
        <v>0</v>
      </c>
      <c r="R1578" s="22" t="s">
        <v>2764</v>
      </c>
      <c r="S1578" s="22" t="s">
        <v>5100</v>
      </c>
      <c r="T1578" s="51">
        <v>30</v>
      </c>
      <c r="U1578" s="3" t="s">
        <v>5461</v>
      </c>
      <c r="V1578" s="41" t="str">
        <f>HYPERLINK("http://ictvonline.org/taxonomy/p/taxonomy-history?taxnode_id=20181429","ICTVonline=20181429")</f>
        <v>ICTVonline=20181429</v>
      </c>
    </row>
    <row r="1579" spans="1:22">
      <c r="A1579" s="3">
        <v>1578</v>
      </c>
      <c r="J1579" s="1" t="s">
        <v>904</v>
      </c>
      <c r="L1579" s="1" t="s">
        <v>908</v>
      </c>
      <c r="M1579" s="1" t="s">
        <v>909</v>
      </c>
      <c r="N1579" s="1" t="s">
        <v>1300</v>
      </c>
      <c r="P1579" s="1" t="s">
        <v>3581</v>
      </c>
      <c r="Q1579" s="3">
        <v>0</v>
      </c>
      <c r="R1579" s="22" t="s">
        <v>2764</v>
      </c>
      <c r="S1579" s="22" t="s">
        <v>5100</v>
      </c>
      <c r="T1579" s="51">
        <v>30</v>
      </c>
      <c r="U1579" s="3" t="s">
        <v>5461</v>
      </c>
      <c r="V1579" s="41" t="str">
        <f>HYPERLINK("http://ictvonline.org/taxonomy/p/taxonomy-history?taxnode_id=20181430","ICTVonline=20181430")</f>
        <v>ICTVonline=20181430</v>
      </c>
    </row>
    <row r="1580" spans="1:22">
      <c r="A1580" s="3">
        <v>1579</v>
      </c>
      <c r="J1580" s="1" t="s">
        <v>904</v>
      </c>
      <c r="L1580" s="1" t="s">
        <v>908</v>
      </c>
      <c r="M1580" s="1" t="s">
        <v>909</v>
      </c>
      <c r="N1580" s="1" t="s">
        <v>1300</v>
      </c>
      <c r="P1580" s="1" t="s">
        <v>3582</v>
      </c>
      <c r="Q1580" s="3">
        <v>0</v>
      </c>
      <c r="R1580" s="22" t="s">
        <v>2764</v>
      </c>
      <c r="S1580" s="22" t="s">
        <v>5100</v>
      </c>
      <c r="T1580" s="51">
        <v>30</v>
      </c>
      <c r="U1580" s="3" t="s">
        <v>5461</v>
      </c>
      <c r="V1580" s="41" t="str">
        <f>HYPERLINK("http://ictvonline.org/taxonomy/p/taxonomy-history?taxnode_id=20181431","ICTVonline=20181431")</f>
        <v>ICTVonline=20181431</v>
      </c>
    </row>
    <row r="1581" spans="1:22">
      <c r="A1581" s="3">
        <v>1580</v>
      </c>
      <c r="J1581" s="1" t="s">
        <v>904</v>
      </c>
      <c r="L1581" s="1" t="s">
        <v>908</v>
      </c>
      <c r="M1581" s="1" t="s">
        <v>909</v>
      </c>
      <c r="N1581" s="1" t="s">
        <v>1300</v>
      </c>
      <c r="P1581" s="1" t="s">
        <v>3583</v>
      </c>
      <c r="Q1581" s="3">
        <v>0</v>
      </c>
      <c r="R1581" s="22" t="s">
        <v>2764</v>
      </c>
      <c r="S1581" s="22" t="s">
        <v>5100</v>
      </c>
      <c r="T1581" s="51">
        <v>30</v>
      </c>
      <c r="U1581" s="3" t="s">
        <v>5461</v>
      </c>
      <c r="V1581" s="41" t="str">
        <f>HYPERLINK("http://ictvonline.org/taxonomy/p/taxonomy-history?taxnode_id=20181432","ICTVonline=20181432")</f>
        <v>ICTVonline=20181432</v>
      </c>
    </row>
    <row r="1582" spans="1:22">
      <c r="A1582" s="3">
        <v>1581</v>
      </c>
      <c r="J1582" s="1" t="s">
        <v>904</v>
      </c>
      <c r="L1582" s="1" t="s">
        <v>908</v>
      </c>
      <c r="M1582" s="1" t="s">
        <v>909</v>
      </c>
      <c r="N1582" s="1" t="s">
        <v>1300</v>
      </c>
      <c r="P1582" s="1" t="s">
        <v>3584</v>
      </c>
      <c r="Q1582" s="3">
        <v>0</v>
      </c>
      <c r="R1582" s="22" t="s">
        <v>2764</v>
      </c>
      <c r="S1582" s="22" t="s">
        <v>5100</v>
      </c>
      <c r="T1582" s="51">
        <v>30</v>
      </c>
      <c r="U1582" s="3" t="s">
        <v>5461</v>
      </c>
      <c r="V1582" s="41" t="str">
        <f>HYPERLINK("http://ictvonline.org/taxonomy/p/taxonomy-history?taxnode_id=20181433","ICTVonline=20181433")</f>
        <v>ICTVonline=20181433</v>
      </c>
    </row>
    <row r="1583" spans="1:22">
      <c r="A1583" s="3">
        <v>1582</v>
      </c>
      <c r="J1583" s="1" t="s">
        <v>904</v>
      </c>
      <c r="L1583" s="1" t="s">
        <v>908</v>
      </c>
      <c r="M1583" s="1" t="s">
        <v>909</v>
      </c>
      <c r="N1583" s="1" t="s">
        <v>1300</v>
      </c>
      <c r="P1583" s="1" t="s">
        <v>3585</v>
      </c>
      <c r="Q1583" s="3">
        <v>0</v>
      </c>
      <c r="R1583" s="22" t="s">
        <v>2764</v>
      </c>
      <c r="S1583" s="22" t="s">
        <v>5097</v>
      </c>
      <c r="T1583" s="51">
        <v>30</v>
      </c>
      <c r="U1583" s="3" t="s">
        <v>5462</v>
      </c>
      <c r="V1583" s="41" t="str">
        <f>HYPERLINK("http://ictvonline.org/taxonomy/p/taxonomy-history?taxnode_id=20181434","ICTVonline=20181434")</f>
        <v>ICTVonline=20181434</v>
      </c>
    </row>
    <row r="1584" spans="1:22">
      <c r="A1584" s="3">
        <v>1583</v>
      </c>
      <c r="J1584" s="1" t="s">
        <v>904</v>
      </c>
      <c r="L1584" s="1" t="s">
        <v>908</v>
      </c>
      <c r="M1584" s="1" t="s">
        <v>909</v>
      </c>
      <c r="N1584" s="1" t="s">
        <v>1300</v>
      </c>
      <c r="P1584" s="1" t="s">
        <v>3586</v>
      </c>
      <c r="Q1584" s="3">
        <v>0</v>
      </c>
      <c r="R1584" s="22" t="s">
        <v>2764</v>
      </c>
      <c r="S1584" s="22" t="s">
        <v>5100</v>
      </c>
      <c r="T1584" s="51">
        <v>30</v>
      </c>
      <c r="U1584" s="3" t="s">
        <v>5461</v>
      </c>
      <c r="V1584" s="41" t="str">
        <f>HYPERLINK("http://ictvonline.org/taxonomy/p/taxonomy-history?taxnode_id=20181435","ICTVonline=20181435")</f>
        <v>ICTVonline=20181435</v>
      </c>
    </row>
    <row r="1585" spans="1:22">
      <c r="A1585" s="3">
        <v>1584</v>
      </c>
      <c r="J1585" s="1" t="s">
        <v>904</v>
      </c>
      <c r="L1585" s="1" t="s">
        <v>908</v>
      </c>
      <c r="M1585" s="1" t="s">
        <v>909</v>
      </c>
      <c r="N1585" s="1" t="s">
        <v>1300</v>
      </c>
      <c r="P1585" s="1" t="s">
        <v>3587</v>
      </c>
      <c r="Q1585" s="3">
        <v>0</v>
      </c>
      <c r="R1585" s="22" t="s">
        <v>2764</v>
      </c>
      <c r="S1585" s="22" t="s">
        <v>5100</v>
      </c>
      <c r="T1585" s="51">
        <v>30</v>
      </c>
      <c r="U1585" s="3" t="s">
        <v>5461</v>
      </c>
      <c r="V1585" s="41" t="str">
        <f>HYPERLINK("http://ictvonline.org/taxonomy/p/taxonomy-history?taxnode_id=20181436","ICTVonline=20181436")</f>
        <v>ICTVonline=20181436</v>
      </c>
    </row>
    <row r="1586" spans="1:22">
      <c r="A1586" s="3">
        <v>1585</v>
      </c>
      <c r="J1586" s="1" t="s">
        <v>904</v>
      </c>
      <c r="L1586" s="1" t="s">
        <v>908</v>
      </c>
      <c r="M1586" s="1" t="s">
        <v>909</v>
      </c>
      <c r="N1586" s="1" t="s">
        <v>1301</v>
      </c>
      <c r="P1586" s="1" t="s">
        <v>3589</v>
      </c>
      <c r="Q1586" s="3">
        <v>0</v>
      </c>
      <c r="R1586" s="22" t="s">
        <v>2764</v>
      </c>
      <c r="S1586" s="22" t="s">
        <v>5100</v>
      </c>
      <c r="T1586" s="51">
        <v>30</v>
      </c>
      <c r="U1586" s="3" t="s">
        <v>5461</v>
      </c>
      <c r="V1586" s="41" t="str">
        <f>HYPERLINK("http://ictvonline.org/taxonomy/p/taxonomy-history?taxnode_id=20181440","ICTVonline=20181440")</f>
        <v>ICTVonline=20181440</v>
      </c>
    </row>
    <row r="1587" spans="1:22">
      <c r="A1587" s="3">
        <v>1586</v>
      </c>
      <c r="J1587" s="1" t="s">
        <v>904</v>
      </c>
      <c r="L1587" s="1" t="s">
        <v>908</v>
      </c>
      <c r="M1587" s="1" t="s">
        <v>909</v>
      </c>
      <c r="N1587" s="1" t="s">
        <v>1301</v>
      </c>
      <c r="P1587" s="1" t="s">
        <v>3590</v>
      </c>
      <c r="Q1587" s="3">
        <v>0</v>
      </c>
      <c r="R1587" s="22" t="s">
        <v>2764</v>
      </c>
      <c r="S1587" s="22" t="s">
        <v>5100</v>
      </c>
      <c r="T1587" s="51">
        <v>30</v>
      </c>
      <c r="U1587" s="3" t="s">
        <v>5461</v>
      </c>
      <c r="V1587" s="41" t="str">
        <f>HYPERLINK("http://ictvonline.org/taxonomy/p/taxonomy-history?taxnode_id=20181441","ICTVonline=20181441")</f>
        <v>ICTVonline=20181441</v>
      </c>
    </row>
    <row r="1588" spans="1:22">
      <c r="A1588" s="3">
        <v>1587</v>
      </c>
      <c r="J1588" s="1" t="s">
        <v>904</v>
      </c>
      <c r="L1588" s="1" t="s">
        <v>908</v>
      </c>
      <c r="M1588" s="1" t="s">
        <v>909</v>
      </c>
      <c r="N1588" s="1" t="s">
        <v>1301</v>
      </c>
      <c r="P1588" s="1" t="s">
        <v>3591</v>
      </c>
      <c r="Q1588" s="3">
        <v>0</v>
      </c>
      <c r="R1588" s="22" t="s">
        <v>2764</v>
      </c>
      <c r="S1588" s="22" t="s">
        <v>5100</v>
      </c>
      <c r="T1588" s="51">
        <v>30</v>
      </c>
      <c r="U1588" s="3" t="s">
        <v>5461</v>
      </c>
      <c r="V1588" s="41" t="str">
        <f>HYPERLINK("http://ictvonline.org/taxonomy/p/taxonomy-history?taxnode_id=20181442","ICTVonline=20181442")</f>
        <v>ICTVonline=20181442</v>
      </c>
    </row>
    <row r="1589" spans="1:22">
      <c r="A1589" s="3">
        <v>1588</v>
      </c>
      <c r="J1589" s="1" t="s">
        <v>904</v>
      </c>
      <c r="L1589" s="1" t="s">
        <v>908</v>
      </c>
      <c r="M1589" s="1" t="s">
        <v>909</v>
      </c>
      <c r="N1589" s="1" t="s">
        <v>1301</v>
      </c>
      <c r="P1589" s="1" t="s">
        <v>3592</v>
      </c>
      <c r="Q1589" s="3">
        <v>0</v>
      </c>
      <c r="R1589" s="22" t="s">
        <v>2764</v>
      </c>
      <c r="S1589" s="22" t="s">
        <v>5100</v>
      </c>
      <c r="T1589" s="51">
        <v>30</v>
      </c>
      <c r="U1589" s="3" t="s">
        <v>5461</v>
      </c>
      <c r="V1589" s="41" t="str">
        <f>HYPERLINK("http://ictvonline.org/taxonomy/p/taxonomy-history?taxnode_id=20181443","ICTVonline=20181443")</f>
        <v>ICTVonline=20181443</v>
      </c>
    </row>
    <row r="1590" spans="1:22">
      <c r="A1590" s="3">
        <v>1589</v>
      </c>
      <c r="J1590" s="1" t="s">
        <v>904</v>
      </c>
      <c r="L1590" s="1" t="s">
        <v>908</v>
      </c>
      <c r="M1590" s="1" t="s">
        <v>909</v>
      </c>
      <c r="N1590" s="1" t="s">
        <v>1301</v>
      </c>
      <c r="P1590" s="1" t="s">
        <v>3593</v>
      </c>
      <c r="Q1590" s="3">
        <v>0</v>
      </c>
      <c r="R1590" s="22" t="s">
        <v>2764</v>
      </c>
      <c r="S1590" s="22" t="s">
        <v>5100</v>
      </c>
      <c r="T1590" s="51">
        <v>30</v>
      </c>
      <c r="U1590" s="3" t="s">
        <v>5461</v>
      </c>
      <c r="V1590" s="41" t="str">
        <f>HYPERLINK("http://ictvonline.org/taxonomy/p/taxonomy-history?taxnode_id=20181444","ICTVonline=20181444")</f>
        <v>ICTVonline=20181444</v>
      </c>
    </row>
    <row r="1591" spans="1:22">
      <c r="A1591" s="3">
        <v>1590</v>
      </c>
      <c r="J1591" s="1" t="s">
        <v>904</v>
      </c>
      <c r="L1591" s="1" t="s">
        <v>908</v>
      </c>
      <c r="M1591" s="1" t="s">
        <v>909</v>
      </c>
      <c r="N1591" s="1" t="s">
        <v>1301</v>
      </c>
      <c r="P1591" s="1" t="s">
        <v>3594</v>
      </c>
      <c r="Q1591" s="3">
        <v>0</v>
      </c>
      <c r="R1591" s="22" t="s">
        <v>2764</v>
      </c>
      <c r="S1591" s="22" t="s">
        <v>5100</v>
      </c>
      <c r="T1591" s="51">
        <v>30</v>
      </c>
      <c r="U1591" s="3" t="s">
        <v>5461</v>
      </c>
      <c r="V1591" s="41" t="str">
        <f>HYPERLINK("http://ictvonline.org/taxonomy/p/taxonomy-history?taxnode_id=20181445","ICTVonline=20181445")</f>
        <v>ICTVonline=20181445</v>
      </c>
    </row>
    <row r="1592" spans="1:22">
      <c r="A1592" s="3">
        <v>1591</v>
      </c>
      <c r="J1592" s="1" t="s">
        <v>904</v>
      </c>
      <c r="L1592" s="1" t="s">
        <v>908</v>
      </c>
      <c r="M1592" s="1" t="s">
        <v>909</v>
      </c>
      <c r="N1592" s="1" t="s">
        <v>1301</v>
      </c>
      <c r="P1592" s="1" t="s">
        <v>3595</v>
      </c>
      <c r="Q1592" s="3">
        <v>0</v>
      </c>
      <c r="R1592" s="22" t="s">
        <v>2764</v>
      </c>
      <c r="S1592" s="22" t="s">
        <v>5100</v>
      </c>
      <c r="T1592" s="51">
        <v>30</v>
      </c>
      <c r="U1592" s="3" t="s">
        <v>5461</v>
      </c>
      <c r="V1592" s="41" t="str">
        <f>HYPERLINK("http://ictvonline.org/taxonomy/p/taxonomy-history?taxnode_id=20181446","ICTVonline=20181446")</f>
        <v>ICTVonline=20181446</v>
      </c>
    </row>
    <row r="1593" spans="1:22">
      <c r="A1593" s="3">
        <v>1592</v>
      </c>
      <c r="J1593" s="1" t="s">
        <v>904</v>
      </c>
      <c r="L1593" s="1" t="s">
        <v>908</v>
      </c>
      <c r="M1593" s="1" t="s">
        <v>909</v>
      </c>
      <c r="N1593" s="1" t="s">
        <v>1301</v>
      </c>
      <c r="P1593" s="1" t="s">
        <v>3596</v>
      </c>
      <c r="Q1593" s="3">
        <v>0</v>
      </c>
      <c r="R1593" s="22" t="s">
        <v>2764</v>
      </c>
      <c r="S1593" s="22" t="s">
        <v>5100</v>
      </c>
      <c r="T1593" s="51">
        <v>30</v>
      </c>
      <c r="U1593" s="3" t="s">
        <v>5461</v>
      </c>
      <c r="V1593" s="41" t="str">
        <f>HYPERLINK("http://ictvonline.org/taxonomy/p/taxonomy-history?taxnode_id=20181447","ICTVonline=20181447")</f>
        <v>ICTVonline=20181447</v>
      </c>
    </row>
    <row r="1594" spans="1:22">
      <c r="A1594" s="3">
        <v>1593</v>
      </c>
      <c r="J1594" s="1" t="s">
        <v>904</v>
      </c>
      <c r="L1594" s="1" t="s">
        <v>908</v>
      </c>
      <c r="M1594" s="1" t="s">
        <v>909</v>
      </c>
      <c r="N1594" s="1" t="s">
        <v>1301</v>
      </c>
      <c r="P1594" s="1" t="s">
        <v>3597</v>
      </c>
      <c r="Q1594" s="3">
        <v>0</v>
      </c>
      <c r="R1594" s="22" t="s">
        <v>2764</v>
      </c>
      <c r="S1594" s="22" t="s">
        <v>5100</v>
      </c>
      <c r="T1594" s="51">
        <v>30</v>
      </c>
      <c r="U1594" s="3" t="s">
        <v>5461</v>
      </c>
      <c r="V1594" s="41" t="str">
        <f>HYPERLINK("http://ictvonline.org/taxonomy/p/taxonomy-history?taxnode_id=20181448","ICTVonline=20181448")</f>
        <v>ICTVonline=20181448</v>
      </c>
    </row>
    <row r="1595" spans="1:22">
      <c r="A1595" s="3">
        <v>1594</v>
      </c>
      <c r="J1595" s="1" t="s">
        <v>904</v>
      </c>
      <c r="L1595" s="1" t="s">
        <v>908</v>
      </c>
      <c r="M1595" s="1" t="s">
        <v>909</v>
      </c>
      <c r="N1595" s="1" t="s">
        <v>1301</v>
      </c>
      <c r="P1595" s="1" t="s">
        <v>3598</v>
      </c>
      <c r="Q1595" s="3">
        <v>0</v>
      </c>
      <c r="R1595" s="22" t="s">
        <v>2764</v>
      </c>
      <c r="S1595" s="22" t="s">
        <v>5100</v>
      </c>
      <c r="T1595" s="51">
        <v>30</v>
      </c>
      <c r="U1595" s="3" t="s">
        <v>5461</v>
      </c>
      <c r="V1595" s="41" t="str">
        <f>HYPERLINK("http://ictvonline.org/taxonomy/p/taxonomy-history?taxnode_id=20181449","ICTVonline=20181449")</f>
        <v>ICTVonline=20181449</v>
      </c>
    </row>
    <row r="1596" spans="1:22">
      <c r="A1596" s="3">
        <v>1595</v>
      </c>
      <c r="J1596" s="1" t="s">
        <v>904</v>
      </c>
      <c r="L1596" s="1" t="s">
        <v>908</v>
      </c>
      <c r="M1596" s="1" t="s">
        <v>909</v>
      </c>
      <c r="N1596" s="1" t="s">
        <v>1301</v>
      </c>
      <c r="P1596" s="1" t="s">
        <v>3599</v>
      </c>
      <c r="Q1596" s="3">
        <v>0</v>
      </c>
      <c r="R1596" s="22" t="s">
        <v>2764</v>
      </c>
      <c r="S1596" s="22" t="s">
        <v>5100</v>
      </c>
      <c r="T1596" s="51">
        <v>30</v>
      </c>
      <c r="U1596" s="3" t="s">
        <v>5461</v>
      </c>
      <c r="V1596" s="41" t="str">
        <f>HYPERLINK("http://ictvonline.org/taxonomy/p/taxonomy-history?taxnode_id=20181450","ICTVonline=20181450")</f>
        <v>ICTVonline=20181450</v>
      </c>
    </row>
    <row r="1597" spans="1:22">
      <c r="A1597" s="3">
        <v>1596</v>
      </c>
      <c r="J1597" s="1" t="s">
        <v>904</v>
      </c>
      <c r="L1597" s="1" t="s">
        <v>908</v>
      </c>
      <c r="M1597" s="1" t="s">
        <v>909</v>
      </c>
      <c r="N1597" s="1" t="s">
        <v>1301</v>
      </c>
      <c r="P1597" s="1" t="s">
        <v>3600</v>
      </c>
      <c r="Q1597" s="3">
        <v>0</v>
      </c>
      <c r="R1597" s="22" t="s">
        <v>2764</v>
      </c>
      <c r="S1597" s="22" t="s">
        <v>5100</v>
      </c>
      <c r="T1597" s="51">
        <v>30</v>
      </c>
      <c r="U1597" s="3" t="s">
        <v>5461</v>
      </c>
      <c r="V1597" s="41" t="str">
        <f>HYPERLINK("http://ictvonline.org/taxonomy/p/taxonomy-history?taxnode_id=20181451","ICTVonline=20181451")</f>
        <v>ICTVonline=20181451</v>
      </c>
    </row>
    <row r="1598" spans="1:22">
      <c r="A1598" s="3">
        <v>1597</v>
      </c>
      <c r="J1598" s="1" t="s">
        <v>904</v>
      </c>
      <c r="L1598" s="1" t="s">
        <v>908</v>
      </c>
      <c r="M1598" s="1" t="s">
        <v>909</v>
      </c>
      <c r="N1598" s="1" t="s">
        <v>1301</v>
      </c>
      <c r="P1598" s="1" t="s">
        <v>3601</v>
      </c>
      <c r="Q1598" s="3">
        <v>0</v>
      </c>
      <c r="R1598" s="22" t="s">
        <v>2764</v>
      </c>
      <c r="S1598" s="22" t="s">
        <v>5100</v>
      </c>
      <c r="T1598" s="51">
        <v>30</v>
      </c>
      <c r="U1598" s="3" t="s">
        <v>5461</v>
      </c>
      <c r="V1598" s="41" t="str">
        <f>HYPERLINK("http://ictvonline.org/taxonomy/p/taxonomy-history?taxnode_id=20181452","ICTVonline=20181452")</f>
        <v>ICTVonline=20181452</v>
      </c>
    </row>
    <row r="1599" spans="1:22">
      <c r="A1599" s="3">
        <v>1598</v>
      </c>
      <c r="J1599" s="1" t="s">
        <v>904</v>
      </c>
      <c r="L1599" s="1" t="s">
        <v>908</v>
      </c>
      <c r="M1599" s="1" t="s">
        <v>909</v>
      </c>
      <c r="N1599" s="1" t="s">
        <v>1301</v>
      </c>
      <c r="P1599" s="1" t="s">
        <v>3602</v>
      </c>
      <c r="Q1599" s="3">
        <v>0</v>
      </c>
      <c r="R1599" s="22" t="s">
        <v>2764</v>
      </c>
      <c r="S1599" s="22" t="s">
        <v>5100</v>
      </c>
      <c r="T1599" s="51">
        <v>30</v>
      </c>
      <c r="U1599" s="3" t="s">
        <v>5461</v>
      </c>
      <c r="V1599" s="41" t="str">
        <f>HYPERLINK("http://ictvonline.org/taxonomy/p/taxonomy-history?taxnode_id=20181453","ICTVonline=20181453")</f>
        <v>ICTVonline=20181453</v>
      </c>
    </row>
    <row r="1600" spans="1:22">
      <c r="A1600" s="3">
        <v>1599</v>
      </c>
      <c r="J1600" s="1" t="s">
        <v>904</v>
      </c>
      <c r="L1600" s="1" t="s">
        <v>908</v>
      </c>
      <c r="M1600" s="1" t="s">
        <v>909</v>
      </c>
      <c r="N1600" s="1" t="s">
        <v>1301</v>
      </c>
      <c r="P1600" s="1" t="s">
        <v>3603</v>
      </c>
      <c r="Q1600" s="3">
        <v>1</v>
      </c>
      <c r="R1600" s="22" t="s">
        <v>2764</v>
      </c>
      <c r="S1600" s="22" t="s">
        <v>5100</v>
      </c>
      <c r="T1600" s="51">
        <v>30</v>
      </c>
      <c r="U1600" s="3" t="s">
        <v>5461</v>
      </c>
      <c r="V1600" s="41" t="str">
        <f>HYPERLINK("http://ictvonline.org/taxonomy/p/taxonomy-history?taxnode_id=20181454","ICTVonline=20181454")</f>
        <v>ICTVonline=20181454</v>
      </c>
    </row>
    <row r="1601" spans="1:22">
      <c r="A1601" s="3">
        <v>1600</v>
      </c>
      <c r="J1601" s="1" t="s">
        <v>904</v>
      </c>
      <c r="L1601" s="1" t="s">
        <v>908</v>
      </c>
      <c r="M1601" s="1" t="s">
        <v>909</v>
      </c>
      <c r="N1601" s="1" t="s">
        <v>1301</v>
      </c>
      <c r="P1601" s="1" t="s">
        <v>3604</v>
      </c>
      <c r="Q1601" s="3">
        <v>0</v>
      </c>
      <c r="R1601" s="22" t="s">
        <v>2764</v>
      </c>
      <c r="S1601" s="22" t="s">
        <v>5100</v>
      </c>
      <c r="T1601" s="51">
        <v>30</v>
      </c>
      <c r="U1601" s="3" t="s">
        <v>5461</v>
      </c>
      <c r="V1601" s="41" t="str">
        <f>HYPERLINK("http://ictvonline.org/taxonomy/p/taxonomy-history?taxnode_id=20181455","ICTVonline=20181455")</f>
        <v>ICTVonline=20181455</v>
      </c>
    </row>
    <row r="1602" spans="1:22">
      <c r="A1602" s="3">
        <v>1601</v>
      </c>
      <c r="J1602" s="1" t="s">
        <v>904</v>
      </c>
      <c r="L1602" s="1" t="s">
        <v>908</v>
      </c>
      <c r="M1602" s="1" t="s">
        <v>909</v>
      </c>
      <c r="N1602" s="1" t="s">
        <v>1301</v>
      </c>
      <c r="P1602" s="1" t="s">
        <v>3605</v>
      </c>
      <c r="Q1602" s="3">
        <v>0</v>
      </c>
      <c r="R1602" s="22" t="s">
        <v>2764</v>
      </c>
      <c r="S1602" s="22" t="s">
        <v>5100</v>
      </c>
      <c r="T1602" s="51">
        <v>30</v>
      </c>
      <c r="U1602" s="3" t="s">
        <v>5461</v>
      </c>
      <c r="V1602" s="41" t="str">
        <f>HYPERLINK("http://ictvonline.org/taxonomy/p/taxonomy-history?taxnode_id=20181456","ICTVonline=20181456")</f>
        <v>ICTVonline=20181456</v>
      </c>
    </row>
    <row r="1603" spans="1:22">
      <c r="A1603" s="3">
        <v>1602</v>
      </c>
      <c r="J1603" s="1" t="s">
        <v>904</v>
      </c>
      <c r="L1603" s="1" t="s">
        <v>908</v>
      </c>
      <c r="M1603" s="1" t="s">
        <v>909</v>
      </c>
      <c r="P1603" s="1" t="s">
        <v>3588</v>
      </c>
      <c r="Q1603" s="3">
        <v>0</v>
      </c>
      <c r="R1603" s="22" t="s">
        <v>2764</v>
      </c>
      <c r="S1603" s="22" t="s">
        <v>5100</v>
      </c>
      <c r="T1603" s="51">
        <v>30</v>
      </c>
      <c r="U1603" s="3" t="s">
        <v>5461</v>
      </c>
      <c r="V1603" s="41" t="str">
        <f>HYPERLINK("http://ictvonline.org/taxonomy/p/taxonomy-history?taxnode_id=20181438","ICTVonline=20181438")</f>
        <v>ICTVonline=20181438</v>
      </c>
    </row>
    <row r="1604" spans="1:22">
      <c r="A1604" s="3">
        <v>1603</v>
      </c>
      <c r="J1604" s="1" t="s">
        <v>904</v>
      </c>
      <c r="L1604" s="1" t="s">
        <v>908</v>
      </c>
      <c r="M1604" s="1" t="s">
        <v>1402</v>
      </c>
      <c r="N1604" s="1" t="s">
        <v>686</v>
      </c>
      <c r="P1604" s="1" t="s">
        <v>3606</v>
      </c>
      <c r="Q1604" s="3">
        <v>0</v>
      </c>
      <c r="R1604" s="22" t="s">
        <v>2764</v>
      </c>
      <c r="S1604" s="22" t="s">
        <v>5100</v>
      </c>
      <c r="T1604" s="51">
        <v>30</v>
      </c>
      <c r="U1604" s="3" t="s">
        <v>5461</v>
      </c>
      <c r="V1604" s="41" t="str">
        <f>HYPERLINK("http://ictvonline.org/taxonomy/p/taxonomy-history?taxnode_id=20181459","ICTVonline=20181459")</f>
        <v>ICTVonline=20181459</v>
      </c>
    </row>
    <row r="1605" spans="1:22">
      <c r="A1605" s="3">
        <v>1604</v>
      </c>
      <c r="J1605" s="1" t="s">
        <v>904</v>
      </c>
      <c r="L1605" s="1" t="s">
        <v>908</v>
      </c>
      <c r="M1605" s="1" t="s">
        <v>1402</v>
      </c>
      <c r="N1605" s="1" t="s">
        <v>686</v>
      </c>
      <c r="P1605" s="1" t="s">
        <v>3607</v>
      </c>
      <c r="Q1605" s="3">
        <v>0</v>
      </c>
      <c r="R1605" s="22" t="s">
        <v>2764</v>
      </c>
      <c r="S1605" s="22" t="s">
        <v>5100</v>
      </c>
      <c r="T1605" s="51">
        <v>30</v>
      </c>
      <c r="U1605" s="3" t="s">
        <v>5461</v>
      </c>
      <c r="V1605" s="41" t="str">
        <f>HYPERLINK("http://ictvonline.org/taxonomy/p/taxonomy-history?taxnode_id=20181460","ICTVonline=20181460")</f>
        <v>ICTVonline=20181460</v>
      </c>
    </row>
    <row r="1606" spans="1:22">
      <c r="A1606" s="3">
        <v>1605</v>
      </c>
      <c r="J1606" s="1" t="s">
        <v>904</v>
      </c>
      <c r="L1606" s="1" t="s">
        <v>908</v>
      </c>
      <c r="M1606" s="1" t="s">
        <v>1402</v>
      </c>
      <c r="N1606" s="1" t="s">
        <v>686</v>
      </c>
      <c r="P1606" s="1" t="s">
        <v>3608</v>
      </c>
      <c r="Q1606" s="3">
        <v>0</v>
      </c>
      <c r="R1606" s="22" t="s">
        <v>2764</v>
      </c>
      <c r="S1606" s="22" t="s">
        <v>5100</v>
      </c>
      <c r="T1606" s="51">
        <v>30</v>
      </c>
      <c r="U1606" s="3" t="s">
        <v>5461</v>
      </c>
      <c r="V1606" s="41" t="str">
        <f>HYPERLINK("http://ictvonline.org/taxonomy/p/taxonomy-history?taxnode_id=20181461","ICTVonline=20181461")</f>
        <v>ICTVonline=20181461</v>
      </c>
    </row>
    <row r="1607" spans="1:22">
      <c r="A1607" s="3">
        <v>1606</v>
      </c>
      <c r="J1607" s="1" t="s">
        <v>904</v>
      </c>
      <c r="L1607" s="1" t="s">
        <v>908</v>
      </c>
      <c r="M1607" s="1" t="s">
        <v>1402</v>
      </c>
      <c r="N1607" s="1" t="s">
        <v>686</v>
      </c>
      <c r="P1607" s="1" t="s">
        <v>3609</v>
      </c>
      <c r="Q1607" s="3">
        <v>1</v>
      </c>
      <c r="R1607" s="22" t="s">
        <v>2764</v>
      </c>
      <c r="S1607" s="22" t="s">
        <v>5100</v>
      </c>
      <c r="T1607" s="51">
        <v>30</v>
      </c>
      <c r="U1607" s="3" t="s">
        <v>5461</v>
      </c>
      <c r="V1607" s="41" t="str">
        <f>HYPERLINK("http://ictvonline.org/taxonomy/p/taxonomy-history?taxnode_id=20181462","ICTVonline=20181462")</f>
        <v>ICTVonline=20181462</v>
      </c>
    </row>
    <row r="1608" spans="1:22">
      <c r="A1608" s="3">
        <v>1607</v>
      </c>
      <c r="J1608" s="1" t="s">
        <v>904</v>
      </c>
      <c r="L1608" s="1" t="s">
        <v>908</v>
      </c>
      <c r="M1608" s="1" t="s">
        <v>1402</v>
      </c>
      <c r="N1608" s="1" t="s">
        <v>686</v>
      </c>
      <c r="P1608" s="1" t="s">
        <v>3610</v>
      </c>
      <c r="Q1608" s="3">
        <v>0</v>
      </c>
      <c r="R1608" s="22" t="s">
        <v>2764</v>
      </c>
      <c r="S1608" s="22" t="s">
        <v>5100</v>
      </c>
      <c r="T1608" s="51">
        <v>30</v>
      </c>
      <c r="U1608" s="3" t="s">
        <v>5461</v>
      </c>
      <c r="V1608" s="41" t="str">
        <f>HYPERLINK("http://ictvonline.org/taxonomy/p/taxonomy-history?taxnode_id=20181463","ICTVonline=20181463")</f>
        <v>ICTVonline=20181463</v>
      </c>
    </row>
    <row r="1609" spans="1:22">
      <c r="A1609" s="3">
        <v>1608</v>
      </c>
      <c r="J1609" s="1" t="s">
        <v>904</v>
      </c>
      <c r="L1609" s="1" t="s">
        <v>908</v>
      </c>
      <c r="M1609" s="1" t="s">
        <v>1402</v>
      </c>
      <c r="N1609" s="1" t="s">
        <v>686</v>
      </c>
      <c r="P1609" s="1" t="s">
        <v>3611</v>
      </c>
      <c r="Q1609" s="3">
        <v>0</v>
      </c>
      <c r="R1609" s="22" t="s">
        <v>2764</v>
      </c>
      <c r="S1609" s="22" t="s">
        <v>5100</v>
      </c>
      <c r="T1609" s="51">
        <v>30</v>
      </c>
      <c r="U1609" s="3" t="s">
        <v>5461</v>
      </c>
      <c r="V1609" s="41" t="str">
        <f>HYPERLINK("http://ictvonline.org/taxonomy/p/taxonomy-history?taxnode_id=20181464","ICTVonline=20181464")</f>
        <v>ICTVonline=20181464</v>
      </c>
    </row>
    <row r="1610" spans="1:22">
      <c r="A1610" s="3">
        <v>1609</v>
      </c>
      <c r="J1610" s="1" t="s">
        <v>904</v>
      </c>
      <c r="L1610" s="1" t="s">
        <v>908</v>
      </c>
      <c r="M1610" s="1" t="s">
        <v>1402</v>
      </c>
      <c r="N1610" s="1" t="s">
        <v>686</v>
      </c>
      <c r="P1610" s="1" t="s">
        <v>3612</v>
      </c>
      <c r="Q1610" s="3">
        <v>0</v>
      </c>
      <c r="R1610" s="22" t="s">
        <v>2764</v>
      </c>
      <c r="S1610" s="22" t="s">
        <v>5100</v>
      </c>
      <c r="T1610" s="51">
        <v>30</v>
      </c>
      <c r="U1610" s="3" t="s">
        <v>5461</v>
      </c>
      <c r="V1610" s="41" t="str">
        <f>HYPERLINK("http://ictvonline.org/taxonomy/p/taxonomy-history?taxnode_id=20181465","ICTVonline=20181465")</f>
        <v>ICTVonline=20181465</v>
      </c>
    </row>
    <row r="1611" spans="1:22">
      <c r="A1611" s="3">
        <v>1610</v>
      </c>
      <c r="J1611" s="1" t="s">
        <v>904</v>
      </c>
      <c r="L1611" s="1" t="s">
        <v>908</v>
      </c>
      <c r="M1611" s="1" t="s">
        <v>1402</v>
      </c>
      <c r="N1611" s="1" t="s">
        <v>686</v>
      </c>
      <c r="P1611" s="1" t="s">
        <v>3613</v>
      </c>
      <c r="Q1611" s="3">
        <v>0</v>
      </c>
      <c r="R1611" s="22" t="s">
        <v>2764</v>
      </c>
      <c r="S1611" s="22" t="s">
        <v>5100</v>
      </c>
      <c r="T1611" s="51">
        <v>30</v>
      </c>
      <c r="U1611" s="3" t="s">
        <v>5461</v>
      </c>
      <c r="V1611" s="41" t="str">
        <f>HYPERLINK("http://ictvonline.org/taxonomy/p/taxonomy-history?taxnode_id=20181466","ICTVonline=20181466")</f>
        <v>ICTVonline=20181466</v>
      </c>
    </row>
    <row r="1612" spans="1:22">
      <c r="A1612" s="3">
        <v>1611</v>
      </c>
      <c r="J1612" s="1" t="s">
        <v>904</v>
      </c>
      <c r="L1612" s="1" t="s">
        <v>908</v>
      </c>
      <c r="M1612" s="1" t="s">
        <v>1402</v>
      </c>
      <c r="N1612" s="1" t="s">
        <v>687</v>
      </c>
      <c r="P1612" s="1" t="s">
        <v>3614</v>
      </c>
      <c r="Q1612" s="3">
        <v>1</v>
      </c>
      <c r="R1612" s="22" t="s">
        <v>2764</v>
      </c>
      <c r="S1612" s="22" t="s">
        <v>5100</v>
      </c>
      <c r="T1612" s="51">
        <v>30</v>
      </c>
      <c r="U1612" s="3" t="s">
        <v>5461</v>
      </c>
      <c r="V1612" s="41" t="str">
        <f>HYPERLINK("http://ictvonline.org/taxonomy/p/taxonomy-history?taxnode_id=20181468","ICTVonline=20181468")</f>
        <v>ICTVonline=20181468</v>
      </c>
    </row>
    <row r="1613" spans="1:22">
      <c r="A1613" s="3">
        <v>1612</v>
      </c>
      <c r="J1613" s="1" t="s">
        <v>904</v>
      </c>
      <c r="L1613" s="1" t="s">
        <v>908</v>
      </c>
      <c r="M1613" s="1" t="s">
        <v>1402</v>
      </c>
      <c r="N1613" s="1" t="s">
        <v>687</v>
      </c>
      <c r="P1613" s="1" t="s">
        <v>3615</v>
      </c>
      <c r="Q1613" s="3">
        <v>0</v>
      </c>
      <c r="R1613" s="22" t="s">
        <v>2764</v>
      </c>
      <c r="S1613" s="22" t="s">
        <v>5100</v>
      </c>
      <c r="T1613" s="51">
        <v>30</v>
      </c>
      <c r="U1613" s="3" t="s">
        <v>5461</v>
      </c>
      <c r="V1613" s="41" t="str">
        <f>HYPERLINK("http://ictvonline.org/taxonomy/p/taxonomy-history?taxnode_id=20181469","ICTVonline=20181469")</f>
        <v>ICTVonline=20181469</v>
      </c>
    </row>
    <row r="1614" spans="1:22">
      <c r="A1614" s="3">
        <v>1613</v>
      </c>
      <c r="J1614" s="1" t="s">
        <v>904</v>
      </c>
      <c r="L1614" s="1" t="s">
        <v>908</v>
      </c>
      <c r="M1614" s="1" t="s">
        <v>1402</v>
      </c>
      <c r="N1614" s="1" t="s">
        <v>687</v>
      </c>
      <c r="P1614" s="1" t="s">
        <v>3616</v>
      </c>
      <c r="Q1614" s="3">
        <v>0</v>
      </c>
      <c r="R1614" s="22" t="s">
        <v>2764</v>
      </c>
      <c r="S1614" s="22" t="s">
        <v>5100</v>
      </c>
      <c r="T1614" s="51">
        <v>30</v>
      </c>
      <c r="U1614" s="3" t="s">
        <v>5461</v>
      </c>
      <c r="V1614" s="41" t="str">
        <f>HYPERLINK("http://ictvonline.org/taxonomy/p/taxonomy-history?taxnode_id=20181470","ICTVonline=20181470")</f>
        <v>ICTVonline=20181470</v>
      </c>
    </row>
    <row r="1615" spans="1:22">
      <c r="A1615" s="3">
        <v>1614</v>
      </c>
      <c r="J1615" s="1" t="s">
        <v>904</v>
      </c>
      <c r="L1615" s="1" t="s">
        <v>908</v>
      </c>
      <c r="M1615" s="1" t="s">
        <v>1402</v>
      </c>
      <c r="N1615" s="1" t="s">
        <v>1404</v>
      </c>
      <c r="P1615" s="1" t="s">
        <v>3617</v>
      </c>
      <c r="Q1615" s="3">
        <v>1</v>
      </c>
      <c r="R1615" s="22" t="s">
        <v>2764</v>
      </c>
      <c r="S1615" s="22" t="s">
        <v>5100</v>
      </c>
      <c r="T1615" s="51">
        <v>30</v>
      </c>
      <c r="U1615" s="3" t="s">
        <v>5461</v>
      </c>
      <c r="V1615" s="41" t="str">
        <f>HYPERLINK("http://ictvonline.org/taxonomy/p/taxonomy-history?taxnode_id=20181472","ICTVonline=20181472")</f>
        <v>ICTVonline=20181472</v>
      </c>
    </row>
    <row r="1616" spans="1:22">
      <c r="A1616" s="3">
        <v>1615</v>
      </c>
      <c r="J1616" s="1" t="s">
        <v>904</v>
      </c>
      <c r="L1616" s="1" t="s">
        <v>908</v>
      </c>
      <c r="M1616" s="1" t="s">
        <v>1402</v>
      </c>
      <c r="N1616" s="1" t="s">
        <v>1405</v>
      </c>
      <c r="P1616" s="1" t="s">
        <v>3618</v>
      </c>
      <c r="Q1616" s="3">
        <v>0</v>
      </c>
      <c r="R1616" s="22" t="s">
        <v>2764</v>
      </c>
      <c r="S1616" s="22" t="s">
        <v>5100</v>
      </c>
      <c r="T1616" s="51">
        <v>30</v>
      </c>
      <c r="U1616" s="3" t="s">
        <v>5461</v>
      </c>
      <c r="V1616" s="41" t="str">
        <f>HYPERLINK("http://ictvonline.org/taxonomy/p/taxonomy-history?taxnode_id=20181474","ICTVonline=20181474")</f>
        <v>ICTVonline=20181474</v>
      </c>
    </row>
    <row r="1617" spans="1:22">
      <c r="A1617" s="3">
        <v>1616</v>
      </c>
      <c r="J1617" s="1" t="s">
        <v>904</v>
      </c>
      <c r="L1617" s="1" t="s">
        <v>908</v>
      </c>
      <c r="M1617" s="1" t="s">
        <v>1402</v>
      </c>
      <c r="N1617" s="1" t="s">
        <v>1405</v>
      </c>
      <c r="P1617" s="1" t="s">
        <v>3619</v>
      </c>
      <c r="Q1617" s="3">
        <v>1</v>
      </c>
      <c r="R1617" s="22" t="s">
        <v>2764</v>
      </c>
      <c r="S1617" s="22" t="s">
        <v>5100</v>
      </c>
      <c r="T1617" s="51">
        <v>30</v>
      </c>
      <c r="U1617" s="3" t="s">
        <v>5461</v>
      </c>
      <c r="V1617" s="41" t="str">
        <f>HYPERLINK("http://ictvonline.org/taxonomy/p/taxonomy-history?taxnode_id=20181475","ICTVonline=20181475")</f>
        <v>ICTVonline=20181475</v>
      </c>
    </row>
    <row r="1618" spans="1:22">
      <c r="A1618" s="3">
        <v>1617</v>
      </c>
      <c r="J1618" s="1" t="s">
        <v>904</v>
      </c>
      <c r="L1618" s="1" t="s">
        <v>908</v>
      </c>
      <c r="M1618" s="1" t="s">
        <v>1402</v>
      </c>
      <c r="N1618" s="1" t="s">
        <v>1405</v>
      </c>
      <c r="P1618" s="1" t="s">
        <v>3620</v>
      </c>
      <c r="Q1618" s="3">
        <v>0</v>
      </c>
      <c r="R1618" s="22" t="s">
        <v>2764</v>
      </c>
      <c r="S1618" s="22" t="s">
        <v>5100</v>
      </c>
      <c r="T1618" s="51">
        <v>30</v>
      </c>
      <c r="U1618" s="3" t="s">
        <v>5461</v>
      </c>
      <c r="V1618" s="41" t="str">
        <f>HYPERLINK("http://ictvonline.org/taxonomy/p/taxonomy-history?taxnode_id=20181476","ICTVonline=20181476")</f>
        <v>ICTVonline=20181476</v>
      </c>
    </row>
    <row r="1619" spans="1:22">
      <c r="A1619" s="3">
        <v>1618</v>
      </c>
      <c r="J1619" s="1" t="s">
        <v>904</v>
      </c>
      <c r="L1619" s="1" t="s">
        <v>908</v>
      </c>
      <c r="M1619" s="1" t="s">
        <v>1402</v>
      </c>
      <c r="P1619" s="1" t="s">
        <v>3621</v>
      </c>
      <c r="Q1619" s="3">
        <v>0</v>
      </c>
      <c r="R1619" s="22" t="s">
        <v>2764</v>
      </c>
      <c r="S1619" s="22" t="s">
        <v>5100</v>
      </c>
      <c r="T1619" s="51">
        <v>30</v>
      </c>
      <c r="U1619" s="3" t="s">
        <v>5461</v>
      </c>
      <c r="V1619" s="41" t="str">
        <f>HYPERLINK("http://ictvonline.org/taxonomy/p/taxonomy-history?taxnode_id=20181478","ICTVonline=20181478")</f>
        <v>ICTVonline=20181478</v>
      </c>
    </row>
    <row r="1620" spans="1:22">
      <c r="A1620" s="3">
        <v>1619</v>
      </c>
      <c r="J1620" s="1" t="s">
        <v>904</v>
      </c>
      <c r="L1620" s="1" t="s">
        <v>908</v>
      </c>
      <c r="M1620" s="1" t="s">
        <v>1402</v>
      </c>
      <c r="P1620" s="1" t="s">
        <v>3622</v>
      </c>
      <c r="Q1620" s="3">
        <v>0</v>
      </c>
      <c r="R1620" s="22" t="s">
        <v>2764</v>
      </c>
      <c r="S1620" s="22" t="s">
        <v>5100</v>
      </c>
      <c r="T1620" s="51">
        <v>30</v>
      </c>
      <c r="U1620" s="3" t="s">
        <v>5461</v>
      </c>
      <c r="V1620" s="41" t="str">
        <f>HYPERLINK("http://ictvonline.org/taxonomy/p/taxonomy-history?taxnode_id=20181479","ICTVonline=20181479")</f>
        <v>ICTVonline=20181479</v>
      </c>
    </row>
    <row r="1621" spans="1:22">
      <c r="A1621" s="3">
        <v>1620</v>
      </c>
      <c r="J1621" s="1" t="s">
        <v>904</v>
      </c>
      <c r="L1621" s="1" t="s">
        <v>908</v>
      </c>
      <c r="M1621" s="1" t="s">
        <v>1402</v>
      </c>
      <c r="P1621" s="1" t="s">
        <v>3623</v>
      </c>
      <c r="Q1621" s="3">
        <v>0</v>
      </c>
      <c r="R1621" s="22" t="s">
        <v>2764</v>
      </c>
      <c r="S1621" s="22" t="s">
        <v>5100</v>
      </c>
      <c r="T1621" s="51">
        <v>30</v>
      </c>
      <c r="U1621" s="3" t="s">
        <v>5461</v>
      </c>
      <c r="V1621" s="41" t="str">
        <f>HYPERLINK("http://ictvonline.org/taxonomy/p/taxonomy-history?taxnode_id=20181480","ICTVonline=20181480")</f>
        <v>ICTVonline=20181480</v>
      </c>
    </row>
    <row r="1622" spans="1:22">
      <c r="A1622" s="3">
        <v>1621</v>
      </c>
      <c r="J1622" s="1" t="s">
        <v>904</v>
      </c>
      <c r="L1622" s="1" t="s">
        <v>908</v>
      </c>
      <c r="M1622" s="1" t="s">
        <v>1409</v>
      </c>
      <c r="N1622" s="1" t="s">
        <v>1305</v>
      </c>
      <c r="P1622" s="1" t="s">
        <v>3624</v>
      </c>
      <c r="Q1622" s="3">
        <v>0</v>
      </c>
      <c r="R1622" s="22" t="s">
        <v>2764</v>
      </c>
      <c r="S1622" s="22" t="s">
        <v>5100</v>
      </c>
      <c r="T1622" s="51">
        <v>30</v>
      </c>
      <c r="U1622" s="3" t="s">
        <v>5461</v>
      </c>
      <c r="V1622" s="41" t="str">
        <f>HYPERLINK("http://ictvonline.org/taxonomy/p/taxonomy-history?taxnode_id=20181483","ICTVonline=20181483")</f>
        <v>ICTVonline=20181483</v>
      </c>
    </row>
    <row r="1623" spans="1:22">
      <c r="A1623" s="3">
        <v>1622</v>
      </c>
      <c r="J1623" s="1" t="s">
        <v>904</v>
      </c>
      <c r="L1623" s="1" t="s">
        <v>908</v>
      </c>
      <c r="M1623" s="1" t="s">
        <v>1409</v>
      </c>
      <c r="N1623" s="1" t="s">
        <v>1305</v>
      </c>
      <c r="P1623" s="1" t="s">
        <v>3625</v>
      </c>
      <c r="Q1623" s="3">
        <v>0</v>
      </c>
      <c r="R1623" s="22" t="s">
        <v>2764</v>
      </c>
      <c r="S1623" s="22" t="s">
        <v>5100</v>
      </c>
      <c r="T1623" s="51">
        <v>30</v>
      </c>
      <c r="U1623" s="3" t="s">
        <v>5461</v>
      </c>
      <c r="V1623" s="41" t="str">
        <f>HYPERLINK("http://ictvonline.org/taxonomy/p/taxonomy-history?taxnode_id=20181484","ICTVonline=20181484")</f>
        <v>ICTVonline=20181484</v>
      </c>
    </row>
    <row r="1624" spans="1:22">
      <c r="A1624" s="3">
        <v>1623</v>
      </c>
      <c r="J1624" s="1" t="s">
        <v>904</v>
      </c>
      <c r="L1624" s="1" t="s">
        <v>908</v>
      </c>
      <c r="M1624" s="1" t="s">
        <v>1409</v>
      </c>
      <c r="N1624" s="1" t="s">
        <v>1305</v>
      </c>
      <c r="P1624" s="1" t="s">
        <v>3626</v>
      </c>
      <c r="Q1624" s="3">
        <v>0</v>
      </c>
      <c r="R1624" s="22" t="s">
        <v>2764</v>
      </c>
      <c r="S1624" s="22" t="s">
        <v>5100</v>
      </c>
      <c r="T1624" s="51">
        <v>30</v>
      </c>
      <c r="U1624" s="3" t="s">
        <v>5461</v>
      </c>
      <c r="V1624" s="41" t="str">
        <f>HYPERLINK("http://ictvonline.org/taxonomy/p/taxonomy-history?taxnode_id=20181485","ICTVonline=20181485")</f>
        <v>ICTVonline=20181485</v>
      </c>
    </row>
    <row r="1625" spans="1:22">
      <c r="A1625" s="3">
        <v>1624</v>
      </c>
      <c r="J1625" s="1" t="s">
        <v>904</v>
      </c>
      <c r="L1625" s="1" t="s">
        <v>908</v>
      </c>
      <c r="M1625" s="1" t="s">
        <v>1409</v>
      </c>
      <c r="N1625" s="1" t="s">
        <v>1305</v>
      </c>
      <c r="P1625" s="1" t="s">
        <v>3627</v>
      </c>
      <c r="Q1625" s="3">
        <v>1</v>
      </c>
      <c r="R1625" s="22" t="s">
        <v>2764</v>
      </c>
      <c r="S1625" s="22" t="s">
        <v>5100</v>
      </c>
      <c r="T1625" s="51">
        <v>30</v>
      </c>
      <c r="U1625" s="3" t="s">
        <v>5461</v>
      </c>
      <c r="V1625" s="41" t="str">
        <f>HYPERLINK("http://ictvonline.org/taxonomy/p/taxonomy-history?taxnode_id=20181486","ICTVonline=20181486")</f>
        <v>ICTVonline=20181486</v>
      </c>
    </row>
    <row r="1626" spans="1:22">
      <c r="A1626" s="3">
        <v>1625</v>
      </c>
      <c r="J1626" s="1" t="s">
        <v>904</v>
      </c>
      <c r="L1626" s="1" t="s">
        <v>908</v>
      </c>
      <c r="M1626" s="1" t="s">
        <v>1409</v>
      </c>
      <c r="N1626" s="1" t="s">
        <v>1305</v>
      </c>
      <c r="P1626" s="1" t="s">
        <v>3628</v>
      </c>
      <c r="Q1626" s="3">
        <v>0</v>
      </c>
      <c r="R1626" s="22" t="s">
        <v>2764</v>
      </c>
      <c r="S1626" s="22" t="s">
        <v>5100</v>
      </c>
      <c r="T1626" s="51">
        <v>30</v>
      </c>
      <c r="U1626" s="3" t="s">
        <v>5461</v>
      </c>
      <c r="V1626" s="41" t="str">
        <f>HYPERLINK("http://ictvonline.org/taxonomy/p/taxonomy-history?taxnode_id=20181487","ICTVonline=20181487")</f>
        <v>ICTVonline=20181487</v>
      </c>
    </row>
    <row r="1627" spans="1:22">
      <c r="A1627" s="3">
        <v>1626</v>
      </c>
      <c r="J1627" s="1" t="s">
        <v>904</v>
      </c>
      <c r="L1627" s="1" t="s">
        <v>908</v>
      </c>
      <c r="M1627" s="1" t="s">
        <v>1409</v>
      </c>
      <c r="N1627" s="1" t="s">
        <v>1305</v>
      </c>
      <c r="P1627" s="1" t="s">
        <v>3629</v>
      </c>
      <c r="Q1627" s="3">
        <v>0</v>
      </c>
      <c r="R1627" s="22" t="s">
        <v>2764</v>
      </c>
      <c r="S1627" s="22" t="s">
        <v>5100</v>
      </c>
      <c r="T1627" s="51">
        <v>30</v>
      </c>
      <c r="U1627" s="3" t="s">
        <v>5461</v>
      </c>
      <c r="V1627" s="41" t="str">
        <f>HYPERLINK("http://ictvonline.org/taxonomy/p/taxonomy-history?taxnode_id=20181488","ICTVonline=20181488")</f>
        <v>ICTVonline=20181488</v>
      </c>
    </row>
    <row r="1628" spans="1:22">
      <c r="A1628" s="3">
        <v>1627</v>
      </c>
      <c r="J1628" s="1" t="s">
        <v>904</v>
      </c>
      <c r="L1628" s="1" t="s">
        <v>908</v>
      </c>
      <c r="M1628" s="1" t="s">
        <v>1409</v>
      </c>
      <c r="N1628" s="1" t="s">
        <v>1305</v>
      </c>
      <c r="P1628" s="1" t="s">
        <v>3630</v>
      </c>
      <c r="Q1628" s="3">
        <v>0</v>
      </c>
      <c r="R1628" s="22" t="s">
        <v>2764</v>
      </c>
      <c r="S1628" s="22" t="s">
        <v>5100</v>
      </c>
      <c r="T1628" s="51">
        <v>30</v>
      </c>
      <c r="U1628" s="3" t="s">
        <v>5461</v>
      </c>
      <c r="V1628" s="41" t="str">
        <f>HYPERLINK("http://ictvonline.org/taxonomy/p/taxonomy-history?taxnode_id=20181489","ICTVonline=20181489")</f>
        <v>ICTVonline=20181489</v>
      </c>
    </row>
    <row r="1629" spans="1:22">
      <c r="A1629" s="3">
        <v>1628</v>
      </c>
      <c r="J1629" s="1" t="s">
        <v>904</v>
      </c>
      <c r="L1629" s="1" t="s">
        <v>908</v>
      </c>
      <c r="M1629" s="1" t="s">
        <v>1409</v>
      </c>
      <c r="N1629" s="1" t="s">
        <v>1305</v>
      </c>
      <c r="P1629" s="1" t="s">
        <v>3631</v>
      </c>
      <c r="Q1629" s="3">
        <v>0</v>
      </c>
      <c r="R1629" s="22" t="s">
        <v>2764</v>
      </c>
      <c r="S1629" s="22" t="s">
        <v>5100</v>
      </c>
      <c r="T1629" s="51">
        <v>30</v>
      </c>
      <c r="U1629" s="3" t="s">
        <v>5461</v>
      </c>
      <c r="V1629" s="41" t="str">
        <f>HYPERLINK("http://ictvonline.org/taxonomy/p/taxonomy-history?taxnode_id=20181490","ICTVonline=20181490")</f>
        <v>ICTVonline=20181490</v>
      </c>
    </row>
    <row r="1630" spans="1:22">
      <c r="A1630" s="3">
        <v>1629</v>
      </c>
      <c r="J1630" s="1" t="s">
        <v>904</v>
      </c>
      <c r="L1630" s="1" t="s">
        <v>908</v>
      </c>
      <c r="M1630" s="1" t="s">
        <v>1409</v>
      </c>
      <c r="N1630" s="1" t="s">
        <v>1329</v>
      </c>
      <c r="P1630" s="1" t="s">
        <v>3632</v>
      </c>
      <c r="Q1630" s="3">
        <v>1</v>
      </c>
      <c r="R1630" s="22" t="s">
        <v>2764</v>
      </c>
      <c r="S1630" s="22" t="s">
        <v>5100</v>
      </c>
      <c r="T1630" s="51">
        <v>30</v>
      </c>
      <c r="U1630" s="3" t="s">
        <v>5461</v>
      </c>
      <c r="V1630" s="41" t="str">
        <f>HYPERLINK("http://ictvonline.org/taxonomy/p/taxonomy-history?taxnode_id=20181492","ICTVonline=20181492")</f>
        <v>ICTVonline=20181492</v>
      </c>
    </row>
    <row r="1631" spans="1:22">
      <c r="A1631" s="3">
        <v>1630</v>
      </c>
      <c r="J1631" s="1" t="s">
        <v>904</v>
      </c>
      <c r="L1631" s="1" t="s">
        <v>908</v>
      </c>
      <c r="M1631" s="1" t="s">
        <v>1409</v>
      </c>
      <c r="N1631" s="1" t="s">
        <v>1329</v>
      </c>
      <c r="P1631" s="1" t="s">
        <v>3633</v>
      </c>
      <c r="Q1631" s="3">
        <v>0</v>
      </c>
      <c r="R1631" s="22" t="s">
        <v>2764</v>
      </c>
      <c r="S1631" s="22" t="s">
        <v>5100</v>
      </c>
      <c r="T1631" s="51">
        <v>30</v>
      </c>
      <c r="U1631" s="3" t="s">
        <v>5461</v>
      </c>
      <c r="V1631" s="41" t="str">
        <f>HYPERLINK("http://ictvonline.org/taxonomy/p/taxonomy-history?taxnode_id=20181493","ICTVonline=20181493")</f>
        <v>ICTVonline=20181493</v>
      </c>
    </row>
    <row r="1632" spans="1:22">
      <c r="A1632" s="3">
        <v>1631</v>
      </c>
      <c r="J1632" s="1" t="s">
        <v>904</v>
      </c>
      <c r="L1632" s="1" t="s">
        <v>908</v>
      </c>
      <c r="M1632" s="1" t="s">
        <v>1409</v>
      </c>
      <c r="N1632" s="1" t="s">
        <v>1329</v>
      </c>
      <c r="P1632" s="1" t="s">
        <v>3634</v>
      </c>
      <c r="Q1632" s="3">
        <v>0</v>
      </c>
      <c r="R1632" s="22" t="s">
        <v>2764</v>
      </c>
      <c r="S1632" s="22" t="s">
        <v>5100</v>
      </c>
      <c r="T1632" s="51">
        <v>30</v>
      </c>
      <c r="U1632" s="3" t="s">
        <v>5461</v>
      </c>
      <c r="V1632" s="41" t="str">
        <f>HYPERLINK("http://ictvonline.org/taxonomy/p/taxonomy-history?taxnode_id=20181494","ICTVonline=20181494")</f>
        <v>ICTVonline=20181494</v>
      </c>
    </row>
    <row r="1633" spans="1:22">
      <c r="A1633" s="3">
        <v>1632</v>
      </c>
      <c r="J1633" s="1" t="s">
        <v>904</v>
      </c>
      <c r="L1633" s="1" t="s">
        <v>908</v>
      </c>
      <c r="M1633" s="1" t="s">
        <v>1409</v>
      </c>
      <c r="N1633" s="1" t="s">
        <v>1329</v>
      </c>
      <c r="P1633" s="1" t="s">
        <v>3635</v>
      </c>
      <c r="Q1633" s="3">
        <v>0</v>
      </c>
      <c r="R1633" s="22" t="s">
        <v>2764</v>
      </c>
      <c r="S1633" s="22" t="s">
        <v>5100</v>
      </c>
      <c r="T1633" s="51">
        <v>30</v>
      </c>
      <c r="U1633" s="3" t="s">
        <v>5461</v>
      </c>
      <c r="V1633" s="41" t="str">
        <f>HYPERLINK("http://ictvonline.org/taxonomy/p/taxonomy-history?taxnode_id=20181495","ICTVonline=20181495")</f>
        <v>ICTVonline=20181495</v>
      </c>
    </row>
    <row r="1634" spans="1:22">
      <c r="A1634" s="3">
        <v>1633</v>
      </c>
      <c r="J1634" s="1" t="s">
        <v>904</v>
      </c>
      <c r="L1634" s="1" t="s">
        <v>908</v>
      </c>
      <c r="M1634" s="1" t="s">
        <v>1409</v>
      </c>
      <c r="N1634" s="1" t="s">
        <v>1329</v>
      </c>
      <c r="P1634" s="1" t="s">
        <v>3636</v>
      </c>
      <c r="Q1634" s="3">
        <v>0</v>
      </c>
      <c r="R1634" s="22" t="s">
        <v>2764</v>
      </c>
      <c r="S1634" s="22" t="s">
        <v>5100</v>
      </c>
      <c r="T1634" s="51">
        <v>30</v>
      </c>
      <c r="U1634" s="3" t="s">
        <v>5461</v>
      </c>
      <c r="V1634" s="41" t="str">
        <f>HYPERLINK("http://ictvonline.org/taxonomy/p/taxonomy-history?taxnode_id=20181496","ICTVonline=20181496")</f>
        <v>ICTVonline=20181496</v>
      </c>
    </row>
    <row r="1635" spans="1:22">
      <c r="A1635" s="3">
        <v>1634</v>
      </c>
      <c r="J1635" s="1" t="s">
        <v>904</v>
      </c>
      <c r="L1635" s="1" t="s">
        <v>908</v>
      </c>
      <c r="M1635" s="1" t="s">
        <v>1409</v>
      </c>
      <c r="N1635" s="1" t="s">
        <v>1329</v>
      </c>
      <c r="P1635" s="1" t="s">
        <v>3637</v>
      </c>
      <c r="Q1635" s="3">
        <v>0</v>
      </c>
      <c r="R1635" s="22" t="s">
        <v>2764</v>
      </c>
      <c r="S1635" s="22" t="s">
        <v>5100</v>
      </c>
      <c r="T1635" s="51">
        <v>30</v>
      </c>
      <c r="U1635" s="3" t="s">
        <v>5461</v>
      </c>
      <c r="V1635" s="41" t="str">
        <f>HYPERLINK("http://ictvonline.org/taxonomy/p/taxonomy-history?taxnode_id=20181497","ICTVonline=20181497")</f>
        <v>ICTVonline=20181497</v>
      </c>
    </row>
    <row r="1636" spans="1:22">
      <c r="A1636" s="3">
        <v>1635</v>
      </c>
      <c r="J1636" s="1" t="s">
        <v>904</v>
      </c>
      <c r="L1636" s="1" t="s">
        <v>908</v>
      </c>
      <c r="M1636" s="1" t="s">
        <v>1409</v>
      </c>
      <c r="N1636" s="1" t="s">
        <v>1329</v>
      </c>
      <c r="P1636" s="1" t="s">
        <v>3638</v>
      </c>
      <c r="Q1636" s="3">
        <v>0</v>
      </c>
      <c r="R1636" s="22" t="s">
        <v>2764</v>
      </c>
      <c r="S1636" s="22" t="s">
        <v>5100</v>
      </c>
      <c r="T1636" s="51">
        <v>30</v>
      </c>
      <c r="U1636" s="3" t="s">
        <v>5461</v>
      </c>
      <c r="V1636" s="41" t="str">
        <f>HYPERLINK("http://ictvonline.org/taxonomy/p/taxonomy-history?taxnode_id=20181498","ICTVonline=20181498")</f>
        <v>ICTVonline=20181498</v>
      </c>
    </row>
    <row r="1637" spans="1:22">
      <c r="A1637" s="3">
        <v>1636</v>
      </c>
      <c r="J1637" s="1" t="s">
        <v>904</v>
      </c>
      <c r="L1637" s="1" t="s">
        <v>908</v>
      </c>
      <c r="M1637" s="1" t="s">
        <v>1409</v>
      </c>
      <c r="N1637" s="1" t="s">
        <v>1329</v>
      </c>
      <c r="P1637" s="1" t="s">
        <v>3639</v>
      </c>
      <c r="Q1637" s="3">
        <v>0</v>
      </c>
      <c r="R1637" s="22" t="s">
        <v>2764</v>
      </c>
      <c r="S1637" s="22" t="s">
        <v>5100</v>
      </c>
      <c r="T1637" s="51">
        <v>30</v>
      </c>
      <c r="U1637" s="3" t="s">
        <v>5461</v>
      </c>
      <c r="V1637" s="41" t="str">
        <f>HYPERLINK("http://ictvonline.org/taxonomy/p/taxonomy-history?taxnode_id=20181499","ICTVonline=20181499")</f>
        <v>ICTVonline=20181499</v>
      </c>
    </row>
    <row r="1638" spans="1:22">
      <c r="A1638" s="3">
        <v>1637</v>
      </c>
      <c r="J1638" s="1" t="s">
        <v>904</v>
      </c>
      <c r="L1638" s="1" t="s">
        <v>908</v>
      </c>
      <c r="M1638" s="1" t="s">
        <v>1409</v>
      </c>
      <c r="N1638" s="1" t="s">
        <v>1329</v>
      </c>
      <c r="P1638" s="1" t="s">
        <v>3640</v>
      </c>
      <c r="Q1638" s="3">
        <v>0</v>
      </c>
      <c r="R1638" s="22" t="s">
        <v>2764</v>
      </c>
      <c r="S1638" s="22" t="s">
        <v>5100</v>
      </c>
      <c r="T1638" s="51">
        <v>30</v>
      </c>
      <c r="U1638" s="3" t="s">
        <v>5461</v>
      </c>
      <c r="V1638" s="41" t="str">
        <f>HYPERLINK("http://ictvonline.org/taxonomy/p/taxonomy-history?taxnode_id=20181500","ICTVonline=20181500")</f>
        <v>ICTVonline=20181500</v>
      </c>
    </row>
    <row r="1639" spans="1:22">
      <c r="A1639" s="3">
        <v>1638</v>
      </c>
      <c r="J1639" s="1" t="s">
        <v>904</v>
      </c>
      <c r="L1639" s="1" t="s">
        <v>908</v>
      </c>
      <c r="M1639" s="1" t="s">
        <v>1409</v>
      </c>
      <c r="N1639" s="1" t="s">
        <v>1298</v>
      </c>
      <c r="P1639" s="1" t="s">
        <v>3641</v>
      </c>
      <c r="Q1639" s="3">
        <v>1</v>
      </c>
      <c r="R1639" s="22" t="s">
        <v>2764</v>
      </c>
      <c r="S1639" s="22" t="s">
        <v>5100</v>
      </c>
      <c r="T1639" s="51">
        <v>30</v>
      </c>
      <c r="U1639" s="3" t="s">
        <v>5461</v>
      </c>
      <c r="V1639" s="41" t="str">
        <f>HYPERLINK("http://ictvonline.org/taxonomy/p/taxonomy-history?taxnode_id=20181502","ICTVonline=20181502")</f>
        <v>ICTVonline=20181502</v>
      </c>
    </row>
    <row r="1640" spans="1:22">
      <c r="A1640" s="3">
        <v>1639</v>
      </c>
      <c r="J1640" s="1" t="s">
        <v>904</v>
      </c>
      <c r="L1640" s="1" t="s">
        <v>908</v>
      </c>
      <c r="M1640" s="1" t="s">
        <v>1409</v>
      </c>
      <c r="N1640" s="1" t="s">
        <v>1298</v>
      </c>
      <c r="P1640" s="1" t="s">
        <v>3642</v>
      </c>
      <c r="Q1640" s="3">
        <v>0</v>
      </c>
      <c r="R1640" s="22" t="s">
        <v>2764</v>
      </c>
      <c r="S1640" s="22" t="s">
        <v>5100</v>
      </c>
      <c r="T1640" s="51">
        <v>30</v>
      </c>
      <c r="U1640" s="3" t="s">
        <v>5461</v>
      </c>
      <c r="V1640" s="41" t="str">
        <f>HYPERLINK("http://ictvonline.org/taxonomy/p/taxonomy-history?taxnode_id=20181503","ICTVonline=20181503")</f>
        <v>ICTVonline=20181503</v>
      </c>
    </row>
    <row r="1641" spans="1:22">
      <c r="A1641" s="3">
        <v>1640</v>
      </c>
      <c r="J1641" s="1" t="s">
        <v>904</v>
      </c>
      <c r="L1641" s="1" t="s">
        <v>908</v>
      </c>
      <c r="M1641" s="1" t="s">
        <v>1409</v>
      </c>
      <c r="N1641" s="1" t="s">
        <v>1298</v>
      </c>
      <c r="P1641" s="1" t="s">
        <v>3643</v>
      </c>
      <c r="Q1641" s="3">
        <v>0</v>
      </c>
      <c r="R1641" s="22" t="s">
        <v>2764</v>
      </c>
      <c r="S1641" s="22" t="s">
        <v>5100</v>
      </c>
      <c r="T1641" s="51">
        <v>30</v>
      </c>
      <c r="U1641" s="3" t="s">
        <v>5461</v>
      </c>
      <c r="V1641" s="41" t="str">
        <f>HYPERLINK("http://ictvonline.org/taxonomy/p/taxonomy-history?taxnode_id=20181504","ICTVonline=20181504")</f>
        <v>ICTVonline=20181504</v>
      </c>
    </row>
    <row r="1642" spans="1:22">
      <c r="A1642" s="3">
        <v>1641</v>
      </c>
      <c r="J1642" s="1" t="s">
        <v>904</v>
      </c>
      <c r="L1642" s="1" t="s">
        <v>908</v>
      </c>
      <c r="M1642" s="1" t="s">
        <v>1409</v>
      </c>
      <c r="N1642" s="1" t="s">
        <v>1299</v>
      </c>
      <c r="P1642" s="1" t="s">
        <v>3644</v>
      </c>
      <c r="Q1642" s="3">
        <v>0</v>
      </c>
      <c r="R1642" s="22" t="s">
        <v>2764</v>
      </c>
      <c r="S1642" s="22" t="s">
        <v>5100</v>
      </c>
      <c r="T1642" s="51">
        <v>30</v>
      </c>
      <c r="U1642" s="3" t="s">
        <v>5461</v>
      </c>
      <c r="V1642" s="41" t="str">
        <f>HYPERLINK("http://ictvonline.org/taxonomy/p/taxonomy-history?taxnode_id=20181506","ICTVonline=20181506")</f>
        <v>ICTVonline=20181506</v>
      </c>
    </row>
    <row r="1643" spans="1:22">
      <c r="A1643" s="3">
        <v>1642</v>
      </c>
      <c r="J1643" s="1" t="s">
        <v>904</v>
      </c>
      <c r="L1643" s="1" t="s">
        <v>908</v>
      </c>
      <c r="M1643" s="1" t="s">
        <v>1409</v>
      </c>
      <c r="N1643" s="1" t="s">
        <v>1299</v>
      </c>
      <c r="P1643" s="1" t="s">
        <v>3645</v>
      </c>
      <c r="Q1643" s="3">
        <v>0</v>
      </c>
      <c r="R1643" s="22" t="s">
        <v>2764</v>
      </c>
      <c r="S1643" s="22" t="s">
        <v>5100</v>
      </c>
      <c r="T1643" s="51">
        <v>30</v>
      </c>
      <c r="U1643" s="3" t="s">
        <v>5461</v>
      </c>
      <c r="V1643" s="41" t="str">
        <f>HYPERLINK("http://ictvonline.org/taxonomy/p/taxonomy-history?taxnode_id=20181507","ICTVonline=20181507")</f>
        <v>ICTVonline=20181507</v>
      </c>
    </row>
    <row r="1644" spans="1:22">
      <c r="A1644" s="3">
        <v>1643</v>
      </c>
      <c r="J1644" s="1" t="s">
        <v>904</v>
      </c>
      <c r="L1644" s="1" t="s">
        <v>908</v>
      </c>
      <c r="M1644" s="1" t="s">
        <v>1409</v>
      </c>
      <c r="N1644" s="1" t="s">
        <v>1299</v>
      </c>
      <c r="P1644" s="1" t="s">
        <v>3646</v>
      </c>
      <c r="Q1644" s="3">
        <v>0</v>
      </c>
      <c r="R1644" s="22" t="s">
        <v>2764</v>
      </c>
      <c r="S1644" s="22" t="s">
        <v>5100</v>
      </c>
      <c r="T1644" s="51">
        <v>30</v>
      </c>
      <c r="U1644" s="3" t="s">
        <v>5461</v>
      </c>
      <c r="V1644" s="41" t="str">
        <f>HYPERLINK("http://ictvonline.org/taxonomy/p/taxonomy-history?taxnode_id=20181508","ICTVonline=20181508")</f>
        <v>ICTVonline=20181508</v>
      </c>
    </row>
    <row r="1645" spans="1:22">
      <c r="A1645" s="3">
        <v>1644</v>
      </c>
      <c r="J1645" s="1" t="s">
        <v>904</v>
      </c>
      <c r="L1645" s="1" t="s">
        <v>908</v>
      </c>
      <c r="M1645" s="1" t="s">
        <v>1409</v>
      </c>
      <c r="N1645" s="1" t="s">
        <v>1299</v>
      </c>
      <c r="P1645" s="1" t="s">
        <v>3647</v>
      </c>
      <c r="Q1645" s="3">
        <v>0</v>
      </c>
      <c r="R1645" s="22" t="s">
        <v>2764</v>
      </c>
      <c r="S1645" s="22" t="s">
        <v>5100</v>
      </c>
      <c r="T1645" s="51">
        <v>30</v>
      </c>
      <c r="U1645" s="3" t="s">
        <v>5461</v>
      </c>
      <c r="V1645" s="41" t="str">
        <f>HYPERLINK("http://ictvonline.org/taxonomy/p/taxonomy-history?taxnode_id=20181509","ICTVonline=20181509")</f>
        <v>ICTVonline=20181509</v>
      </c>
    </row>
    <row r="1646" spans="1:22">
      <c r="A1646" s="3">
        <v>1645</v>
      </c>
      <c r="J1646" s="1" t="s">
        <v>904</v>
      </c>
      <c r="L1646" s="1" t="s">
        <v>908</v>
      </c>
      <c r="M1646" s="1" t="s">
        <v>1409</v>
      </c>
      <c r="N1646" s="1" t="s">
        <v>1299</v>
      </c>
      <c r="P1646" s="1" t="s">
        <v>3648</v>
      </c>
      <c r="Q1646" s="3">
        <v>0</v>
      </c>
      <c r="R1646" s="22" t="s">
        <v>2764</v>
      </c>
      <c r="S1646" s="22" t="s">
        <v>5100</v>
      </c>
      <c r="T1646" s="51">
        <v>30</v>
      </c>
      <c r="U1646" s="3" t="s">
        <v>5461</v>
      </c>
      <c r="V1646" s="41" t="str">
        <f>HYPERLINK("http://ictvonline.org/taxonomy/p/taxonomy-history?taxnode_id=20181510","ICTVonline=20181510")</f>
        <v>ICTVonline=20181510</v>
      </c>
    </row>
    <row r="1647" spans="1:22">
      <c r="A1647" s="3">
        <v>1646</v>
      </c>
      <c r="J1647" s="1" t="s">
        <v>904</v>
      </c>
      <c r="L1647" s="1" t="s">
        <v>908</v>
      </c>
      <c r="M1647" s="1" t="s">
        <v>1409</v>
      </c>
      <c r="N1647" s="1" t="s">
        <v>1299</v>
      </c>
      <c r="P1647" s="1" t="s">
        <v>3649</v>
      </c>
      <c r="Q1647" s="3">
        <v>0</v>
      </c>
      <c r="R1647" s="22" t="s">
        <v>2764</v>
      </c>
      <c r="S1647" s="22" t="s">
        <v>5100</v>
      </c>
      <c r="T1647" s="51">
        <v>30</v>
      </c>
      <c r="U1647" s="3" t="s">
        <v>5461</v>
      </c>
      <c r="V1647" s="41" t="str">
        <f>HYPERLINK("http://ictvonline.org/taxonomy/p/taxonomy-history?taxnode_id=20181511","ICTVonline=20181511")</f>
        <v>ICTVonline=20181511</v>
      </c>
    </row>
    <row r="1648" spans="1:22">
      <c r="A1648" s="3">
        <v>1647</v>
      </c>
      <c r="J1648" s="1" t="s">
        <v>904</v>
      </c>
      <c r="L1648" s="1" t="s">
        <v>908</v>
      </c>
      <c r="M1648" s="1" t="s">
        <v>1409</v>
      </c>
      <c r="N1648" s="1" t="s">
        <v>1299</v>
      </c>
      <c r="P1648" s="1" t="s">
        <v>3650</v>
      </c>
      <c r="Q1648" s="3">
        <v>0</v>
      </c>
      <c r="R1648" s="22" t="s">
        <v>2764</v>
      </c>
      <c r="S1648" s="22" t="s">
        <v>5100</v>
      </c>
      <c r="T1648" s="51">
        <v>30</v>
      </c>
      <c r="U1648" s="3" t="s">
        <v>5461</v>
      </c>
      <c r="V1648" s="41" t="str">
        <f>HYPERLINK("http://ictvonline.org/taxonomy/p/taxonomy-history?taxnode_id=20181512","ICTVonline=20181512")</f>
        <v>ICTVonline=20181512</v>
      </c>
    </row>
    <row r="1649" spans="1:22">
      <c r="A1649" s="3">
        <v>1648</v>
      </c>
      <c r="J1649" s="1" t="s">
        <v>904</v>
      </c>
      <c r="L1649" s="1" t="s">
        <v>908</v>
      </c>
      <c r="M1649" s="1" t="s">
        <v>1409</v>
      </c>
      <c r="N1649" s="1" t="s">
        <v>1299</v>
      </c>
      <c r="P1649" s="1" t="s">
        <v>3651</v>
      </c>
      <c r="Q1649" s="3">
        <v>0</v>
      </c>
      <c r="R1649" s="22" t="s">
        <v>2764</v>
      </c>
      <c r="S1649" s="22" t="s">
        <v>5100</v>
      </c>
      <c r="T1649" s="51">
        <v>30</v>
      </c>
      <c r="U1649" s="3" t="s">
        <v>5461</v>
      </c>
      <c r="V1649" s="41" t="str">
        <f>HYPERLINK("http://ictvonline.org/taxonomy/p/taxonomy-history?taxnode_id=20181513","ICTVonline=20181513")</f>
        <v>ICTVonline=20181513</v>
      </c>
    </row>
    <row r="1650" spans="1:22">
      <c r="A1650" s="3">
        <v>1649</v>
      </c>
      <c r="J1650" s="1" t="s">
        <v>904</v>
      </c>
      <c r="L1650" s="1" t="s">
        <v>908</v>
      </c>
      <c r="M1650" s="1" t="s">
        <v>1409</v>
      </c>
      <c r="N1650" s="1" t="s">
        <v>1299</v>
      </c>
      <c r="P1650" s="1" t="s">
        <v>3652</v>
      </c>
      <c r="Q1650" s="3">
        <v>1</v>
      </c>
      <c r="R1650" s="22" t="s">
        <v>2764</v>
      </c>
      <c r="S1650" s="22" t="s">
        <v>5100</v>
      </c>
      <c r="T1650" s="51">
        <v>30</v>
      </c>
      <c r="U1650" s="3" t="s">
        <v>5461</v>
      </c>
      <c r="V1650" s="41" t="str">
        <f>HYPERLINK("http://ictvonline.org/taxonomy/p/taxonomy-history?taxnode_id=20181514","ICTVonline=20181514")</f>
        <v>ICTVonline=20181514</v>
      </c>
    </row>
    <row r="1651" spans="1:22">
      <c r="A1651" s="3">
        <v>1650</v>
      </c>
      <c r="J1651" s="1" t="s">
        <v>904</v>
      </c>
      <c r="L1651" s="1" t="s">
        <v>908</v>
      </c>
      <c r="M1651" s="1" t="s">
        <v>1409</v>
      </c>
      <c r="P1651" s="1" t="s">
        <v>3653</v>
      </c>
      <c r="Q1651" s="3">
        <v>0</v>
      </c>
      <c r="R1651" s="22" t="s">
        <v>2764</v>
      </c>
      <c r="S1651" s="22" t="s">
        <v>5100</v>
      </c>
      <c r="T1651" s="51">
        <v>30</v>
      </c>
      <c r="U1651" s="3" t="s">
        <v>5461</v>
      </c>
      <c r="V1651" s="41" t="str">
        <f>HYPERLINK("http://ictvonline.org/taxonomy/p/taxonomy-history?taxnode_id=20181516","ICTVonline=20181516")</f>
        <v>ICTVonline=20181516</v>
      </c>
    </row>
    <row r="1652" spans="1:22">
      <c r="A1652" s="3">
        <v>1651</v>
      </c>
      <c r="J1652" s="1" t="s">
        <v>904</v>
      </c>
      <c r="L1652" s="1" t="s">
        <v>908</v>
      </c>
      <c r="M1652" s="1" t="s">
        <v>1409</v>
      </c>
      <c r="P1652" s="1" t="s">
        <v>3654</v>
      </c>
      <c r="Q1652" s="3">
        <v>0</v>
      </c>
      <c r="R1652" s="22" t="s">
        <v>2764</v>
      </c>
      <c r="S1652" s="22" t="s">
        <v>5100</v>
      </c>
      <c r="T1652" s="51">
        <v>30</v>
      </c>
      <c r="U1652" s="3" t="s">
        <v>5461</v>
      </c>
      <c r="V1652" s="41" t="str">
        <f>HYPERLINK("http://ictvonline.org/taxonomy/p/taxonomy-history?taxnode_id=20181517","ICTVonline=20181517")</f>
        <v>ICTVonline=20181517</v>
      </c>
    </row>
    <row r="1653" spans="1:22">
      <c r="A1653" s="3">
        <v>1652</v>
      </c>
      <c r="J1653" s="1" t="s">
        <v>904</v>
      </c>
      <c r="L1653" s="1" t="s">
        <v>908</v>
      </c>
      <c r="M1653" s="1" t="s">
        <v>1409</v>
      </c>
      <c r="P1653" s="1" t="s">
        <v>3655</v>
      </c>
      <c r="Q1653" s="3">
        <v>0</v>
      </c>
      <c r="R1653" s="22" t="s">
        <v>2764</v>
      </c>
      <c r="S1653" s="22" t="s">
        <v>5100</v>
      </c>
      <c r="T1653" s="51">
        <v>30</v>
      </c>
      <c r="U1653" s="3" t="s">
        <v>5461</v>
      </c>
      <c r="V1653" s="41" t="str">
        <f>HYPERLINK("http://ictvonline.org/taxonomy/p/taxonomy-history?taxnode_id=20181518","ICTVonline=20181518")</f>
        <v>ICTVonline=20181518</v>
      </c>
    </row>
    <row r="1654" spans="1:22">
      <c r="A1654" s="3">
        <v>1653</v>
      </c>
      <c r="J1654" s="1" t="s">
        <v>904</v>
      </c>
      <c r="L1654" s="1" t="s">
        <v>908</v>
      </c>
      <c r="P1654" s="1" t="s">
        <v>1004</v>
      </c>
      <c r="Q1654" s="3">
        <v>0</v>
      </c>
      <c r="R1654" s="22" t="s">
        <v>2764</v>
      </c>
      <c r="S1654" s="22" t="s">
        <v>5097</v>
      </c>
      <c r="T1654" s="51">
        <v>24</v>
      </c>
      <c r="U1654" s="3" t="s">
        <v>5459</v>
      </c>
      <c r="V1654" s="41" t="str">
        <f>HYPERLINK("http://ictvonline.org/taxonomy/p/taxonomy-history?taxnode_id=20181521","ICTVonline=20181521")</f>
        <v>ICTVonline=20181521</v>
      </c>
    </row>
    <row r="1655" spans="1:22">
      <c r="A1655" s="3">
        <v>1654</v>
      </c>
      <c r="J1655" s="1" t="s">
        <v>904</v>
      </c>
      <c r="L1655" s="1" t="s">
        <v>1083</v>
      </c>
      <c r="N1655" s="1" t="s">
        <v>2167</v>
      </c>
      <c r="P1655" s="1" t="s">
        <v>2168</v>
      </c>
      <c r="Q1655" s="3">
        <v>1</v>
      </c>
      <c r="R1655" s="22" t="s">
        <v>2764</v>
      </c>
      <c r="S1655" s="22" t="s">
        <v>5102</v>
      </c>
      <c r="T1655" s="51">
        <v>27</v>
      </c>
      <c r="U1655" s="3" t="s">
        <v>5463</v>
      </c>
      <c r="V1655" s="41" t="str">
        <f>HYPERLINK("http://ictvonline.org/taxonomy/p/taxonomy-history?taxnode_id=20181525","ICTVonline=20181525")</f>
        <v>ICTVonline=20181525</v>
      </c>
    </row>
    <row r="1656" spans="1:22">
      <c r="A1656" s="3">
        <v>1655</v>
      </c>
      <c r="J1656" s="1" t="s">
        <v>904</v>
      </c>
      <c r="L1656" s="1" t="s">
        <v>1083</v>
      </c>
      <c r="N1656" s="1" t="s">
        <v>1005</v>
      </c>
      <c r="P1656" s="1" t="s">
        <v>1006</v>
      </c>
      <c r="Q1656" s="3">
        <v>1</v>
      </c>
      <c r="R1656" s="22" t="s">
        <v>2764</v>
      </c>
      <c r="S1656" s="22" t="s">
        <v>5102</v>
      </c>
      <c r="T1656" s="51">
        <v>24</v>
      </c>
      <c r="U1656" s="3" t="s">
        <v>5459</v>
      </c>
      <c r="V1656" s="41" t="str">
        <f>HYPERLINK("http://ictvonline.org/taxonomy/p/taxonomy-history?taxnode_id=20181527","ICTVonline=20181527")</f>
        <v>ICTVonline=20181527</v>
      </c>
    </row>
    <row r="1657" spans="1:22">
      <c r="A1657" s="3">
        <v>1656</v>
      </c>
      <c r="J1657" s="1" t="s">
        <v>2169</v>
      </c>
      <c r="L1657" s="1" t="s">
        <v>1635</v>
      </c>
      <c r="N1657" s="1" t="s">
        <v>1637</v>
      </c>
      <c r="P1657" s="1" t="s">
        <v>661</v>
      </c>
      <c r="Q1657" s="3">
        <v>0</v>
      </c>
      <c r="R1657" s="22" t="s">
        <v>2764</v>
      </c>
      <c r="S1657" s="22" t="s">
        <v>5099</v>
      </c>
      <c r="T1657" s="51">
        <v>27</v>
      </c>
      <c r="U1657" s="3" t="s">
        <v>5464</v>
      </c>
      <c r="V1657" s="41" t="str">
        <f>HYPERLINK("http://ictvonline.org/taxonomy/p/taxonomy-history?taxnode_id=20181532","ICTVonline=20181532")</f>
        <v>ICTVonline=20181532</v>
      </c>
    </row>
    <row r="1658" spans="1:22">
      <c r="A1658" s="3">
        <v>1657</v>
      </c>
      <c r="J1658" s="1" t="s">
        <v>2169</v>
      </c>
      <c r="L1658" s="1" t="s">
        <v>1635</v>
      </c>
      <c r="N1658" s="1" t="s">
        <v>1637</v>
      </c>
      <c r="P1658" s="1" t="s">
        <v>660</v>
      </c>
      <c r="Q1658" s="3">
        <v>0</v>
      </c>
      <c r="R1658" s="22" t="s">
        <v>2764</v>
      </c>
      <c r="S1658" s="22" t="s">
        <v>5099</v>
      </c>
      <c r="T1658" s="51">
        <v>27</v>
      </c>
      <c r="U1658" s="3" t="s">
        <v>5464</v>
      </c>
      <c r="V1658" s="41" t="str">
        <f>HYPERLINK("http://ictvonline.org/taxonomy/p/taxonomy-history?taxnode_id=20181533","ICTVonline=20181533")</f>
        <v>ICTVonline=20181533</v>
      </c>
    </row>
    <row r="1659" spans="1:22">
      <c r="A1659" s="3">
        <v>1658</v>
      </c>
      <c r="J1659" s="1" t="s">
        <v>2169</v>
      </c>
      <c r="L1659" s="1" t="s">
        <v>1635</v>
      </c>
      <c r="N1659" s="1" t="s">
        <v>1637</v>
      </c>
      <c r="P1659" s="1" t="s">
        <v>659</v>
      </c>
      <c r="Q1659" s="3">
        <v>0</v>
      </c>
      <c r="R1659" s="22" t="s">
        <v>2764</v>
      </c>
      <c r="S1659" s="22" t="s">
        <v>5099</v>
      </c>
      <c r="T1659" s="51">
        <v>27</v>
      </c>
      <c r="U1659" s="3" t="s">
        <v>5464</v>
      </c>
      <c r="V1659" s="41" t="str">
        <f>HYPERLINK("http://ictvonline.org/taxonomy/p/taxonomy-history?taxnode_id=20181534","ICTVonline=20181534")</f>
        <v>ICTVonline=20181534</v>
      </c>
    </row>
    <row r="1660" spans="1:22">
      <c r="A1660" s="3">
        <v>1659</v>
      </c>
      <c r="J1660" s="1" t="s">
        <v>2169</v>
      </c>
      <c r="L1660" s="1" t="s">
        <v>1635</v>
      </c>
      <c r="N1660" s="1" t="s">
        <v>1637</v>
      </c>
      <c r="P1660" s="1" t="s">
        <v>1801</v>
      </c>
      <c r="Q1660" s="3">
        <v>0</v>
      </c>
      <c r="R1660" s="22" t="s">
        <v>2764</v>
      </c>
      <c r="S1660" s="22" t="s">
        <v>5099</v>
      </c>
      <c r="T1660" s="51">
        <v>27</v>
      </c>
      <c r="U1660" s="3" t="s">
        <v>5464</v>
      </c>
      <c r="V1660" s="41" t="str">
        <f>HYPERLINK("http://ictvonline.org/taxonomy/p/taxonomy-history?taxnode_id=20181535","ICTVonline=20181535")</f>
        <v>ICTVonline=20181535</v>
      </c>
    </row>
    <row r="1661" spans="1:22">
      <c r="A1661" s="3">
        <v>1660</v>
      </c>
      <c r="J1661" s="1" t="s">
        <v>2169</v>
      </c>
      <c r="L1661" s="1" t="s">
        <v>1635</v>
      </c>
      <c r="N1661" s="1" t="s">
        <v>1637</v>
      </c>
      <c r="P1661" s="1" t="s">
        <v>1800</v>
      </c>
      <c r="Q1661" s="3">
        <v>0</v>
      </c>
      <c r="R1661" s="22" t="s">
        <v>2764</v>
      </c>
      <c r="S1661" s="22" t="s">
        <v>5099</v>
      </c>
      <c r="T1661" s="51">
        <v>27</v>
      </c>
      <c r="U1661" s="3" t="s">
        <v>5464</v>
      </c>
      <c r="V1661" s="41" t="str">
        <f>HYPERLINK("http://ictvonline.org/taxonomy/p/taxonomy-history?taxnode_id=20181536","ICTVonline=20181536")</f>
        <v>ICTVonline=20181536</v>
      </c>
    </row>
    <row r="1662" spans="1:22">
      <c r="A1662" s="3">
        <v>1661</v>
      </c>
      <c r="J1662" s="1" t="s">
        <v>2169</v>
      </c>
      <c r="L1662" s="1" t="s">
        <v>1635</v>
      </c>
      <c r="N1662" s="1" t="s">
        <v>1637</v>
      </c>
      <c r="P1662" s="1" t="s">
        <v>1638</v>
      </c>
      <c r="Q1662" s="3">
        <v>1</v>
      </c>
      <c r="R1662" s="22" t="s">
        <v>2764</v>
      </c>
      <c r="S1662" s="22" t="s">
        <v>5099</v>
      </c>
      <c r="T1662" s="51">
        <v>27</v>
      </c>
      <c r="U1662" s="3" t="s">
        <v>5464</v>
      </c>
      <c r="V1662" s="41" t="str">
        <f>HYPERLINK("http://ictvonline.org/taxonomy/p/taxonomy-history?taxnode_id=20181537","ICTVonline=20181537")</f>
        <v>ICTVonline=20181537</v>
      </c>
    </row>
    <row r="1663" spans="1:22">
      <c r="A1663" s="3">
        <v>1662</v>
      </c>
      <c r="J1663" s="1" t="s">
        <v>2169</v>
      </c>
      <c r="L1663" s="1" t="s">
        <v>1635</v>
      </c>
      <c r="N1663" s="1" t="s">
        <v>1126</v>
      </c>
      <c r="P1663" s="1" t="s">
        <v>1978</v>
      </c>
      <c r="Q1663" s="3">
        <v>1</v>
      </c>
      <c r="R1663" s="22" t="s">
        <v>2764</v>
      </c>
      <c r="S1663" s="22" t="s">
        <v>5099</v>
      </c>
      <c r="T1663" s="51">
        <v>27</v>
      </c>
      <c r="U1663" s="3" t="s">
        <v>5464</v>
      </c>
      <c r="V1663" s="41" t="str">
        <f>HYPERLINK("http://ictvonline.org/taxonomy/p/taxonomy-history?taxnode_id=20181539","ICTVonline=20181539")</f>
        <v>ICTVonline=20181539</v>
      </c>
    </row>
    <row r="1664" spans="1:22">
      <c r="A1664" s="3">
        <v>1663</v>
      </c>
      <c r="J1664" s="1" t="s">
        <v>2169</v>
      </c>
      <c r="L1664" s="1" t="s">
        <v>1635</v>
      </c>
      <c r="N1664" s="1" t="s">
        <v>1979</v>
      </c>
      <c r="P1664" s="1" t="s">
        <v>1980</v>
      </c>
      <c r="Q1664" s="3">
        <v>1</v>
      </c>
      <c r="R1664" s="22" t="s">
        <v>2764</v>
      </c>
      <c r="S1664" s="22" t="s">
        <v>5099</v>
      </c>
      <c r="T1664" s="51">
        <v>27</v>
      </c>
      <c r="U1664" s="3" t="s">
        <v>5464</v>
      </c>
      <c r="V1664" s="41" t="str">
        <f>HYPERLINK("http://ictvonline.org/taxonomy/p/taxonomy-history?taxnode_id=20181541","ICTVonline=20181541")</f>
        <v>ICTVonline=20181541</v>
      </c>
    </row>
    <row r="1665" spans="1:22">
      <c r="A1665" s="3">
        <v>1664</v>
      </c>
      <c r="J1665" s="1" t="s">
        <v>2169</v>
      </c>
      <c r="L1665" s="1" t="s">
        <v>1302</v>
      </c>
      <c r="N1665" s="1" t="s">
        <v>1303</v>
      </c>
      <c r="P1665" s="1" t="s">
        <v>1903</v>
      </c>
      <c r="Q1665" s="3">
        <v>0</v>
      </c>
      <c r="R1665" s="22" t="s">
        <v>2764</v>
      </c>
      <c r="S1665" s="22" t="s">
        <v>5099</v>
      </c>
      <c r="T1665" s="51">
        <v>27</v>
      </c>
      <c r="U1665" s="3" t="s">
        <v>5464</v>
      </c>
      <c r="V1665" s="41" t="str">
        <f>HYPERLINK("http://ictvonline.org/taxonomy/p/taxonomy-history?taxnode_id=20181545","ICTVonline=20181545")</f>
        <v>ICTVonline=20181545</v>
      </c>
    </row>
    <row r="1666" spans="1:22">
      <c r="A1666" s="3">
        <v>1665</v>
      </c>
      <c r="J1666" s="1" t="s">
        <v>2169</v>
      </c>
      <c r="L1666" s="1" t="s">
        <v>1302</v>
      </c>
      <c r="N1666" s="1" t="s">
        <v>1303</v>
      </c>
      <c r="P1666" s="1" t="s">
        <v>1904</v>
      </c>
      <c r="Q1666" s="3">
        <v>0</v>
      </c>
      <c r="R1666" s="22" t="s">
        <v>2764</v>
      </c>
      <c r="S1666" s="22" t="s">
        <v>5099</v>
      </c>
      <c r="T1666" s="51">
        <v>27</v>
      </c>
      <c r="U1666" s="3" t="s">
        <v>5464</v>
      </c>
      <c r="V1666" s="41" t="str">
        <f>HYPERLINK("http://ictvonline.org/taxonomy/p/taxonomy-history?taxnode_id=20181546","ICTVonline=20181546")</f>
        <v>ICTVonline=20181546</v>
      </c>
    </row>
    <row r="1667" spans="1:22">
      <c r="A1667" s="3">
        <v>1666</v>
      </c>
      <c r="J1667" s="1" t="s">
        <v>2169</v>
      </c>
      <c r="L1667" s="1" t="s">
        <v>1302</v>
      </c>
      <c r="N1667" s="1" t="s">
        <v>1303</v>
      </c>
      <c r="P1667" s="1" t="s">
        <v>1595</v>
      </c>
      <c r="Q1667" s="3">
        <v>1</v>
      </c>
      <c r="R1667" s="22" t="s">
        <v>2764</v>
      </c>
      <c r="S1667" s="22" t="s">
        <v>5099</v>
      </c>
      <c r="T1667" s="51">
        <v>27</v>
      </c>
      <c r="U1667" s="3" t="s">
        <v>5464</v>
      </c>
      <c r="V1667" s="41" t="str">
        <f>HYPERLINK("http://ictvonline.org/taxonomy/p/taxonomy-history?taxnode_id=20181547","ICTVonline=20181547")</f>
        <v>ICTVonline=20181547</v>
      </c>
    </row>
    <row r="1668" spans="1:22">
      <c r="A1668" s="3">
        <v>1667</v>
      </c>
      <c r="J1668" s="1" t="s">
        <v>1448</v>
      </c>
      <c r="K1668" s="1" t="s">
        <v>6534</v>
      </c>
      <c r="L1668" s="1" t="s">
        <v>6535</v>
      </c>
      <c r="M1668" s="1" t="s">
        <v>6536</v>
      </c>
      <c r="N1668" s="1" t="s">
        <v>6537</v>
      </c>
      <c r="O1668" s="1" t="s">
        <v>6538</v>
      </c>
      <c r="P1668" s="1" t="s">
        <v>6539</v>
      </c>
      <c r="Q1668" s="3">
        <v>1</v>
      </c>
      <c r="R1668" s="22" t="s">
        <v>2766</v>
      </c>
      <c r="S1668" s="22" t="s">
        <v>5097</v>
      </c>
      <c r="T1668" s="51">
        <v>33</v>
      </c>
      <c r="U1668" s="3" t="s">
        <v>6540</v>
      </c>
      <c r="V1668" s="41" t="str">
        <f>HYPERLINK("http://ictvonline.org/taxonomy/p/taxonomy-history?taxnode_id=20186200","ICTVonline=20186200")</f>
        <v>ICTVonline=20186200</v>
      </c>
    </row>
    <row r="1669" spans="1:22">
      <c r="A1669" s="3">
        <v>1668</v>
      </c>
      <c r="J1669" s="1" t="s">
        <v>1448</v>
      </c>
      <c r="K1669" s="1" t="s">
        <v>6542</v>
      </c>
      <c r="L1669" s="1" t="s">
        <v>1449</v>
      </c>
      <c r="M1669" s="1" t="s">
        <v>6543</v>
      </c>
      <c r="N1669" s="1" t="s">
        <v>6544</v>
      </c>
      <c r="P1669" s="1" t="s">
        <v>6545</v>
      </c>
      <c r="Q1669" s="3">
        <v>1</v>
      </c>
      <c r="R1669" s="22" t="s">
        <v>2766</v>
      </c>
      <c r="S1669" s="22" t="s">
        <v>5097</v>
      </c>
      <c r="T1669" s="51">
        <v>33</v>
      </c>
      <c r="U1669" s="3" t="s">
        <v>6541</v>
      </c>
      <c r="V1669" s="41" t="str">
        <f>HYPERLINK("http://ictvonline.org/taxonomy/p/taxonomy-history?taxnode_id=20186015","ICTVonline=20186015")</f>
        <v>ICTVonline=20186015</v>
      </c>
    </row>
    <row r="1670" spans="1:22">
      <c r="A1670" s="3">
        <v>1669</v>
      </c>
      <c r="J1670" s="1" t="s">
        <v>1448</v>
      </c>
      <c r="K1670" s="1" t="s">
        <v>6542</v>
      </c>
      <c r="L1670" s="1" t="s">
        <v>1449</v>
      </c>
      <c r="M1670" s="1" t="s">
        <v>6546</v>
      </c>
      <c r="N1670" s="1" t="s">
        <v>6547</v>
      </c>
      <c r="P1670" s="1" t="s">
        <v>6548</v>
      </c>
      <c r="Q1670" s="3">
        <v>1</v>
      </c>
      <c r="R1670" s="22" t="s">
        <v>2766</v>
      </c>
      <c r="S1670" s="22" t="s">
        <v>5098</v>
      </c>
      <c r="T1670" s="51">
        <v>33</v>
      </c>
      <c r="U1670" s="3" t="s">
        <v>6540</v>
      </c>
      <c r="V1670" s="41" t="str">
        <f>HYPERLINK("http://ictvonline.org/taxonomy/p/taxonomy-history?taxnode_id=20181827","ICTVonline=20181827")</f>
        <v>ICTVonline=20181827</v>
      </c>
    </row>
    <row r="1671" spans="1:22">
      <c r="A1671" s="3">
        <v>1670</v>
      </c>
      <c r="J1671" s="1" t="s">
        <v>1448</v>
      </c>
      <c r="K1671" s="1" t="s">
        <v>6542</v>
      </c>
      <c r="L1671" s="1" t="s">
        <v>1449</v>
      </c>
      <c r="M1671" s="1" t="s">
        <v>6549</v>
      </c>
      <c r="N1671" s="1" t="s">
        <v>6550</v>
      </c>
      <c r="P1671" s="1" t="s">
        <v>6551</v>
      </c>
      <c r="Q1671" s="3">
        <v>1</v>
      </c>
      <c r="R1671" s="22" t="s">
        <v>2766</v>
      </c>
      <c r="S1671" s="22" t="s">
        <v>5098</v>
      </c>
      <c r="T1671" s="51">
        <v>33</v>
      </c>
      <c r="U1671" s="3" t="s">
        <v>6540</v>
      </c>
      <c r="V1671" s="41" t="str">
        <f>HYPERLINK("http://ictvonline.org/taxonomy/p/taxonomy-history?taxnode_id=20181829","ICTVonline=20181829")</f>
        <v>ICTVonline=20181829</v>
      </c>
    </row>
    <row r="1672" spans="1:22">
      <c r="A1672" s="3">
        <v>1671</v>
      </c>
      <c r="J1672" s="1" t="s">
        <v>1448</v>
      </c>
      <c r="K1672" s="1" t="s">
        <v>6542</v>
      </c>
      <c r="L1672" s="1" t="s">
        <v>1449</v>
      </c>
      <c r="M1672" s="1" t="s">
        <v>6552</v>
      </c>
      <c r="N1672" s="1" t="s">
        <v>6553</v>
      </c>
      <c r="O1672" s="1" t="s">
        <v>6554</v>
      </c>
      <c r="P1672" s="1" t="s">
        <v>6555</v>
      </c>
      <c r="Q1672" s="3">
        <v>1</v>
      </c>
      <c r="R1672" s="22" t="s">
        <v>2766</v>
      </c>
      <c r="S1672" s="22" t="s">
        <v>5098</v>
      </c>
      <c r="T1672" s="51">
        <v>33</v>
      </c>
      <c r="U1672" s="3" t="s">
        <v>6540</v>
      </c>
      <c r="V1672" s="41" t="str">
        <f>HYPERLINK("http://ictvonline.org/taxonomy/p/taxonomy-history?taxnode_id=20181845","ICTVonline=20181845")</f>
        <v>ICTVonline=20181845</v>
      </c>
    </row>
    <row r="1673" spans="1:22">
      <c r="A1673" s="3">
        <v>1672</v>
      </c>
      <c r="J1673" s="1" t="s">
        <v>1448</v>
      </c>
      <c r="K1673" s="1" t="s">
        <v>6542</v>
      </c>
      <c r="L1673" s="1" t="s">
        <v>1449</v>
      </c>
      <c r="M1673" s="1" t="s">
        <v>6552</v>
      </c>
      <c r="N1673" s="1" t="s">
        <v>6553</v>
      </c>
      <c r="O1673" s="1" t="s">
        <v>6566</v>
      </c>
      <c r="P1673" s="1" t="s">
        <v>6567</v>
      </c>
      <c r="Q1673" s="3">
        <v>0</v>
      </c>
      <c r="R1673" s="22" t="s">
        <v>2766</v>
      </c>
      <c r="S1673" s="22" t="s">
        <v>5098</v>
      </c>
      <c r="T1673" s="51">
        <v>33</v>
      </c>
      <c r="U1673" s="3" t="s">
        <v>6540</v>
      </c>
      <c r="V1673" s="41" t="str">
        <f>HYPERLINK("http://ictvonline.org/taxonomy/p/taxonomy-history?taxnode_id=20181843","ICTVonline=20181843")</f>
        <v>ICTVonline=20181843</v>
      </c>
    </row>
    <row r="1674" spans="1:22">
      <c r="A1674" s="3">
        <v>1673</v>
      </c>
      <c r="J1674" s="1" t="s">
        <v>1448</v>
      </c>
      <c r="K1674" s="1" t="s">
        <v>6542</v>
      </c>
      <c r="L1674" s="1" t="s">
        <v>1449</v>
      </c>
      <c r="M1674" s="1" t="s">
        <v>6552</v>
      </c>
      <c r="N1674" s="1" t="s">
        <v>6556</v>
      </c>
      <c r="O1674" s="1" t="s">
        <v>6557</v>
      </c>
      <c r="P1674" s="1" t="s">
        <v>6558</v>
      </c>
      <c r="Q1674" s="3">
        <v>0</v>
      </c>
      <c r="R1674" s="22" t="s">
        <v>2766</v>
      </c>
      <c r="S1674" s="22" t="s">
        <v>5098</v>
      </c>
      <c r="T1674" s="51">
        <v>33</v>
      </c>
      <c r="U1674" s="3" t="s">
        <v>6540</v>
      </c>
      <c r="V1674" s="41" t="str">
        <f>HYPERLINK("http://ictvonline.org/taxonomy/p/taxonomy-history?taxnode_id=20181844","ICTVonline=20181844")</f>
        <v>ICTVonline=20181844</v>
      </c>
    </row>
    <row r="1675" spans="1:22">
      <c r="A1675" s="3">
        <v>1674</v>
      </c>
      <c r="J1675" s="1" t="s">
        <v>1448</v>
      </c>
      <c r="K1675" s="1" t="s">
        <v>6542</v>
      </c>
      <c r="L1675" s="1" t="s">
        <v>1449</v>
      </c>
      <c r="M1675" s="1" t="s">
        <v>6552</v>
      </c>
      <c r="N1675" s="1" t="s">
        <v>6556</v>
      </c>
      <c r="O1675" s="1" t="s">
        <v>6557</v>
      </c>
      <c r="P1675" s="1" t="s">
        <v>6559</v>
      </c>
      <c r="Q1675" s="3">
        <v>0</v>
      </c>
      <c r="R1675" s="22" t="s">
        <v>2766</v>
      </c>
      <c r="S1675" s="22" t="s">
        <v>5098</v>
      </c>
      <c r="T1675" s="51">
        <v>33</v>
      </c>
      <c r="U1675" s="3" t="s">
        <v>6540</v>
      </c>
      <c r="V1675" s="41" t="str">
        <f>HYPERLINK("http://ictvonline.org/taxonomy/p/taxonomy-history?taxnode_id=20181837","ICTVonline=20181837")</f>
        <v>ICTVonline=20181837</v>
      </c>
    </row>
    <row r="1676" spans="1:22">
      <c r="A1676" s="3">
        <v>1675</v>
      </c>
      <c r="J1676" s="1" t="s">
        <v>1448</v>
      </c>
      <c r="K1676" s="1" t="s">
        <v>6542</v>
      </c>
      <c r="L1676" s="1" t="s">
        <v>1449</v>
      </c>
      <c r="M1676" s="1" t="s">
        <v>6552</v>
      </c>
      <c r="N1676" s="1" t="s">
        <v>6556</v>
      </c>
      <c r="O1676" s="1" t="s">
        <v>6557</v>
      </c>
      <c r="P1676" s="1" t="s">
        <v>6560</v>
      </c>
      <c r="Q1676" s="3">
        <v>0</v>
      </c>
      <c r="R1676" s="22" t="s">
        <v>2766</v>
      </c>
      <c r="S1676" s="22" t="s">
        <v>5097</v>
      </c>
      <c r="T1676" s="51">
        <v>33</v>
      </c>
      <c r="U1676" s="3" t="s">
        <v>6540</v>
      </c>
      <c r="V1676" s="41" t="str">
        <f>HYPERLINK("http://ictvonline.org/taxonomy/p/taxonomy-history?taxnode_id=20186098","ICTVonline=20186098")</f>
        <v>ICTVonline=20186098</v>
      </c>
    </row>
    <row r="1677" spans="1:22">
      <c r="A1677" s="3">
        <v>1676</v>
      </c>
      <c r="J1677" s="1" t="s">
        <v>1448</v>
      </c>
      <c r="K1677" s="1" t="s">
        <v>6542</v>
      </c>
      <c r="L1677" s="1" t="s">
        <v>1449</v>
      </c>
      <c r="M1677" s="1" t="s">
        <v>6552</v>
      </c>
      <c r="N1677" s="1" t="s">
        <v>6561</v>
      </c>
      <c r="P1677" s="1" t="s">
        <v>6562</v>
      </c>
      <c r="Q1677" s="3">
        <v>1</v>
      </c>
      <c r="R1677" s="22" t="s">
        <v>2766</v>
      </c>
      <c r="S1677" s="22" t="s">
        <v>5098</v>
      </c>
      <c r="T1677" s="51">
        <v>33</v>
      </c>
      <c r="U1677" s="3" t="s">
        <v>6540</v>
      </c>
      <c r="V1677" s="41" t="str">
        <f>HYPERLINK("http://ictvonline.org/taxonomy/p/taxonomy-history?taxnode_id=20181840","ICTVonline=20181840")</f>
        <v>ICTVonline=20181840</v>
      </c>
    </row>
    <row r="1678" spans="1:22">
      <c r="A1678" s="3">
        <v>1677</v>
      </c>
      <c r="J1678" s="1" t="s">
        <v>1448</v>
      </c>
      <c r="K1678" s="1" t="s">
        <v>6542</v>
      </c>
      <c r="L1678" s="1" t="s">
        <v>1449</v>
      </c>
      <c r="M1678" s="1" t="s">
        <v>6552</v>
      </c>
      <c r="N1678" s="1" t="s">
        <v>6563</v>
      </c>
      <c r="O1678" s="1" t="s">
        <v>6575</v>
      </c>
      <c r="P1678" s="1" t="s">
        <v>6576</v>
      </c>
      <c r="Q1678" s="3">
        <v>0</v>
      </c>
      <c r="R1678" s="22" t="s">
        <v>2766</v>
      </c>
      <c r="S1678" s="22" t="s">
        <v>5098</v>
      </c>
      <c r="T1678" s="51">
        <v>33</v>
      </c>
      <c r="U1678" s="3" t="s">
        <v>6540</v>
      </c>
      <c r="V1678" s="41" t="str">
        <f>HYPERLINK("http://ictvonline.org/taxonomy/p/taxonomy-history?taxnode_id=20181836","ICTVonline=20181836")</f>
        <v>ICTVonline=20181836</v>
      </c>
    </row>
    <row r="1679" spans="1:22">
      <c r="A1679" s="3">
        <v>1678</v>
      </c>
      <c r="J1679" s="1" t="s">
        <v>1448</v>
      </c>
      <c r="K1679" s="1" t="s">
        <v>6542</v>
      </c>
      <c r="L1679" s="1" t="s">
        <v>1449</v>
      </c>
      <c r="M1679" s="1" t="s">
        <v>6552</v>
      </c>
      <c r="N1679" s="1" t="s">
        <v>6563</v>
      </c>
      <c r="O1679" s="1" t="s">
        <v>6564</v>
      </c>
      <c r="P1679" s="1" t="s">
        <v>6565</v>
      </c>
      <c r="Q1679" s="3">
        <v>0</v>
      </c>
      <c r="R1679" s="22" t="s">
        <v>2766</v>
      </c>
      <c r="S1679" s="22" t="s">
        <v>5098</v>
      </c>
      <c r="T1679" s="51">
        <v>33</v>
      </c>
      <c r="U1679" s="3" t="s">
        <v>6540</v>
      </c>
      <c r="V1679" s="41" t="str">
        <f>HYPERLINK("http://ictvonline.org/taxonomy/p/taxonomy-history?taxnode_id=20181841","ICTVonline=20181841")</f>
        <v>ICTVonline=20181841</v>
      </c>
    </row>
    <row r="1680" spans="1:22">
      <c r="A1680" s="3">
        <v>1679</v>
      </c>
      <c r="J1680" s="1" t="s">
        <v>1448</v>
      </c>
      <c r="K1680" s="1" t="s">
        <v>6542</v>
      </c>
      <c r="L1680" s="1" t="s">
        <v>1449</v>
      </c>
      <c r="M1680" s="1" t="s">
        <v>6552</v>
      </c>
      <c r="N1680" s="1" t="s">
        <v>6568</v>
      </c>
      <c r="O1680" s="1" t="s">
        <v>6577</v>
      </c>
      <c r="P1680" s="1" t="s">
        <v>6578</v>
      </c>
      <c r="Q1680" s="3">
        <v>0</v>
      </c>
      <c r="R1680" s="22" t="s">
        <v>2766</v>
      </c>
      <c r="S1680" s="22" t="s">
        <v>5098</v>
      </c>
      <c r="T1680" s="51">
        <v>33</v>
      </c>
      <c r="U1680" s="3" t="s">
        <v>6540</v>
      </c>
      <c r="V1680" s="41" t="str">
        <f>HYPERLINK("http://ictvonline.org/taxonomy/p/taxonomy-history?taxnode_id=20181838","ICTVonline=20181838")</f>
        <v>ICTVonline=20181838</v>
      </c>
    </row>
    <row r="1681" spans="1:22">
      <c r="A1681" s="3">
        <v>1680</v>
      </c>
      <c r="J1681" s="1" t="s">
        <v>1448</v>
      </c>
      <c r="K1681" s="1" t="s">
        <v>6542</v>
      </c>
      <c r="L1681" s="1" t="s">
        <v>1449</v>
      </c>
      <c r="M1681" s="1" t="s">
        <v>6552</v>
      </c>
      <c r="N1681" s="1" t="s">
        <v>6568</v>
      </c>
      <c r="O1681" s="1" t="s">
        <v>6569</v>
      </c>
      <c r="P1681" s="1" t="s">
        <v>6570</v>
      </c>
      <c r="Q1681" s="3">
        <v>0</v>
      </c>
      <c r="R1681" s="22" t="s">
        <v>2766</v>
      </c>
      <c r="S1681" s="22" t="s">
        <v>5098</v>
      </c>
      <c r="T1681" s="51">
        <v>33</v>
      </c>
      <c r="U1681" s="3" t="s">
        <v>6540</v>
      </c>
      <c r="V1681" s="41" t="str">
        <f>HYPERLINK("http://ictvonline.org/taxonomy/p/taxonomy-history?taxnode_id=20181842","ICTVonline=20181842")</f>
        <v>ICTVonline=20181842</v>
      </c>
    </row>
    <row r="1682" spans="1:22">
      <c r="A1682" s="3">
        <v>1681</v>
      </c>
      <c r="J1682" s="1" t="s">
        <v>1448</v>
      </c>
      <c r="K1682" s="1" t="s">
        <v>6542</v>
      </c>
      <c r="L1682" s="1" t="s">
        <v>1449</v>
      </c>
      <c r="M1682" s="1" t="s">
        <v>6552</v>
      </c>
      <c r="N1682" s="1" t="s">
        <v>6584</v>
      </c>
      <c r="P1682" s="1" t="s">
        <v>6585</v>
      </c>
      <c r="Q1682" s="3">
        <v>1</v>
      </c>
      <c r="R1682" s="22" t="s">
        <v>2766</v>
      </c>
      <c r="S1682" s="22" t="s">
        <v>5098</v>
      </c>
      <c r="T1682" s="51">
        <v>33</v>
      </c>
      <c r="U1682" s="3" t="s">
        <v>6540</v>
      </c>
      <c r="V1682" s="41" t="str">
        <f>HYPERLINK("http://ictvonline.org/taxonomy/p/taxonomy-history?taxnode_id=20181839","ICTVonline=20181839")</f>
        <v>ICTVonline=20181839</v>
      </c>
    </row>
    <row r="1683" spans="1:22">
      <c r="A1683" s="3">
        <v>1682</v>
      </c>
      <c r="J1683" s="1" t="s">
        <v>1448</v>
      </c>
      <c r="K1683" s="1" t="s">
        <v>6542</v>
      </c>
      <c r="L1683" s="1" t="s">
        <v>1449</v>
      </c>
      <c r="M1683" s="1" t="s">
        <v>6571</v>
      </c>
      <c r="N1683" s="1" t="s">
        <v>6572</v>
      </c>
      <c r="O1683" s="1" t="s">
        <v>6573</v>
      </c>
      <c r="P1683" s="1" t="s">
        <v>6574</v>
      </c>
      <c r="Q1683" s="3">
        <v>0</v>
      </c>
      <c r="R1683" s="22" t="s">
        <v>2766</v>
      </c>
      <c r="S1683" s="22" t="s">
        <v>5098</v>
      </c>
      <c r="T1683" s="51">
        <v>33</v>
      </c>
      <c r="U1683" s="3" t="s">
        <v>6540</v>
      </c>
      <c r="V1683" s="41" t="str">
        <f>HYPERLINK("http://ictvonline.org/taxonomy/p/taxonomy-history?taxnode_id=20181833","ICTVonline=20181833")</f>
        <v>ICTVonline=20181833</v>
      </c>
    </row>
    <row r="1684" spans="1:22">
      <c r="A1684" s="3">
        <v>1683</v>
      </c>
      <c r="J1684" s="1" t="s">
        <v>1448</v>
      </c>
      <c r="K1684" s="1" t="s">
        <v>6542</v>
      </c>
      <c r="L1684" s="1" t="s">
        <v>1449</v>
      </c>
      <c r="M1684" s="1" t="s">
        <v>6571</v>
      </c>
      <c r="N1684" s="1" t="s">
        <v>6572</v>
      </c>
      <c r="O1684" s="1" t="s">
        <v>6591</v>
      </c>
      <c r="P1684" s="1" t="s">
        <v>6592</v>
      </c>
      <c r="Q1684" s="3">
        <v>0</v>
      </c>
      <c r="R1684" s="22" t="s">
        <v>2766</v>
      </c>
      <c r="S1684" s="22" t="s">
        <v>5098</v>
      </c>
      <c r="T1684" s="51">
        <v>33</v>
      </c>
      <c r="U1684" s="3" t="s">
        <v>6540</v>
      </c>
      <c r="V1684" s="41" t="str">
        <f>HYPERLINK("http://ictvonline.org/taxonomy/p/taxonomy-history?taxnode_id=20181834","ICTVonline=20181834")</f>
        <v>ICTVonline=20181834</v>
      </c>
    </row>
    <row r="1685" spans="1:22">
      <c r="A1685" s="3">
        <v>1684</v>
      </c>
      <c r="J1685" s="1" t="s">
        <v>1448</v>
      </c>
      <c r="K1685" s="1" t="s">
        <v>6542</v>
      </c>
      <c r="L1685" s="1" t="s">
        <v>1449</v>
      </c>
      <c r="M1685" s="1" t="s">
        <v>6571</v>
      </c>
      <c r="N1685" s="1" t="s">
        <v>6572</v>
      </c>
      <c r="O1685" s="1" t="s">
        <v>6591</v>
      </c>
      <c r="P1685" s="1" t="s">
        <v>6593</v>
      </c>
      <c r="Q1685" s="3">
        <v>0</v>
      </c>
      <c r="R1685" s="22" t="s">
        <v>2766</v>
      </c>
      <c r="S1685" s="22" t="s">
        <v>5097</v>
      </c>
      <c r="T1685" s="51">
        <v>33</v>
      </c>
      <c r="U1685" s="3" t="s">
        <v>6540</v>
      </c>
      <c r="V1685" s="41" t="str">
        <f>HYPERLINK("http://ictvonline.org/taxonomy/p/taxonomy-history?taxnode_id=20186090","ICTVonline=20186090")</f>
        <v>ICTVonline=20186090</v>
      </c>
    </row>
    <row r="1686" spans="1:22">
      <c r="A1686" s="3">
        <v>1685</v>
      </c>
      <c r="J1686" s="1" t="s">
        <v>1448</v>
      </c>
      <c r="K1686" s="1" t="s">
        <v>6542</v>
      </c>
      <c r="L1686" s="1" t="s">
        <v>1449</v>
      </c>
      <c r="M1686" s="1" t="s">
        <v>6571</v>
      </c>
      <c r="N1686" s="1" t="s">
        <v>6572</v>
      </c>
      <c r="O1686" s="1" t="s">
        <v>6594</v>
      </c>
      <c r="P1686" s="1" t="s">
        <v>6595</v>
      </c>
      <c r="Q1686" s="3">
        <v>0</v>
      </c>
      <c r="R1686" s="22" t="s">
        <v>2766</v>
      </c>
      <c r="S1686" s="22" t="s">
        <v>5098</v>
      </c>
      <c r="T1686" s="51">
        <v>33</v>
      </c>
      <c r="U1686" s="3" t="s">
        <v>6540</v>
      </c>
      <c r="V1686" s="41" t="str">
        <f>HYPERLINK("http://ictvonline.org/taxonomy/p/taxonomy-history?taxnode_id=20181832","ICTVonline=20181832")</f>
        <v>ICTVonline=20181832</v>
      </c>
    </row>
    <row r="1687" spans="1:22">
      <c r="A1687" s="3">
        <v>1686</v>
      </c>
      <c r="J1687" s="1" t="s">
        <v>1448</v>
      </c>
      <c r="K1687" s="1" t="s">
        <v>6542</v>
      </c>
      <c r="L1687" s="1" t="s">
        <v>1449</v>
      </c>
      <c r="M1687" s="1" t="s">
        <v>6571</v>
      </c>
      <c r="N1687" s="1" t="s">
        <v>6579</v>
      </c>
      <c r="P1687" s="1" t="s">
        <v>6580</v>
      </c>
      <c r="Q1687" s="3">
        <v>1</v>
      </c>
      <c r="R1687" s="22" t="s">
        <v>2766</v>
      </c>
      <c r="S1687" s="22" t="s">
        <v>5098</v>
      </c>
      <c r="T1687" s="51">
        <v>33</v>
      </c>
      <c r="U1687" s="3" t="s">
        <v>6540</v>
      </c>
      <c r="V1687" s="41" t="str">
        <f>HYPERLINK("http://ictvonline.org/taxonomy/p/taxonomy-history?taxnode_id=20181831","ICTVonline=20181831")</f>
        <v>ICTVonline=20181831</v>
      </c>
    </row>
    <row r="1688" spans="1:22">
      <c r="A1688" s="3">
        <v>1687</v>
      </c>
      <c r="J1688" s="1" t="s">
        <v>1448</v>
      </c>
      <c r="K1688" s="1" t="s">
        <v>6542</v>
      </c>
      <c r="L1688" s="1" t="s">
        <v>1449</v>
      </c>
      <c r="M1688" s="1" t="s">
        <v>6581</v>
      </c>
      <c r="N1688" s="1" t="s">
        <v>6582</v>
      </c>
      <c r="P1688" s="1" t="s">
        <v>6583</v>
      </c>
      <c r="Q1688" s="3">
        <v>1</v>
      </c>
      <c r="R1688" s="22" t="s">
        <v>2766</v>
      </c>
      <c r="S1688" s="22" t="s">
        <v>5098</v>
      </c>
      <c r="T1688" s="51">
        <v>33</v>
      </c>
      <c r="U1688" s="3" t="s">
        <v>6540</v>
      </c>
      <c r="V1688" s="41" t="str">
        <f>HYPERLINK("http://ictvonline.org/taxonomy/p/taxonomy-history?taxnode_id=20181825","ICTVonline=20181825")</f>
        <v>ICTVonline=20181825</v>
      </c>
    </row>
    <row r="1689" spans="1:22">
      <c r="A1689" s="3">
        <v>1688</v>
      </c>
      <c r="J1689" s="1" t="s">
        <v>1448</v>
      </c>
      <c r="K1689" s="1" t="s">
        <v>6586</v>
      </c>
      <c r="L1689" s="1" t="s">
        <v>1389</v>
      </c>
      <c r="M1689" s="1" t="s">
        <v>6587</v>
      </c>
      <c r="N1689" s="1" t="s">
        <v>6588</v>
      </c>
      <c r="O1689" s="1" t="s">
        <v>6589</v>
      </c>
      <c r="P1689" s="1" t="s">
        <v>6590</v>
      </c>
      <c r="Q1689" s="3">
        <v>1</v>
      </c>
      <c r="R1689" s="22" t="s">
        <v>2766</v>
      </c>
      <c r="S1689" s="22" t="s">
        <v>5097</v>
      </c>
      <c r="T1689" s="51">
        <v>33</v>
      </c>
      <c r="U1689" s="3" t="s">
        <v>6540</v>
      </c>
      <c r="V1689" s="41" t="str">
        <f>HYPERLINK("http://ictvonline.org/taxonomy/p/taxonomy-history?taxnode_id=20186140","ICTVonline=20186140")</f>
        <v>ICTVonline=20186140</v>
      </c>
    </row>
    <row r="1690" spans="1:22">
      <c r="A1690" s="3">
        <v>1689</v>
      </c>
      <c r="J1690" s="1" t="s">
        <v>1448</v>
      </c>
      <c r="K1690" s="1" t="s">
        <v>6586</v>
      </c>
      <c r="L1690" s="1" t="s">
        <v>1389</v>
      </c>
      <c r="M1690" s="1" t="s">
        <v>6596</v>
      </c>
      <c r="N1690" s="1" t="s">
        <v>1852</v>
      </c>
      <c r="O1690" s="1" t="s">
        <v>6597</v>
      </c>
      <c r="P1690" s="1" t="s">
        <v>3735</v>
      </c>
      <c r="Q1690" s="3">
        <v>0</v>
      </c>
      <c r="R1690" s="22" t="s">
        <v>2766</v>
      </c>
      <c r="S1690" s="22" t="s">
        <v>5099</v>
      </c>
      <c r="T1690" s="51">
        <v>33</v>
      </c>
      <c r="U1690" s="3" t="s">
        <v>6540</v>
      </c>
      <c r="V1690" s="41" t="str">
        <f>HYPERLINK("http://ictvonline.org/taxonomy/p/taxonomy-history?taxnode_id=20181850","ICTVonline=20181850")</f>
        <v>ICTVonline=20181850</v>
      </c>
    </row>
    <row r="1691" spans="1:22">
      <c r="A1691" s="3">
        <v>1690</v>
      </c>
      <c r="J1691" s="1" t="s">
        <v>1448</v>
      </c>
      <c r="K1691" s="1" t="s">
        <v>6586</v>
      </c>
      <c r="L1691" s="1" t="s">
        <v>1389</v>
      </c>
      <c r="M1691" s="1" t="s">
        <v>6596</v>
      </c>
      <c r="N1691" s="1" t="s">
        <v>1852</v>
      </c>
      <c r="O1691" s="1" t="s">
        <v>6606</v>
      </c>
      <c r="P1691" s="1" t="s">
        <v>3736</v>
      </c>
      <c r="Q1691" s="3">
        <v>0</v>
      </c>
      <c r="R1691" s="22" t="s">
        <v>2766</v>
      </c>
      <c r="S1691" s="22" t="s">
        <v>5099</v>
      </c>
      <c r="T1691" s="51">
        <v>33</v>
      </c>
      <c r="U1691" s="3" t="s">
        <v>6540</v>
      </c>
      <c r="V1691" s="41" t="str">
        <f>HYPERLINK("http://ictvonline.org/taxonomy/p/taxonomy-history?taxnode_id=20181851","ICTVonline=20181851")</f>
        <v>ICTVonline=20181851</v>
      </c>
    </row>
    <row r="1692" spans="1:22">
      <c r="A1692" s="3">
        <v>1691</v>
      </c>
      <c r="J1692" s="1" t="s">
        <v>1448</v>
      </c>
      <c r="K1692" s="1" t="s">
        <v>6586</v>
      </c>
      <c r="L1692" s="1" t="s">
        <v>1389</v>
      </c>
      <c r="M1692" s="1" t="s">
        <v>6596</v>
      </c>
      <c r="N1692" s="1" t="s">
        <v>1852</v>
      </c>
      <c r="O1692" s="1" t="s">
        <v>6606</v>
      </c>
      <c r="P1692" s="1" t="s">
        <v>6607</v>
      </c>
      <c r="Q1692" s="3">
        <v>0</v>
      </c>
      <c r="R1692" s="22" t="s">
        <v>2766</v>
      </c>
      <c r="S1692" s="22" t="s">
        <v>5097</v>
      </c>
      <c r="T1692" s="51">
        <v>33</v>
      </c>
      <c r="U1692" s="3" t="s">
        <v>6540</v>
      </c>
      <c r="V1692" s="41" t="str">
        <f>HYPERLINK("http://ictvonline.org/taxonomy/p/taxonomy-history?taxnode_id=20186109","ICTVonline=20186109")</f>
        <v>ICTVonline=20186109</v>
      </c>
    </row>
    <row r="1693" spans="1:22">
      <c r="A1693" s="3">
        <v>1692</v>
      </c>
      <c r="J1693" s="1" t="s">
        <v>1448</v>
      </c>
      <c r="K1693" s="1" t="s">
        <v>6586</v>
      </c>
      <c r="L1693" s="1" t="s">
        <v>1389</v>
      </c>
      <c r="M1693" s="1" t="s">
        <v>6596</v>
      </c>
      <c r="N1693" s="1" t="s">
        <v>1852</v>
      </c>
      <c r="O1693" s="1" t="s">
        <v>6609</v>
      </c>
      <c r="P1693" s="1" t="s">
        <v>1390</v>
      </c>
      <c r="Q1693" s="3">
        <v>0</v>
      </c>
      <c r="R1693" s="22" t="s">
        <v>2766</v>
      </c>
      <c r="S1693" s="22" t="s">
        <v>5099</v>
      </c>
      <c r="T1693" s="51">
        <v>33</v>
      </c>
      <c r="U1693" s="3" t="s">
        <v>6540</v>
      </c>
      <c r="V1693" s="41" t="str">
        <f>HYPERLINK("http://ictvonline.org/taxonomy/p/taxonomy-history?taxnode_id=20181852","ICTVonline=20181852")</f>
        <v>ICTVonline=20181852</v>
      </c>
    </row>
    <row r="1694" spans="1:22">
      <c r="A1694" s="3">
        <v>1693</v>
      </c>
      <c r="J1694" s="1" t="s">
        <v>1448</v>
      </c>
      <c r="K1694" s="1" t="s">
        <v>6586</v>
      </c>
      <c r="L1694" s="1" t="s">
        <v>1389</v>
      </c>
      <c r="M1694" s="1" t="s">
        <v>6596</v>
      </c>
      <c r="N1694" s="1" t="s">
        <v>1852</v>
      </c>
      <c r="O1694" s="1" t="s">
        <v>6598</v>
      </c>
      <c r="P1694" s="1" t="s">
        <v>6599</v>
      </c>
      <c r="Q1694" s="3">
        <v>0</v>
      </c>
      <c r="R1694" s="22" t="s">
        <v>2766</v>
      </c>
      <c r="S1694" s="22" t="s">
        <v>5097</v>
      </c>
      <c r="T1694" s="51">
        <v>33</v>
      </c>
      <c r="U1694" s="3" t="s">
        <v>6540</v>
      </c>
      <c r="V1694" s="41" t="str">
        <f>HYPERLINK("http://ictvonline.org/taxonomy/p/taxonomy-history?taxnode_id=20186122","ICTVonline=20186122")</f>
        <v>ICTVonline=20186122</v>
      </c>
    </row>
    <row r="1695" spans="1:22">
      <c r="A1695" s="3">
        <v>1694</v>
      </c>
      <c r="J1695" s="1" t="s">
        <v>1448</v>
      </c>
      <c r="K1695" s="1" t="s">
        <v>6586</v>
      </c>
      <c r="L1695" s="1" t="s">
        <v>1389</v>
      </c>
      <c r="M1695" s="1" t="s">
        <v>6596</v>
      </c>
      <c r="N1695" s="1" t="s">
        <v>1852</v>
      </c>
      <c r="O1695" s="1" t="s">
        <v>6600</v>
      </c>
      <c r="P1695" s="1" t="s">
        <v>6601</v>
      </c>
      <c r="Q1695" s="3">
        <v>0</v>
      </c>
      <c r="R1695" s="22" t="s">
        <v>2766</v>
      </c>
      <c r="S1695" s="22" t="s">
        <v>5097</v>
      </c>
      <c r="T1695" s="51">
        <v>33</v>
      </c>
      <c r="U1695" s="3" t="s">
        <v>6540</v>
      </c>
      <c r="V1695" s="41" t="str">
        <f>HYPERLINK("http://ictvonline.org/taxonomy/p/taxonomy-history?taxnode_id=20186115","ICTVonline=20186115")</f>
        <v>ICTVonline=20186115</v>
      </c>
    </row>
    <row r="1696" spans="1:22">
      <c r="A1696" s="3">
        <v>1695</v>
      </c>
      <c r="J1696" s="1" t="s">
        <v>1448</v>
      </c>
      <c r="K1696" s="1" t="s">
        <v>6586</v>
      </c>
      <c r="L1696" s="1" t="s">
        <v>1389</v>
      </c>
      <c r="M1696" s="1" t="s">
        <v>6596</v>
      </c>
      <c r="N1696" s="1" t="s">
        <v>1852</v>
      </c>
      <c r="O1696" s="1" t="s">
        <v>6600</v>
      </c>
      <c r="P1696" s="1" t="s">
        <v>3737</v>
      </c>
      <c r="Q1696" s="3">
        <v>0</v>
      </c>
      <c r="R1696" s="22" t="s">
        <v>2766</v>
      </c>
      <c r="S1696" s="22" t="s">
        <v>5099</v>
      </c>
      <c r="T1696" s="51">
        <v>33</v>
      </c>
      <c r="U1696" s="3" t="s">
        <v>6540</v>
      </c>
      <c r="V1696" s="41" t="str">
        <f>HYPERLINK("http://ictvonline.org/taxonomy/p/taxonomy-history?taxnode_id=20181856","ICTVonline=20181856")</f>
        <v>ICTVonline=20181856</v>
      </c>
    </row>
    <row r="1697" spans="1:22">
      <c r="A1697" s="3">
        <v>1696</v>
      </c>
      <c r="J1697" s="1" t="s">
        <v>1448</v>
      </c>
      <c r="K1697" s="1" t="s">
        <v>6586</v>
      </c>
      <c r="L1697" s="1" t="s">
        <v>1389</v>
      </c>
      <c r="M1697" s="1" t="s">
        <v>6596</v>
      </c>
      <c r="N1697" s="1" t="s">
        <v>1852</v>
      </c>
      <c r="O1697" s="1" t="s">
        <v>6613</v>
      </c>
      <c r="P1697" s="1" t="s">
        <v>567</v>
      </c>
      <c r="Q1697" s="3">
        <v>0</v>
      </c>
      <c r="R1697" s="22" t="s">
        <v>2766</v>
      </c>
      <c r="S1697" s="22" t="s">
        <v>5099</v>
      </c>
      <c r="T1697" s="51">
        <v>33</v>
      </c>
      <c r="U1697" s="3" t="s">
        <v>6540</v>
      </c>
      <c r="V1697" s="41" t="str">
        <f>HYPERLINK("http://ictvonline.org/taxonomy/p/taxonomy-history?taxnode_id=20181854","ICTVonline=20181854")</f>
        <v>ICTVonline=20181854</v>
      </c>
    </row>
    <row r="1698" spans="1:22">
      <c r="A1698" s="3">
        <v>1697</v>
      </c>
      <c r="J1698" s="1" t="s">
        <v>1448</v>
      </c>
      <c r="K1698" s="1" t="s">
        <v>6586</v>
      </c>
      <c r="L1698" s="1" t="s">
        <v>1389</v>
      </c>
      <c r="M1698" s="1" t="s">
        <v>6596</v>
      </c>
      <c r="N1698" s="1" t="s">
        <v>1852</v>
      </c>
      <c r="O1698" s="1" t="s">
        <v>6613</v>
      </c>
      <c r="P1698" s="1" t="s">
        <v>568</v>
      </c>
      <c r="Q1698" s="3">
        <v>0</v>
      </c>
      <c r="R1698" s="22" t="s">
        <v>2766</v>
      </c>
      <c r="S1698" s="22" t="s">
        <v>5099</v>
      </c>
      <c r="T1698" s="51">
        <v>33</v>
      </c>
      <c r="U1698" s="3" t="s">
        <v>6540</v>
      </c>
      <c r="V1698" s="41" t="str">
        <f>HYPERLINK("http://ictvonline.org/taxonomy/p/taxonomy-history?taxnode_id=20181855","ICTVonline=20181855")</f>
        <v>ICTVonline=20181855</v>
      </c>
    </row>
    <row r="1699" spans="1:22">
      <c r="A1699" s="3">
        <v>1698</v>
      </c>
      <c r="J1699" s="1" t="s">
        <v>1448</v>
      </c>
      <c r="K1699" s="1" t="s">
        <v>6586</v>
      </c>
      <c r="L1699" s="1" t="s">
        <v>1389</v>
      </c>
      <c r="M1699" s="1" t="s">
        <v>6596</v>
      </c>
      <c r="N1699" s="1" t="s">
        <v>1852</v>
      </c>
      <c r="O1699" s="1" t="s">
        <v>6602</v>
      </c>
      <c r="P1699" s="1" t="s">
        <v>6603</v>
      </c>
      <c r="Q1699" s="3">
        <v>0</v>
      </c>
      <c r="R1699" s="22" t="s">
        <v>2766</v>
      </c>
      <c r="S1699" s="22" t="s">
        <v>5097</v>
      </c>
      <c r="T1699" s="51">
        <v>33</v>
      </c>
      <c r="U1699" s="3" t="s">
        <v>6540</v>
      </c>
      <c r="V1699" s="41" t="str">
        <f>HYPERLINK("http://ictvonline.org/taxonomy/p/taxonomy-history?taxnode_id=20186119","ICTVonline=20186119")</f>
        <v>ICTVonline=20186119</v>
      </c>
    </row>
    <row r="1700" spans="1:22">
      <c r="A1700" s="3">
        <v>1699</v>
      </c>
      <c r="J1700" s="1" t="s">
        <v>1448</v>
      </c>
      <c r="K1700" s="1" t="s">
        <v>6586</v>
      </c>
      <c r="L1700" s="1" t="s">
        <v>1389</v>
      </c>
      <c r="M1700" s="1" t="s">
        <v>6596</v>
      </c>
      <c r="N1700" s="1" t="s">
        <v>1852</v>
      </c>
      <c r="O1700" s="1" t="s">
        <v>6604</v>
      </c>
      <c r="P1700" s="1" t="s">
        <v>6605</v>
      </c>
      <c r="Q1700" s="3">
        <v>0</v>
      </c>
      <c r="R1700" s="22" t="s">
        <v>2766</v>
      </c>
      <c r="S1700" s="22" t="s">
        <v>5097</v>
      </c>
      <c r="T1700" s="51">
        <v>33</v>
      </c>
      <c r="U1700" s="3" t="s">
        <v>6540</v>
      </c>
      <c r="V1700" s="41" t="str">
        <f>HYPERLINK("http://ictvonline.org/taxonomy/p/taxonomy-history?taxnode_id=20186120","ICTVonline=20186120")</f>
        <v>ICTVonline=20186120</v>
      </c>
    </row>
    <row r="1701" spans="1:22">
      <c r="A1701" s="3">
        <v>1700</v>
      </c>
      <c r="J1701" s="1" t="s">
        <v>1448</v>
      </c>
      <c r="K1701" s="1" t="s">
        <v>6586</v>
      </c>
      <c r="L1701" s="1" t="s">
        <v>1389</v>
      </c>
      <c r="M1701" s="1" t="s">
        <v>6596</v>
      </c>
      <c r="N1701" s="1" t="s">
        <v>1852</v>
      </c>
      <c r="O1701" s="1" t="s">
        <v>6608</v>
      </c>
      <c r="P1701" s="1" t="s">
        <v>1071</v>
      </c>
      <c r="Q1701" s="3">
        <v>0</v>
      </c>
      <c r="R1701" s="22" t="s">
        <v>2766</v>
      </c>
      <c r="S1701" s="22" t="s">
        <v>5099</v>
      </c>
      <c r="T1701" s="51">
        <v>33</v>
      </c>
      <c r="U1701" s="3" t="s">
        <v>6540</v>
      </c>
      <c r="V1701" s="41" t="str">
        <f>HYPERLINK("http://ictvonline.org/taxonomy/p/taxonomy-history?taxnode_id=20181857","ICTVonline=20181857")</f>
        <v>ICTVonline=20181857</v>
      </c>
    </row>
    <row r="1702" spans="1:22">
      <c r="A1702" s="3">
        <v>1701</v>
      </c>
      <c r="J1702" s="1" t="s">
        <v>1448</v>
      </c>
      <c r="K1702" s="1" t="s">
        <v>6586</v>
      </c>
      <c r="L1702" s="1" t="s">
        <v>1389</v>
      </c>
      <c r="M1702" s="1" t="s">
        <v>6596</v>
      </c>
      <c r="N1702" s="1" t="s">
        <v>1852</v>
      </c>
      <c r="O1702" s="1" t="s">
        <v>6608</v>
      </c>
      <c r="P1702" s="1" t="s">
        <v>570</v>
      </c>
      <c r="Q1702" s="3">
        <v>0</v>
      </c>
      <c r="R1702" s="22" t="s">
        <v>2766</v>
      </c>
      <c r="S1702" s="22" t="s">
        <v>5099</v>
      </c>
      <c r="T1702" s="51">
        <v>33</v>
      </c>
      <c r="U1702" s="3" t="s">
        <v>6540</v>
      </c>
      <c r="V1702" s="41" t="str">
        <f>HYPERLINK("http://ictvonline.org/taxonomy/p/taxonomy-history?taxnode_id=20181859","ICTVonline=20181859")</f>
        <v>ICTVonline=20181859</v>
      </c>
    </row>
    <row r="1703" spans="1:22">
      <c r="A1703" s="3">
        <v>1702</v>
      </c>
      <c r="J1703" s="1" t="s">
        <v>1448</v>
      </c>
      <c r="K1703" s="1" t="s">
        <v>6586</v>
      </c>
      <c r="L1703" s="1" t="s">
        <v>1389</v>
      </c>
      <c r="M1703" s="1" t="s">
        <v>6596</v>
      </c>
      <c r="N1703" s="1" t="s">
        <v>1852</v>
      </c>
      <c r="O1703" s="1" t="s">
        <v>6610</v>
      </c>
      <c r="P1703" s="1" t="s">
        <v>569</v>
      </c>
      <c r="Q1703" s="3">
        <v>0</v>
      </c>
      <c r="R1703" s="22" t="s">
        <v>2766</v>
      </c>
      <c r="S1703" s="22" t="s">
        <v>5099</v>
      </c>
      <c r="T1703" s="51">
        <v>33</v>
      </c>
      <c r="U1703" s="3" t="s">
        <v>6540</v>
      </c>
      <c r="V1703" s="41" t="str">
        <f>HYPERLINK("http://ictvonline.org/taxonomy/p/taxonomy-history?taxnode_id=20181858","ICTVonline=20181858")</f>
        <v>ICTVonline=20181858</v>
      </c>
    </row>
    <row r="1704" spans="1:22">
      <c r="A1704" s="3">
        <v>1703</v>
      </c>
      <c r="J1704" s="1" t="s">
        <v>1448</v>
      </c>
      <c r="K1704" s="1" t="s">
        <v>6586</v>
      </c>
      <c r="L1704" s="1" t="s">
        <v>1389</v>
      </c>
      <c r="M1704" s="1" t="s">
        <v>6596</v>
      </c>
      <c r="N1704" s="1" t="s">
        <v>1852</v>
      </c>
      <c r="O1704" s="1" t="s">
        <v>6611</v>
      </c>
      <c r="P1704" s="1" t="s">
        <v>1070</v>
      </c>
      <c r="Q1704" s="3">
        <v>0</v>
      </c>
      <c r="R1704" s="22" t="s">
        <v>2766</v>
      </c>
      <c r="S1704" s="22" t="s">
        <v>5099</v>
      </c>
      <c r="T1704" s="51">
        <v>33</v>
      </c>
      <c r="U1704" s="3" t="s">
        <v>6540</v>
      </c>
      <c r="V1704" s="41" t="str">
        <f>HYPERLINK("http://ictvonline.org/taxonomy/p/taxonomy-history?taxnode_id=20181853","ICTVonline=20181853")</f>
        <v>ICTVonline=20181853</v>
      </c>
    </row>
    <row r="1705" spans="1:22">
      <c r="A1705" s="3">
        <v>1704</v>
      </c>
      <c r="J1705" s="1" t="s">
        <v>1448</v>
      </c>
      <c r="K1705" s="1" t="s">
        <v>6586</v>
      </c>
      <c r="L1705" s="1" t="s">
        <v>1389</v>
      </c>
      <c r="M1705" s="1" t="s">
        <v>6596</v>
      </c>
      <c r="N1705" s="1" t="s">
        <v>1852</v>
      </c>
      <c r="O1705" s="1" t="s">
        <v>6611</v>
      </c>
      <c r="P1705" s="1" t="s">
        <v>6612</v>
      </c>
      <c r="Q1705" s="3">
        <v>0</v>
      </c>
      <c r="R1705" s="22" t="s">
        <v>2766</v>
      </c>
      <c r="S1705" s="22" t="s">
        <v>5097</v>
      </c>
      <c r="T1705" s="51">
        <v>33</v>
      </c>
      <c r="U1705" s="3" t="s">
        <v>6540</v>
      </c>
      <c r="V1705" s="41" t="str">
        <f>HYPERLINK("http://ictvonline.org/taxonomy/p/taxonomy-history?taxnode_id=20186112","ICTVonline=20186112")</f>
        <v>ICTVonline=20186112</v>
      </c>
    </row>
    <row r="1706" spans="1:22">
      <c r="A1706" s="3">
        <v>1705</v>
      </c>
      <c r="J1706" s="1" t="s">
        <v>1448</v>
      </c>
      <c r="K1706" s="1" t="s">
        <v>6586</v>
      </c>
      <c r="L1706" s="1" t="s">
        <v>1389</v>
      </c>
      <c r="M1706" s="1" t="s">
        <v>6596</v>
      </c>
      <c r="N1706" s="1" t="s">
        <v>1852</v>
      </c>
      <c r="O1706" s="1" t="s">
        <v>6614</v>
      </c>
      <c r="P1706" s="1" t="s">
        <v>1853</v>
      </c>
      <c r="Q1706" s="3">
        <v>1</v>
      </c>
      <c r="R1706" s="22" t="s">
        <v>2766</v>
      </c>
      <c r="S1706" s="22" t="s">
        <v>5099</v>
      </c>
      <c r="T1706" s="51">
        <v>33</v>
      </c>
      <c r="U1706" s="3" t="s">
        <v>6540</v>
      </c>
      <c r="V1706" s="41" t="str">
        <f>HYPERLINK("http://ictvonline.org/taxonomy/p/taxonomy-history?taxnode_id=20181849","ICTVonline=20181849")</f>
        <v>ICTVonline=20181849</v>
      </c>
    </row>
    <row r="1707" spans="1:22">
      <c r="A1707" s="3">
        <v>1706</v>
      </c>
      <c r="J1707" s="1" t="s">
        <v>1448</v>
      </c>
      <c r="K1707" s="1" t="s">
        <v>6586</v>
      </c>
      <c r="L1707" s="1" t="s">
        <v>1389</v>
      </c>
      <c r="M1707" s="1" t="s">
        <v>6596</v>
      </c>
      <c r="N1707" s="1" t="s">
        <v>462</v>
      </c>
      <c r="O1707" s="1" t="s">
        <v>6620</v>
      </c>
      <c r="P1707" s="1" t="s">
        <v>464</v>
      </c>
      <c r="Q1707" s="3">
        <v>0</v>
      </c>
      <c r="R1707" s="22" t="s">
        <v>2766</v>
      </c>
      <c r="S1707" s="22" t="s">
        <v>5099</v>
      </c>
      <c r="T1707" s="51">
        <v>33</v>
      </c>
      <c r="U1707" s="3" t="s">
        <v>6540</v>
      </c>
      <c r="V1707" s="41" t="str">
        <f>HYPERLINK("http://ictvonline.org/taxonomy/p/taxonomy-history?taxnode_id=20181861","ICTVonline=20181861")</f>
        <v>ICTVonline=20181861</v>
      </c>
    </row>
    <row r="1708" spans="1:22">
      <c r="A1708" s="3">
        <v>1707</v>
      </c>
      <c r="J1708" s="1" t="s">
        <v>1448</v>
      </c>
      <c r="K1708" s="1" t="s">
        <v>6586</v>
      </c>
      <c r="L1708" s="1" t="s">
        <v>1389</v>
      </c>
      <c r="M1708" s="1" t="s">
        <v>6596</v>
      </c>
      <c r="N1708" s="1" t="s">
        <v>462</v>
      </c>
      <c r="O1708" s="1" t="s">
        <v>6620</v>
      </c>
      <c r="P1708" s="1" t="s">
        <v>6621</v>
      </c>
      <c r="Q1708" s="3">
        <v>0</v>
      </c>
      <c r="R1708" s="22" t="s">
        <v>2766</v>
      </c>
      <c r="S1708" s="22" t="s">
        <v>5097</v>
      </c>
      <c r="T1708" s="51">
        <v>33</v>
      </c>
      <c r="U1708" s="3" t="s">
        <v>6540</v>
      </c>
      <c r="V1708" s="41" t="str">
        <f>HYPERLINK("http://ictvonline.org/taxonomy/p/taxonomy-history?taxnode_id=20186124","ICTVonline=20186124")</f>
        <v>ICTVonline=20186124</v>
      </c>
    </row>
    <row r="1709" spans="1:22">
      <c r="A1709" s="3">
        <v>1708</v>
      </c>
      <c r="J1709" s="1" t="s">
        <v>1448</v>
      </c>
      <c r="K1709" s="1" t="s">
        <v>6586</v>
      </c>
      <c r="L1709" s="1" t="s">
        <v>1389</v>
      </c>
      <c r="M1709" s="1" t="s">
        <v>6596</v>
      </c>
      <c r="N1709" s="1" t="s">
        <v>462</v>
      </c>
      <c r="O1709" s="1" t="s">
        <v>6620</v>
      </c>
      <c r="P1709" s="1" t="s">
        <v>1403</v>
      </c>
      <c r="Q1709" s="3">
        <v>0</v>
      </c>
      <c r="R1709" s="22" t="s">
        <v>2766</v>
      </c>
      <c r="S1709" s="22" t="s">
        <v>5099</v>
      </c>
      <c r="T1709" s="51">
        <v>33</v>
      </c>
      <c r="U1709" s="3" t="s">
        <v>6540</v>
      </c>
      <c r="V1709" s="41" t="str">
        <f>HYPERLINK("http://ictvonline.org/taxonomy/p/taxonomy-history?taxnode_id=20181863","ICTVonline=20181863")</f>
        <v>ICTVonline=20181863</v>
      </c>
    </row>
    <row r="1710" spans="1:22">
      <c r="A1710" s="3">
        <v>1709</v>
      </c>
      <c r="J1710" s="1" t="s">
        <v>1448</v>
      </c>
      <c r="K1710" s="1" t="s">
        <v>6586</v>
      </c>
      <c r="L1710" s="1" t="s">
        <v>1389</v>
      </c>
      <c r="M1710" s="1" t="s">
        <v>6596</v>
      </c>
      <c r="N1710" s="1" t="s">
        <v>462</v>
      </c>
      <c r="O1710" s="1" t="s">
        <v>6620</v>
      </c>
      <c r="P1710" s="4" t="s">
        <v>463</v>
      </c>
      <c r="Q1710" s="3">
        <v>1</v>
      </c>
      <c r="R1710" s="23" t="s">
        <v>2766</v>
      </c>
      <c r="S1710" s="23" t="s">
        <v>5099</v>
      </c>
      <c r="T1710" s="51">
        <v>33</v>
      </c>
      <c r="U1710" s="3" t="s">
        <v>6540</v>
      </c>
      <c r="V1710" s="41" t="str">
        <f>HYPERLINK("http://ictvonline.org/taxonomy/p/taxonomy-history?taxnode_id=20181865","ICTVonline=20181865")</f>
        <v>ICTVonline=20181865</v>
      </c>
    </row>
    <row r="1711" spans="1:22">
      <c r="A1711" s="3">
        <v>1710</v>
      </c>
      <c r="J1711" s="1" t="s">
        <v>1448</v>
      </c>
      <c r="K1711" s="1" t="s">
        <v>6586</v>
      </c>
      <c r="L1711" s="1" t="s">
        <v>1389</v>
      </c>
      <c r="M1711" s="1" t="s">
        <v>6596</v>
      </c>
      <c r="N1711" s="1" t="s">
        <v>462</v>
      </c>
      <c r="O1711" s="1" t="s">
        <v>6615</v>
      </c>
      <c r="P1711" s="1" t="s">
        <v>6616</v>
      </c>
      <c r="Q1711" s="3">
        <v>0</v>
      </c>
      <c r="R1711" s="22" t="s">
        <v>2766</v>
      </c>
      <c r="S1711" s="22" t="s">
        <v>5097</v>
      </c>
      <c r="T1711" s="51">
        <v>33</v>
      </c>
      <c r="U1711" s="3" t="s">
        <v>6540</v>
      </c>
      <c r="V1711" s="41" t="str">
        <f>HYPERLINK("http://ictvonline.org/taxonomy/p/taxonomy-history?taxnode_id=20186131","ICTVonline=20186131")</f>
        <v>ICTVonline=20186131</v>
      </c>
    </row>
    <row r="1712" spans="1:22">
      <c r="A1712" s="3">
        <v>1711</v>
      </c>
      <c r="J1712" s="1" t="s">
        <v>1448</v>
      </c>
      <c r="K1712" s="1" t="s">
        <v>6586</v>
      </c>
      <c r="L1712" s="1" t="s">
        <v>1389</v>
      </c>
      <c r="M1712" s="1" t="s">
        <v>6596</v>
      </c>
      <c r="N1712" s="1" t="s">
        <v>462</v>
      </c>
      <c r="O1712" s="1" t="s">
        <v>6623</v>
      </c>
      <c r="P1712" s="1" t="s">
        <v>3738</v>
      </c>
      <c r="Q1712" s="3">
        <v>0</v>
      </c>
      <c r="R1712" s="22" t="s">
        <v>2766</v>
      </c>
      <c r="S1712" s="22" t="s">
        <v>5099</v>
      </c>
      <c r="T1712" s="51">
        <v>33</v>
      </c>
      <c r="U1712" s="3" t="s">
        <v>6540</v>
      </c>
      <c r="V1712" s="41" t="str">
        <f>HYPERLINK("http://ictvonline.org/taxonomy/p/taxonomy-history?taxnode_id=20181862","ICTVonline=20181862")</f>
        <v>ICTVonline=20181862</v>
      </c>
    </row>
    <row r="1713" spans="1:22">
      <c r="A1713" s="3">
        <v>1712</v>
      </c>
      <c r="J1713" s="1" t="s">
        <v>1448</v>
      </c>
      <c r="K1713" s="1" t="s">
        <v>6586</v>
      </c>
      <c r="L1713" s="1" t="s">
        <v>1389</v>
      </c>
      <c r="M1713" s="1" t="s">
        <v>6596</v>
      </c>
      <c r="N1713" s="1" t="s">
        <v>462</v>
      </c>
      <c r="O1713" s="1" t="s">
        <v>6623</v>
      </c>
      <c r="P1713" s="1" t="s">
        <v>3739</v>
      </c>
      <c r="Q1713" s="3">
        <v>0</v>
      </c>
      <c r="R1713" s="22" t="s">
        <v>2766</v>
      </c>
      <c r="S1713" s="22" t="s">
        <v>5099</v>
      </c>
      <c r="T1713" s="51">
        <v>33</v>
      </c>
      <c r="U1713" s="3" t="s">
        <v>6540</v>
      </c>
      <c r="V1713" s="41" t="str">
        <f>HYPERLINK("http://ictvonline.org/taxonomy/p/taxonomy-history?taxnode_id=20181864","ICTVonline=20181864")</f>
        <v>ICTVonline=20181864</v>
      </c>
    </row>
    <row r="1714" spans="1:22">
      <c r="A1714" s="3">
        <v>1713</v>
      </c>
      <c r="J1714" s="1" t="s">
        <v>1448</v>
      </c>
      <c r="K1714" s="1" t="s">
        <v>6586</v>
      </c>
      <c r="L1714" s="1" t="s">
        <v>1389</v>
      </c>
      <c r="M1714" s="1" t="s">
        <v>6596</v>
      </c>
      <c r="N1714" s="1" t="s">
        <v>462</v>
      </c>
      <c r="O1714" s="1" t="s">
        <v>6623</v>
      </c>
      <c r="P1714" s="1" t="s">
        <v>571</v>
      </c>
      <c r="Q1714" s="3">
        <v>0</v>
      </c>
      <c r="R1714" s="22" t="s">
        <v>2766</v>
      </c>
      <c r="S1714" s="22" t="s">
        <v>5099</v>
      </c>
      <c r="T1714" s="51">
        <v>33</v>
      </c>
      <c r="U1714" s="3" t="s">
        <v>6540</v>
      </c>
      <c r="V1714" s="41" t="str">
        <f>HYPERLINK("http://ictvonline.org/taxonomy/p/taxonomy-history?taxnode_id=20181866","ICTVonline=20181866")</f>
        <v>ICTVonline=20181866</v>
      </c>
    </row>
    <row r="1715" spans="1:22">
      <c r="A1715" s="3">
        <v>1714</v>
      </c>
      <c r="J1715" s="1" t="s">
        <v>1448</v>
      </c>
      <c r="K1715" s="1" t="s">
        <v>6586</v>
      </c>
      <c r="L1715" s="1" t="s">
        <v>1389</v>
      </c>
      <c r="M1715" s="1" t="s">
        <v>6596</v>
      </c>
      <c r="N1715" s="1" t="s">
        <v>462</v>
      </c>
      <c r="O1715" s="1" t="s">
        <v>6623</v>
      </c>
      <c r="P1715" s="1" t="s">
        <v>573</v>
      </c>
      <c r="Q1715" s="3">
        <v>0</v>
      </c>
      <c r="R1715" s="22" t="s">
        <v>2766</v>
      </c>
      <c r="S1715" s="22" t="s">
        <v>5099</v>
      </c>
      <c r="T1715" s="51">
        <v>33</v>
      </c>
      <c r="U1715" s="3" t="s">
        <v>6540</v>
      </c>
      <c r="V1715" s="41" t="str">
        <f>HYPERLINK("http://ictvonline.org/taxonomy/p/taxonomy-history?taxnode_id=20181869","ICTVonline=20181869")</f>
        <v>ICTVonline=20181869</v>
      </c>
    </row>
    <row r="1716" spans="1:22">
      <c r="A1716" s="3">
        <v>1715</v>
      </c>
      <c r="J1716" s="1" t="s">
        <v>1448</v>
      </c>
      <c r="K1716" s="1" t="s">
        <v>6586</v>
      </c>
      <c r="L1716" s="1" t="s">
        <v>1389</v>
      </c>
      <c r="M1716" s="1" t="s">
        <v>6596</v>
      </c>
      <c r="N1716" s="1" t="s">
        <v>462</v>
      </c>
      <c r="O1716" s="1" t="s">
        <v>6617</v>
      </c>
      <c r="P1716" s="1" t="s">
        <v>6618</v>
      </c>
      <c r="Q1716" s="3">
        <v>0</v>
      </c>
      <c r="R1716" s="22" t="s">
        <v>2766</v>
      </c>
      <c r="S1716" s="22" t="s">
        <v>5097</v>
      </c>
      <c r="T1716" s="51">
        <v>33</v>
      </c>
      <c r="U1716" s="3" t="s">
        <v>6540</v>
      </c>
      <c r="V1716" s="41" t="str">
        <f>HYPERLINK("http://ictvonline.org/taxonomy/p/taxonomy-history?taxnode_id=20186128","ICTVonline=20186128")</f>
        <v>ICTVonline=20186128</v>
      </c>
    </row>
    <row r="1717" spans="1:22">
      <c r="A1717" s="3">
        <v>1716</v>
      </c>
      <c r="J1717" s="1" t="s">
        <v>1448</v>
      </c>
      <c r="K1717" s="1" t="s">
        <v>6586</v>
      </c>
      <c r="L1717" s="1" t="s">
        <v>1389</v>
      </c>
      <c r="M1717" s="1" t="s">
        <v>6596</v>
      </c>
      <c r="N1717" s="1" t="s">
        <v>462</v>
      </c>
      <c r="O1717" s="1" t="s">
        <v>6617</v>
      </c>
      <c r="P1717" s="1" t="s">
        <v>572</v>
      </c>
      <c r="Q1717" s="3">
        <v>0</v>
      </c>
      <c r="R1717" s="22" t="s">
        <v>2766</v>
      </c>
      <c r="S1717" s="22" t="s">
        <v>5099</v>
      </c>
      <c r="T1717" s="51">
        <v>33</v>
      </c>
      <c r="U1717" s="3" t="s">
        <v>6540</v>
      </c>
      <c r="V1717" s="41" t="str">
        <f>HYPERLINK("http://ictvonline.org/taxonomy/p/taxonomy-history?taxnode_id=20181867","ICTVonline=20181867")</f>
        <v>ICTVonline=20181867</v>
      </c>
    </row>
    <row r="1718" spans="1:22">
      <c r="A1718" s="3">
        <v>1717</v>
      </c>
      <c r="J1718" s="1" t="s">
        <v>1448</v>
      </c>
      <c r="K1718" s="1" t="s">
        <v>6586</v>
      </c>
      <c r="L1718" s="1" t="s">
        <v>1389</v>
      </c>
      <c r="M1718" s="1" t="s">
        <v>6596</v>
      </c>
      <c r="N1718" s="1" t="s">
        <v>462</v>
      </c>
      <c r="O1718" s="1" t="s">
        <v>6619</v>
      </c>
      <c r="P1718" s="1" t="s">
        <v>1374</v>
      </c>
      <c r="Q1718" s="3">
        <v>0</v>
      </c>
      <c r="R1718" s="22" t="s">
        <v>2766</v>
      </c>
      <c r="S1718" s="22" t="s">
        <v>5099</v>
      </c>
      <c r="T1718" s="51">
        <v>33</v>
      </c>
      <c r="U1718" s="3" t="s">
        <v>6540</v>
      </c>
      <c r="V1718" s="41" t="str">
        <f>HYPERLINK("http://ictvonline.org/taxonomy/p/taxonomy-history?taxnode_id=20181868","ICTVonline=20181868")</f>
        <v>ICTVonline=20181868</v>
      </c>
    </row>
    <row r="1719" spans="1:22">
      <c r="A1719" s="3">
        <v>1718</v>
      </c>
      <c r="J1719" s="1" t="s">
        <v>1448</v>
      </c>
      <c r="K1719" s="1" t="s">
        <v>6586</v>
      </c>
      <c r="L1719" s="1" t="s">
        <v>1389</v>
      </c>
      <c r="M1719" s="1" t="s">
        <v>6596</v>
      </c>
      <c r="N1719" s="1" t="s">
        <v>0</v>
      </c>
      <c r="O1719" s="1" t="s">
        <v>6626</v>
      </c>
      <c r="P1719" s="1" t="s">
        <v>3744</v>
      </c>
      <c r="Q1719" s="3">
        <v>0</v>
      </c>
      <c r="R1719" s="22" t="s">
        <v>2766</v>
      </c>
      <c r="S1719" s="22" t="s">
        <v>5099</v>
      </c>
      <c r="T1719" s="51">
        <v>33</v>
      </c>
      <c r="U1719" s="3" t="s">
        <v>6540</v>
      </c>
      <c r="V1719" s="41" t="str">
        <f>HYPERLINK("http://ictvonline.org/taxonomy/p/taxonomy-history?taxnode_id=20181878","ICTVonline=20181878")</f>
        <v>ICTVonline=20181878</v>
      </c>
    </row>
    <row r="1720" spans="1:22">
      <c r="A1720" s="3">
        <v>1719</v>
      </c>
      <c r="J1720" s="1" t="s">
        <v>1448</v>
      </c>
      <c r="K1720" s="1" t="s">
        <v>6586</v>
      </c>
      <c r="L1720" s="1" t="s">
        <v>1389</v>
      </c>
      <c r="M1720" s="1" t="s">
        <v>6596</v>
      </c>
      <c r="N1720" s="1" t="s">
        <v>0</v>
      </c>
      <c r="O1720" s="1" t="s">
        <v>6622</v>
      </c>
      <c r="P1720" s="1" t="s">
        <v>1</v>
      </c>
      <c r="Q1720" s="3">
        <v>1</v>
      </c>
      <c r="R1720" s="22" t="s">
        <v>2766</v>
      </c>
      <c r="S1720" s="22" t="s">
        <v>5099</v>
      </c>
      <c r="T1720" s="51">
        <v>33</v>
      </c>
      <c r="U1720" s="3" t="s">
        <v>6540</v>
      </c>
      <c r="V1720" s="41" t="str">
        <f>HYPERLINK("http://ictvonline.org/taxonomy/p/taxonomy-history?taxnode_id=20181871","ICTVonline=20181871")</f>
        <v>ICTVonline=20181871</v>
      </c>
    </row>
    <row r="1721" spans="1:22">
      <c r="A1721" s="3">
        <v>1720</v>
      </c>
      <c r="J1721" s="1" t="s">
        <v>1448</v>
      </c>
      <c r="K1721" s="1" t="s">
        <v>6586</v>
      </c>
      <c r="L1721" s="1" t="s">
        <v>1389</v>
      </c>
      <c r="M1721" s="1" t="s">
        <v>6596</v>
      </c>
      <c r="N1721" s="1" t="s">
        <v>0</v>
      </c>
      <c r="O1721" s="1" t="s">
        <v>6622</v>
      </c>
      <c r="P1721" s="1" t="s">
        <v>3741</v>
      </c>
      <c r="Q1721" s="3">
        <v>0</v>
      </c>
      <c r="R1721" s="22" t="s">
        <v>2766</v>
      </c>
      <c r="S1721" s="22" t="s">
        <v>5099</v>
      </c>
      <c r="T1721" s="52">
        <v>33</v>
      </c>
      <c r="U1721" s="25" t="s">
        <v>6540</v>
      </c>
      <c r="V1721" s="41" t="str">
        <f>HYPERLINK("http://ictvonline.org/taxonomy/p/taxonomy-history?taxnode_id=20181873","ICTVonline=20181873")</f>
        <v>ICTVonline=20181873</v>
      </c>
    </row>
    <row r="1722" spans="1:22">
      <c r="A1722" s="3">
        <v>1721</v>
      </c>
      <c r="J1722" s="1" t="s">
        <v>1448</v>
      </c>
      <c r="K1722" s="1" t="s">
        <v>6586</v>
      </c>
      <c r="L1722" s="1" t="s">
        <v>1389</v>
      </c>
      <c r="M1722" s="1" t="s">
        <v>6596</v>
      </c>
      <c r="N1722" s="1" t="s">
        <v>0</v>
      </c>
      <c r="O1722" s="1" t="s">
        <v>6622</v>
      </c>
      <c r="P1722" s="1" t="s">
        <v>562</v>
      </c>
      <c r="Q1722" s="3">
        <v>0</v>
      </c>
      <c r="R1722" s="22" t="s">
        <v>2766</v>
      </c>
      <c r="S1722" s="22" t="s">
        <v>5099</v>
      </c>
      <c r="T1722" s="51">
        <v>33</v>
      </c>
      <c r="U1722" s="3" t="s">
        <v>6540</v>
      </c>
      <c r="V1722" s="41" t="str">
        <f>HYPERLINK("http://ictvonline.org/taxonomy/p/taxonomy-history?taxnode_id=20181874","ICTVonline=20181874")</f>
        <v>ICTVonline=20181874</v>
      </c>
    </row>
    <row r="1723" spans="1:22">
      <c r="A1723" s="3">
        <v>1722</v>
      </c>
      <c r="J1723" s="1" t="s">
        <v>1448</v>
      </c>
      <c r="K1723" s="1" t="s">
        <v>6586</v>
      </c>
      <c r="L1723" s="1" t="s">
        <v>1389</v>
      </c>
      <c r="M1723" s="1" t="s">
        <v>6596</v>
      </c>
      <c r="N1723" s="1" t="s">
        <v>0</v>
      </c>
      <c r="O1723" s="1" t="s">
        <v>6622</v>
      </c>
      <c r="P1723" s="1" t="s">
        <v>3743</v>
      </c>
      <c r="Q1723" s="3">
        <v>0</v>
      </c>
      <c r="R1723" s="22" t="s">
        <v>2766</v>
      </c>
      <c r="S1723" s="22" t="s">
        <v>5099</v>
      </c>
      <c r="T1723" s="51">
        <v>33</v>
      </c>
      <c r="U1723" s="3" t="s">
        <v>6540</v>
      </c>
      <c r="V1723" s="41" t="str">
        <f>HYPERLINK("http://ictvonline.org/taxonomy/p/taxonomy-history?taxnode_id=20181877","ICTVonline=20181877")</f>
        <v>ICTVonline=20181877</v>
      </c>
    </row>
    <row r="1724" spans="1:22">
      <c r="A1724" s="3">
        <v>1723</v>
      </c>
      <c r="J1724" s="1" t="s">
        <v>1448</v>
      </c>
      <c r="K1724" s="1" t="s">
        <v>6586</v>
      </c>
      <c r="L1724" s="1" t="s">
        <v>1389</v>
      </c>
      <c r="M1724" s="1" t="s">
        <v>6596</v>
      </c>
      <c r="N1724" s="1" t="s">
        <v>0</v>
      </c>
      <c r="O1724" s="1" t="s">
        <v>6624</v>
      </c>
      <c r="P1724" s="1" t="s">
        <v>3742</v>
      </c>
      <c r="Q1724" s="3">
        <v>0</v>
      </c>
      <c r="R1724" s="22" t="s">
        <v>2766</v>
      </c>
      <c r="S1724" s="22" t="s">
        <v>5099</v>
      </c>
      <c r="T1724" s="51">
        <v>33</v>
      </c>
      <c r="U1724" s="3" t="s">
        <v>6540</v>
      </c>
      <c r="V1724" s="41" t="str">
        <f>HYPERLINK("http://ictvonline.org/taxonomy/p/taxonomy-history?taxnode_id=20181875","ICTVonline=20181875")</f>
        <v>ICTVonline=20181875</v>
      </c>
    </row>
    <row r="1725" spans="1:22">
      <c r="A1725" s="3">
        <v>1724</v>
      </c>
      <c r="J1725" s="1" t="s">
        <v>1448</v>
      </c>
      <c r="K1725" s="1" t="s">
        <v>6586</v>
      </c>
      <c r="L1725" s="1" t="s">
        <v>1389</v>
      </c>
      <c r="M1725" s="1" t="s">
        <v>6596</v>
      </c>
      <c r="N1725" s="1" t="s">
        <v>0</v>
      </c>
      <c r="O1725" s="1" t="s">
        <v>6637</v>
      </c>
      <c r="P1725" s="1" t="s">
        <v>3740</v>
      </c>
      <c r="Q1725" s="3">
        <v>0</v>
      </c>
      <c r="R1725" s="22" t="s">
        <v>2766</v>
      </c>
      <c r="S1725" s="22" t="s">
        <v>5099</v>
      </c>
      <c r="T1725" s="51">
        <v>33</v>
      </c>
      <c r="U1725" s="3" t="s">
        <v>6540</v>
      </c>
      <c r="V1725" s="41" t="str">
        <f>HYPERLINK("http://ictvonline.org/taxonomy/p/taxonomy-history?taxnode_id=20181872","ICTVonline=20181872")</f>
        <v>ICTVonline=20181872</v>
      </c>
    </row>
    <row r="1726" spans="1:22">
      <c r="A1726" s="3">
        <v>1725</v>
      </c>
      <c r="J1726" s="1" t="s">
        <v>1448</v>
      </c>
      <c r="K1726" s="1" t="s">
        <v>6586</v>
      </c>
      <c r="L1726" s="1" t="s">
        <v>1389</v>
      </c>
      <c r="M1726" s="1" t="s">
        <v>6596</v>
      </c>
      <c r="N1726" s="1" t="s">
        <v>431</v>
      </c>
      <c r="O1726" s="1" t="s">
        <v>6638</v>
      </c>
      <c r="P1726" s="1" t="s">
        <v>433</v>
      </c>
      <c r="Q1726" s="3">
        <v>0</v>
      </c>
      <c r="R1726" s="22" t="s">
        <v>2766</v>
      </c>
      <c r="S1726" s="22" t="s">
        <v>5099</v>
      </c>
      <c r="T1726" s="51">
        <v>33</v>
      </c>
      <c r="U1726" s="3" t="s">
        <v>6540</v>
      </c>
      <c r="V1726" s="41" t="str">
        <f>HYPERLINK("http://ictvonline.org/taxonomy/p/taxonomy-history?taxnode_id=20181881","ICTVonline=20181881")</f>
        <v>ICTVonline=20181881</v>
      </c>
    </row>
    <row r="1727" spans="1:22">
      <c r="A1727" s="3">
        <v>1726</v>
      </c>
      <c r="J1727" s="1" t="s">
        <v>1448</v>
      </c>
      <c r="K1727" s="1" t="s">
        <v>6586</v>
      </c>
      <c r="L1727" s="1" t="s">
        <v>1389</v>
      </c>
      <c r="M1727" s="1" t="s">
        <v>6596</v>
      </c>
      <c r="N1727" s="1" t="s">
        <v>431</v>
      </c>
      <c r="O1727" s="1" t="s">
        <v>6625</v>
      </c>
      <c r="P1727" s="1" t="s">
        <v>432</v>
      </c>
      <c r="Q1727" s="3">
        <v>1</v>
      </c>
      <c r="R1727" s="22" t="s">
        <v>2766</v>
      </c>
      <c r="S1727" s="22" t="s">
        <v>5099</v>
      </c>
      <c r="T1727" s="51">
        <v>33</v>
      </c>
      <c r="U1727" s="3" t="s">
        <v>6540</v>
      </c>
      <c r="V1727" s="41" t="str">
        <f>HYPERLINK("http://ictvonline.org/taxonomy/p/taxonomy-history?taxnode_id=20181880","ICTVonline=20181880")</f>
        <v>ICTVonline=20181880</v>
      </c>
    </row>
    <row r="1728" spans="1:22">
      <c r="A1728" s="3">
        <v>1727</v>
      </c>
      <c r="J1728" s="1" t="s">
        <v>1448</v>
      </c>
      <c r="K1728" s="1" t="s">
        <v>6627</v>
      </c>
      <c r="L1728" s="1" t="s">
        <v>6628</v>
      </c>
      <c r="M1728" s="1" t="s">
        <v>6629</v>
      </c>
      <c r="N1728" s="1" t="s">
        <v>6630</v>
      </c>
      <c r="O1728" s="1" t="s">
        <v>6631</v>
      </c>
      <c r="P1728" s="1" t="s">
        <v>6632</v>
      </c>
      <c r="Q1728" s="3">
        <v>1</v>
      </c>
      <c r="R1728" s="22" t="s">
        <v>2766</v>
      </c>
      <c r="S1728" s="22" t="s">
        <v>5097</v>
      </c>
      <c r="T1728" s="51">
        <v>33</v>
      </c>
      <c r="U1728" s="3" t="s">
        <v>6540</v>
      </c>
      <c r="V1728" s="41" t="str">
        <f>HYPERLINK("http://ictvonline.org/taxonomy/p/taxonomy-history?taxnode_id=20186175","ICTVonline=20186175")</f>
        <v>ICTVonline=20186175</v>
      </c>
    </row>
    <row r="1729" spans="1:22">
      <c r="A1729" s="3">
        <v>1728</v>
      </c>
      <c r="J1729" s="1" t="s">
        <v>1448</v>
      </c>
      <c r="K1729" s="1" t="s">
        <v>6627</v>
      </c>
      <c r="L1729" s="1" t="s">
        <v>6628</v>
      </c>
      <c r="M1729" s="1" t="s">
        <v>6633</v>
      </c>
      <c r="N1729" s="1" t="s">
        <v>6634</v>
      </c>
      <c r="O1729" s="1" t="s">
        <v>6635</v>
      </c>
      <c r="P1729" s="1" t="s">
        <v>6636</v>
      </c>
      <c r="Q1729" s="3">
        <v>1</v>
      </c>
      <c r="R1729" s="22" t="s">
        <v>2766</v>
      </c>
      <c r="S1729" s="22" t="s">
        <v>5097</v>
      </c>
      <c r="T1729" s="51">
        <v>33</v>
      </c>
      <c r="U1729" s="3" t="s">
        <v>6540</v>
      </c>
      <c r="V1729" s="41" t="str">
        <f>HYPERLINK("http://ictvonline.org/taxonomy/p/taxonomy-history?taxnode_id=20186179","ICTVonline=20186179")</f>
        <v>ICTVonline=20186179</v>
      </c>
    </row>
    <row r="1730" spans="1:22">
      <c r="A1730" s="3">
        <v>1729</v>
      </c>
      <c r="J1730" s="1" t="s">
        <v>1448</v>
      </c>
      <c r="K1730" s="1" t="s">
        <v>6627</v>
      </c>
      <c r="L1730" s="1" t="s">
        <v>2180</v>
      </c>
      <c r="M1730" s="1" t="s">
        <v>6639</v>
      </c>
      <c r="N1730" s="1" t="s">
        <v>2181</v>
      </c>
      <c r="O1730" s="1" t="s">
        <v>6640</v>
      </c>
      <c r="P1730" s="1" t="s">
        <v>3749</v>
      </c>
      <c r="Q1730" s="3">
        <v>0</v>
      </c>
      <c r="R1730" s="22" t="s">
        <v>2766</v>
      </c>
      <c r="S1730" s="22" t="s">
        <v>5099</v>
      </c>
      <c r="T1730" s="51">
        <v>33</v>
      </c>
      <c r="U1730" s="3" t="s">
        <v>6540</v>
      </c>
      <c r="V1730" s="41" t="str">
        <f>HYPERLINK("http://ictvonline.org/taxonomy/p/taxonomy-history?taxnode_id=20181901","ICTVonline=20181901")</f>
        <v>ICTVonline=20181901</v>
      </c>
    </row>
    <row r="1731" spans="1:22">
      <c r="A1731" s="3">
        <v>1730</v>
      </c>
      <c r="J1731" s="1" t="s">
        <v>1448</v>
      </c>
      <c r="K1731" s="1" t="s">
        <v>6627</v>
      </c>
      <c r="L1731" s="1" t="s">
        <v>2180</v>
      </c>
      <c r="M1731" s="1" t="s">
        <v>6639</v>
      </c>
      <c r="N1731" s="1" t="s">
        <v>2181</v>
      </c>
      <c r="O1731" s="1" t="s">
        <v>6646</v>
      </c>
      <c r="P1731" s="1" t="s">
        <v>6647</v>
      </c>
      <c r="Q1731" s="3">
        <v>0</v>
      </c>
      <c r="R1731" s="22" t="s">
        <v>2766</v>
      </c>
      <c r="S1731" s="22" t="s">
        <v>5098</v>
      </c>
      <c r="T1731" s="51">
        <v>33</v>
      </c>
      <c r="U1731" s="3" t="s">
        <v>6540</v>
      </c>
      <c r="V1731" s="41" t="str">
        <f>HYPERLINK("http://ictvonline.org/taxonomy/p/taxonomy-history?taxnode_id=20181904","ICTVonline=20181904")</f>
        <v>ICTVonline=20181904</v>
      </c>
    </row>
    <row r="1732" spans="1:22">
      <c r="A1732" s="3">
        <v>1731</v>
      </c>
      <c r="J1732" s="1" t="s">
        <v>1448</v>
      </c>
      <c r="K1732" s="1" t="s">
        <v>6627</v>
      </c>
      <c r="L1732" s="1" t="s">
        <v>2180</v>
      </c>
      <c r="M1732" s="1" t="s">
        <v>6639</v>
      </c>
      <c r="N1732" s="1" t="s">
        <v>2181</v>
      </c>
      <c r="O1732" s="1" t="s">
        <v>6648</v>
      </c>
      <c r="P1732" s="1" t="s">
        <v>3750</v>
      </c>
      <c r="Q1732" s="3">
        <v>0</v>
      </c>
      <c r="R1732" s="22" t="s">
        <v>2766</v>
      </c>
      <c r="S1732" s="22" t="s">
        <v>5099</v>
      </c>
      <c r="T1732" s="51">
        <v>33</v>
      </c>
      <c r="U1732" s="3" t="s">
        <v>6540</v>
      </c>
      <c r="V1732" s="41" t="str">
        <f>HYPERLINK("http://ictvonline.org/taxonomy/p/taxonomy-history?taxnode_id=20181902","ICTVonline=20181902")</f>
        <v>ICTVonline=20181902</v>
      </c>
    </row>
    <row r="1733" spans="1:22">
      <c r="A1733" s="3">
        <v>1732</v>
      </c>
      <c r="J1733" s="1" t="s">
        <v>1448</v>
      </c>
      <c r="K1733" s="1" t="s">
        <v>6627</v>
      </c>
      <c r="L1733" s="1" t="s">
        <v>2180</v>
      </c>
      <c r="M1733" s="1" t="s">
        <v>6639</v>
      </c>
      <c r="N1733" s="1" t="s">
        <v>2181</v>
      </c>
      <c r="O1733" s="1" t="s">
        <v>6641</v>
      </c>
      <c r="P1733" s="1" t="s">
        <v>6642</v>
      </c>
      <c r="Q1733" s="3">
        <v>0</v>
      </c>
      <c r="R1733" s="22" t="s">
        <v>2766</v>
      </c>
      <c r="S1733" s="22" t="s">
        <v>5097</v>
      </c>
      <c r="T1733" s="51">
        <v>33</v>
      </c>
      <c r="U1733" s="3" t="s">
        <v>6540</v>
      </c>
      <c r="V1733" s="41" t="str">
        <f>HYPERLINK("http://ictvonline.org/taxonomy/p/taxonomy-history?taxnode_id=20186168","ICTVonline=20186168")</f>
        <v>ICTVonline=20186168</v>
      </c>
    </row>
    <row r="1734" spans="1:22">
      <c r="A1734" s="3">
        <v>1733</v>
      </c>
      <c r="J1734" s="1" t="s">
        <v>1448</v>
      </c>
      <c r="K1734" s="1" t="s">
        <v>6627</v>
      </c>
      <c r="L1734" s="1" t="s">
        <v>2180</v>
      </c>
      <c r="M1734" s="1" t="s">
        <v>6639</v>
      </c>
      <c r="N1734" s="1" t="s">
        <v>2181</v>
      </c>
      <c r="O1734" s="1" t="s">
        <v>6643</v>
      </c>
      <c r="P1734" s="1" t="s">
        <v>3747</v>
      </c>
      <c r="Q1734" s="3">
        <v>0</v>
      </c>
      <c r="R1734" s="22" t="s">
        <v>2766</v>
      </c>
      <c r="S1734" s="22" t="s">
        <v>5099</v>
      </c>
      <c r="T1734" s="51">
        <v>33</v>
      </c>
      <c r="U1734" s="3" t="s">
        <v>6540</v>
      </c>
      <c r="V1734" s="41" t="str">
        <f>HYPERLINK("http://ictvonline.org/taxonomy/p/taxonomy-history?taxnode_id=20181899","ICTVonline=20181899")</f>
        <v>ICTVonline=20181899</v>
      </c>
    </row>
    <row r="1735" spans="1:22">
      <c r="A1735" s="3">
        <v>1734</v>
      </c>
      <c r="J1735" s="1" t="s">
        <v>1448</v>
      </c>
      <c r="K1735" s="1" t="s">
        <v>6627</v>
      </c>
      <c r="L1735" s="1" t="s">
        <v>2180</v>
      </c>
      <c r="M1735" s="1" t="s">
        <v>6639</v>
      </c>
      <c r="N1735" s="1" t="s">
        <v>2181</v>
      </c>
      <c r="O1735" s="1" t="s">
        <v>6643</v>
      </c>
      <c r="P1735" s="1" t="s">
        <v>3748</v>
      </c>
      <c r="Q1735" s="3">
        <v>0</v>
      </c>
      <c r="R1735" s="22" t="s">
        <v>2766</v>
      </c>
      <c r="S1735" s="22" t="s">
        <v>5099</v>
      </c>
      <c r="T1735" s="51">
        <v>33</v>
      </c>
      <c r="U1735" s="3" t="s">
        <v>6540</v>
      </c>
      <c r="V1735" s="41" t="str">
        <f>HYPERLINK("http://ictvonline.org/taxonomy/p/taxonomy-history?taxnode_id=20181900","ICTVonline=20181900")</f>
        <v>ICTVonline=20181900</v>
      </c>
    </row>
    <row r="1736" spans="1:22">
      <c r="A1736" s="3">
        <v>1735</v>
      </c>
      <c r="J1736" s="1" t="s">
        <v>1448</v>
      </c>
      <c r="K1736" s="1" t="s">
        <v>6627</v>
      </c>
      <c r="L1736" s="1" t="s">
        <v>2180</v>
      </c>
      <c r="M1736" s="1" t="s">
        <v>6639</v>
      </c>
      <c r="N1736" s="1" t="s">
        <v>2181</v>
      </c>
      <c r="O1736" s="1" t="s">
        <v>6655</v>
      </c>
      <c r="P1736" s="1" t="s">
        <v>6656</v>
      </c>
      <c r="Q1736" s="3">
        <v>0</v>
      </c>
      <c r="R1736" s="22" t="s">
        <v>2766</v>
      </c>
      <c r="S1736" s="22" t="s">
        <v>5098</v>
      </c>
      <c r="T1736" s="51">
        <v>33</v>
      </c>
      <c r="U1736" s="3" t="s">
        <v>6540</v>
      </c>
      <c r="V1736" s="41" t="str">
        <f>HYPERLINK("http://ictvonline.org/taxonomy/p/taxonomy-history?taxnode_id=20181905","ICTVonline=20181905")</f>
        <v>ICTVonline=20181905</v>
      </c>
    </row>
    <row r="1737" spans="1:22">
      <c r="A1737" s="3">
        <v>1736</v>
      </c>
      <c r="J1737" s="1" t="s">
        <v>1448</v>
      </c>
      <c r="K1737" s="1" t="s">
        <v>6627</v>
      </c>
      <c r="L1737" s="1" t="s">
        <v>2180</v>
      </c>
      <c r="M1737" s="1" t="s">
        <v>6639</v>
      </c>
      <c r="N1737" s="1" t="s">
        <v>2181</v>
      </c>
      <c r="O1737" s="1" t="s">
        <v>6663</v>
      </c>
      <c r="P1737" s="1" t="s">
        <v>2182</v>
      </c>
      <c r="Q1737" s="3">
        <v>1</v>
      </c>
      <c r="R1737" s="22" t="s">
        <v>2766</v>
      </c>
      <c r="S1737" s="22" t="s">
        <v>5099</v>
      </c>
      <c r="T1737" s="51">
        <v>33</v>
      </c>
      <c r="U1737" s="3" t="s">
        <v>6540</v>
      </c>
      <c r="V1737" s="41" t="str">
        <f>HYPERLINK("http://ictvonline.org/taxonomy/p/taxonomy-history?taxnode_id=20181898","ICTVonline=20181898")</f>
        <v>ICTVonline=20181898</v>
      </c>
    </row>
    <row r="1738" spans="1:22">
      <c r="A1738" s="3">
        <v>1737</v>
      </c>
      <c r="J1738" s="1" t="s">
        <v>1448</v>
      </c>
      <c r="K1738" s="1" t="s">
        <v>6627</v>
      </c>
      <c r="L1738" s="1" t="s">
        <v>2180</v>
      </c>
      <c r="M1738" s="1" t="s">
        <v>6639</v>
      </c>
      <c r="N1738" s="1" t="s">
        <v>2181</v>
      </c>
      <c r="O1738" s="1" t="s">
        <v>6644</v>
      </c>
      <c r="P1738" s="1" t="s">
        <v>6645</v>
      </c>
      <c r="Q1738" s="3">
        <v>0</v>
      </c>
      <c r="R1738" s="22" t="s">
        <v>2766</v>
      </c>
      <c r="S1738" s="22" t="s">
        <v>5097</v>
      </c>
      <c r="T1738" s="51">
        <v>33</v>
      </c>
      <c r="U1738" s="3" t="s">
        <v>6540</v>
      </c>
      <c r="V1738" s="41" t="str">
        <f>HYPERLINK("http://ictvonline.org/taxonomy/p/taxonomy-history?taxnode_id=20186127","ICTVonline=20186127")</f>
        <v>ICTVonline=20186127</v>
      </c>
    </row>
    <row r="1739" spans="1:22">
      <c r="A1739" s="3">
        <v>1738</v>
      </c>
      <c r="J1739" s="1" t="s">
        <v>1448</v>
      </c>
      <c r="K1739" s="1" t="s">
        <v>6649</v>
      </c>
      <c r="L1739" s="1" t="s">
        <v>6650</v>
      </c>
      <c r="M1739" s="1" t="s">
        <v>6651</v>
      </c>
      <c r="N1739" s="1" t="s">
        <v>6652</v>
      </c>
      <c r="O1739" s="1" t="s">
        <v>6653</v>
      </c>
      <c r="P1739" s="1" t="s">
        <v>6654</v>
      </c>
      <c r="Q1739" s="3">
        <v>1</v>
      </c>
      <c r="R1739" s="22" t="s">
        <v>2766</v>
      </c>
      <c r="S1739" s="22" t="s">
        <v>5097</v>
      </c>
      <c r="T1739" s="51">
        <v>33</v>
      </c>
      <c r="U1739" s="3" t="s">
        <v>6540</v>
      </c>
      <c r="V1739" s="41" t="str">
        <f>HYPERLINK("http://ictvonline.org/taxonomy/p/taxonomy-history?taxnode_id=20186206","ICTVonline=20186206")</f>
        <v>ICTVonline=20186206</v>
      </c>
    </row>
    <row r="1740" spans="1:22">
      <c r="A1740" s="3">
        <v>1739</v>
      </c>
      <c r="J1740" s="1" t="s">
        <v>1448</v>
      </c>
      <c r="K1740" s="1" t="s">
        <v>6657</v>
      </c>
      <c r="L1740" s="1" t="s">
        <v>6658</v>
      </c>
      <c r="M1740" s="1" t="s">
        <v>6659</v>
      </c>
      <c r="N1740" s="1" t="s">
        <v>6660</v>
      </c>
      <c r="O1740" s="1" t="s">
        <v>6661</v>
      </c>
      <c r="P1740" s="1" t="s">
        <v>6662</v>
      </c>
      <c r="Q1740" s="3">
        <v>1</v>
      </c>
      <c r="R1740" s="22" t="s">
        <v>2766</v>
      </c>
      <c r="S1740" s="22" t="s">
        <v>5097</v>
      </c>
      <c r="T1740" s="51">
        <v>33</v>
      </c>
      <c r="U1740" s="3" t="s">
        <v>6540</v>
      </c>
      <c r="V1740" s="41" t="str">
        <f>HYPERLINK("http://ictvonline.org/taxonomy/p/taxonomy-history?taxnode_id=20186188","ICTVonline=20186188")</f>
        <v>ICTVonline=20186188</v>
      </c>
    </row>
    <row r="1741" spans="1:22">
      <c r="A1741" s="3">
        <v>1740</v>
      </c>
      <c r="J1741" s="1" t="s">
        <v>1448</v>
      </c>
      <c r="K1741" s="1" t="s">
        <v>6657</v>
      </c>
      <c r="L1741" s="1" t="s">
        <v>6658</v>
      </c>
      <c r="M1741" s="1" t="s">
        <v>6659</v>
      </c>
      <c r="N1741" s="1" t="s">
        <v>6660</v>
      </c>
      <c r="O1741" s="1" t="s">
        <v>6664</v>
      </c>
      <c r="P1741" s="1" t="s">
        <v>6665</v>
      </c>
      <c r="Q1741" s="3">
        <v>0</v>
      </c>
      <c r="R1741" s="22" t="s">
        <v>2766</v>
      </c>
      <c r="S1741" s="22" t="s">
        <v>5097</v>
      </c>
      <c r="T1741" s="51">
        <v>33</v>
      </c>
      <c r="U1741" s="3" t="s">
        <v>6540</v>
      </c>
      <c r="V1741" s="41" t="str">
        <f>HYPERLINK("http://ictvonline.org/taxonomy/p/taxonomy-history?taxnode_id=20186190","ICTVonline=20186190")</f>
        <v>ICTVonline=20186190</v>
      </c>
    </row>
    <row r="1742" spans="1:22">
      <c r="A1742" s="3">
        <v>1741</v>
      </c>
      <c r="J1742" s="1" t="s">
        <v>1448</v>
      </c>
      <c r="K1742" s="1" t="s">
        <v>6657</v>
      </c>
      <c r="L1742" s="1" t="s">
        <v>6658</v>
      </c>
      <c r="M1742" s="1" t="s">
        <v>6666</v>
      </c>
      <c r="N1742" s="1" t="s">
        <v>6667</v>
      </c>
      <c r="O1742" s="1" t="s">
        <v>6668</v>
      </c>
      <c r="P1742" s="1" t="s">
        <v>6669</v>
      </c>
      <c r="Q1742" s="3">
        <v>1</v>
      </c>
      <c r="R1742" s="22" t="s">
        <v>2766</v>
      </c>
      <c r="S1742" s="22" t="s">
        <v>5097</v>
      </c>
      <c r="T1742" s="51">
        <v>33</v>
      </c>
      <c r="U1742" s="3" t="s">
        <v>6540</v>
      </c>
      <c r="V1742" s="41" t="str">
        <f>HYPERLINK("http://ictvonline.org/taxonomy/p/taxonomy-history?taxnode_id=20186194","ICTVonline=20186194")</f>
        <v>ICTVonline=20186194</v>
      </c>
    </row>
    <row r="1743" spans="1:22">
      <c r="A1743" s="3">
        <v>1742</v>
      </c>
      <c r="J1743" s="1" t="s">
        <v>1448</v>
      </c>
      <c r="K1743" s="1" t="s">
        <v>6657</v>
      </c>
      <c r="L1743" s="1" t="s">
        <v>1075</v>
      </c>
      <c r="M1743" s="1" t="s">
        <v>6670</v>
      </c>
      <c r="N1743" s="1" t="s">
        <v>1076</v>
      </c>
      <c r="O1743" s="1" t="s">
        <v>6671</v>
      </c>
      <c r="P1743" s="1" t="s">
        <v>1077</v>
      </c>
      <c r="Q1743" s="3">
        <v>1</v>
      </c>
      <c r="R1743" s="22" t="s">
        <v>2766</v>
      </c>
      <c r="S1743" s="22" t="s">
        <v>5099</v>
      </c>
      <c r="T1743" s="51">
        <v>33</v>
      </c>
      <c r="U1743" s="3" t="s">
        <v>6540</v>
      </c>
      <c r="V1743" s="41" t="str">
        <f>HYPERLINK("http://ictvonline.org/taxonomy/p/taxonomy-history?taxnode_id=20181909","ICTVonline=20181909")</f>
        <v>ICTVonline=20181909</v>
      </c>
    </row>
    <row r="1744" spans="1:22">
      <c r="A1744" s="3">
        <v>1743</v>
      </c>
      <c r="J1744" s="1" t="s">
        <v>1448</v>
      </c>
      <c r="K1744" s="1" t="s">
        <v>6657</v>
      </c>
      <c r="L1744" s="1" t="s">
        <v>1075</v>
      </c>
      <c r="M1744" s="1" t="s">
        <v>6670</v>
      </c>
      <c r="N1744" s="1" t="s">
        <v>1076</v>
      </c>
      <c r="O1744" s="1" t="s">
        <v>6671</v>
      </c>
      <c r="P1744" s="1" t="s">
        <v>6672</v>
      </c>
      <c r="Q1744" s="3">
        <v>0</v>
      </c>
      <c r="R1744" s="22" t="s">
        <v>2766</v>
      </c>
      <c r="S1744" s="22" t="s">
        <v>5097</v>
      </c>
      <c r="T1744" s="51">
        <v>33</v>
      </c>
      <c r="U1744" s="3" t="s">
        <v>6540</v>
      </c>
      <c r="V1744" s="41" t="str">
        <f>HYPERLINK("http://ictvonline.org/taxonomy/p/taxonomy-history?taxnode_id=20186183","ICTVonline=20186183")</f>
        <v>ICTVonline=20186183</v>
      </c>
    </row>
    <row r="1745" spans="1:22">
      <c r="A1745" s="3">
        <v>1744</v>
      </c>
      <c r="J1745" s="1" t="s">
        <v>1448</v>
      </c>
      <c r="K1745" s="1" t="s">
        <v>6673</v>
      </c>
      <c r="L1745" s="1" t="s">
        <v>6674</v>
      </c>
      <c r="M1745" s="1" t="s">
        <v>6675</v>
      </c>
      <c r="N1745" s="1" t="s">
        <v>307</v>
      </c>
      <c r="O1745" s="1" t="s">
        <v>6688</v>
      </c>
      <c r="P1745" s="1" t="s">
        <v>308</v>
      </c>
      <c r="Q1745" s="3">
        <v>1</v>
      </c>
      <c r="R1745" s="22" t="s">
        <v>2766</v>
      </c>
      <c r="S1745" s="22" t="s">
        <v>5099</v>
      </c>
      <c r="T1745" s="51">
        <v>33</v>
      </c>
      <c r="U1745" s="3" t="s">
        <v>6540</v>
      </c>
      <c r="V1745" s="41" t="str">
        <f>HYPERLINK("http://ictvonline.org/taxonomy/p/taxonomy-history?taxnode_id=20181885","ICTVonline=20181885")</f>
        <v>ICTVonline=20181885</v>
      </c>
    </row>
    <row r="1746" spans="1:22">
      <c r="A1746" s="3">
        <v>1745</v>
      </c>
      <c r="J1746" s="1" t="s">
        <v>1448</v>
      </c>
      <c r="K1746" s="1" t="s">
        <v>6673</v>
      </c>
      <c r="L1746" s="1" t="s">
        <v>6674</v>
      </c>
      <c r="M1746" s="1" t="s">
        <v>6675</v>
      </c>
      <c r="N1746" s="1" t="s">
        <v>307</v>
      </c>
      <c r="O1746" s="1" t="s">
        <v>6676</v>
      </c>
      <c r="P1746" s="1" t="s">
        <v>3745</v>
      </c>
      <c r="Q1746" s="3">
        <v>0</v>
      </c>
      <c r="R1746" s="22" t="s">
        <v>2766</v>
      </c>
      <c r="S1746" s="22" t="s">
        <v>5099</v>
      </c>
      <c r="T1746" s="51">
        <v>33</v>
      </c>
      <c r="U1746" s="3" t="s">
        <v>6540</v>
      </c>
      <c r="V1746" s="41" t="str">
        <f>HYPERLINK("http://ictvonline.org/taxonomy/p/taxonomy-history?taxnode_id=20181884","ICTVonline=20181884")</f>
        <v>ICTVonline=20181884</v>
      </c>
    </row>
    <row r="1747" spans="1:22">
      <c r="A1747" s="3">
        <v>1746</v>
      </c>
      <c r="J1747" s="1" t="s">
        <v>1448</v>
      </c>
      <c r="K1747" s="1" t="s">
        <v>6673</v>
      </c>
      <c r="L1747" s="1" t="s">
        <v>6674</v>
      </c>
      <c r="M1747" s="1" t="s">
        <v>6675</v>
      </c>
      <c r="N1747" s="1" t="s">
        <v>6677</v>
      </c>
      <c r="O1747" s="1" t="s">
        <v>6678</v>
      </c>
      <c r="P1747" s="1" t="s">
        <v>4747</v>
      </c>
      <c r="Q1747" s="3">
        <v>1</v>
      </c>
      <c r="R1747" s="22" t="s">
        <v>2766</v>
      </c>
      <c r="S1747" s="22" t="s">
        <v>5099</v>
      </c>
      <c r="T1747" s="51">
        <v>33</v>
      </c>
      <c r="U1747" s="3" t="s">
        <v>6540</v>
      </c>
      <c r="V1747" s="41" t="str">
        <f>HYPERLINK("http://ictvonline.org/taxonomy/p/taxonomy-history?taxnode_id=20181894","ICTVonline=20181894")</f>
        <v>ICTVonline=20181894</v>
      </c>
    </row>
    <row r="1748" spans="1:22">
      <c r="A1748" s="3">
        <v>1747</v>
      </c>
      <c r="J1748" s="1" t="s">
        <v>1448</v>
      </c>
      <c r="K1748" s="1" t="s">
        <v>6673</v>
      </c>
      <c r="L1748" s="1" t="s">
        <v>6674</v>
      </c>
      <c r="M1748" s="1" t="s">
        <v>6679</v>
      </c>
      <c r="N1748" s="1" t="s">
        <v>6680</v>
      </c>
      <c r="O1748" s="1" t="s">
        <v>6681</v>
      </c>
      <c r="P1748" s="1" t="s">
        <v>4746</v>
      </c>
      <c r="Q1748" s="3">
        <v>1</v>
      </c>
      <c r="R1748" s="22" t="s">
        <v>2766</v>
      </c>
      <c r="S1748" s="22" t="s">
        <v>5099</v>
      </c>
      <c r="T1748" s="51">
        <v>33</v>
      </c>
      <c r="U1748" s="3" t="s">
        <v>6540</v>
      </c>
      <c r="V1748" s="41" t="str">
        <f>HYPERLINK("http://ictvonline.org/taxonomy/p/taxonomy-history?taxnode_id=20181893","ICTVonline=20181893")</f>
        <v>ICTVonline=20181893</v>
      </c>
    </row>
    <row r="1749" spans="1:22">
      <c r="A1749" s="3">
        <v>1748</v>
      </c>
      <c r="J1749" s="1" t="s">
        <v>1448</v>
      </c>
      <c r="K1749" s="1" t="s">
        <v>6673</v>
      </c>
      <c r="L1749" s="1" t="s">
        <v>6674</v>
      </c>
      <c r="M1749" s="1" t="s">
        <v>6682</v>
      </c>
      <c r="N1749" s="1" t="s">
        <v>6683</v>
      </c>
      <c r="O1749" s="1" t="s">
        <v>6684</v>
      </c>
      <c r="P1749" s="1" t="s">
        <v>6685</v>
      </c>
      <c r="Q1749" s="3">
        <v>1</v>
      </c>
      <c r="R1749" s="22" t="s">
        <v>2766</v>
      </c>
      <c r="S1749" s="22" t="s">
        <v>5097</v>
      </c>
      <c r="T1749" s="51">
        <v>33</v>
      </c>
      <c r="U1749" s="3" t="s">
        <v>6540</v>
      </c>
      <c r="V1749" s="41" t="str">
        <f>HYPERLINK("http://ictvonline.org/taxonomy/p/taxonomy-history?taxnode_id=20186154","ICTVonline=20186154")</f>
        <v>ICTVonline=20186154</v>
      </c>
    </row>
    <row r="1750" spans="1:22">
      <c r="A1750" s="3">
        <v>1749</v>
      </c>
      <c r="J1750" s="1" t="s">
        <v>1448</v>
      </c>
      <c r="K1750" s="1" t="s">
        <v>6673</v>
      </c>
      <c r="L1750" s="1" t="s">
        <v>6674</v>
      </c>
      <c r="M1750" s="1" t="s">
        <v>6682</v>
      </c>
      <c r="N1750" s="1" t="s">
        <v>6686</v>
      </c>
      <c r="O1750" s="1" t="s">
        <v>6687</v>
      </c>
      <c r="P1750" s="1" t="s">
        <v>3746</v>
      </c>
      <c r="Q1750" s="3">
        <v>1</v>
      </c>
      <c r="R1750" s="22" t="s">
        <v>2766</v>
      </c>
      <c r="S1750" s="22" t="s">
        <v>5099</v>
      </c>
      <c r="T1750" s="51">
        <v>33</v>
      </c>
      <c r="U1750" s="3" t="s">
        <v>6540</v>
      </c>
      <c r="V1750" s="41" t="str">
        <f>HYPERLINK("http://ictvonline.org/taxonomy/p/taxonomy-history?taxnode_id=20181892","ICTVonline=20181892")</f>
        <v>ICTVonline=20181892</v>
      </c>
    </row>
    <row r="1751" spans="1:22">
      <c r="A1751" s="3">
        <v>1750</v>
      </c>
      <c r="J1751" s="1" t="s">
        <v>1448</v>
      </c>
      <c r="K1751" s="1" t="s">
        <v>6673</v>
      </c>
      <c r="L1751" s="1" t="s">
        <v>6674</v>
      </c>
      <c r="M1751" s="1" t="s">
        <v>6682</v>
      </c>
      <c r="N1751" s="1" t="s">
        <v>6689</v>
      </c>
      <c r="O1751" s="1" t="s">
        <v>6690</v>
      </c>
      <c r="P1751" s="1" t="s">
        <v>6691</v>
      </c>
      <c r="Q1751" s="3">
        <v>1</v>
      </c>
      <c r="R1751" s="22" t="s">
        <v>2766</v>
      </c>
      <c r="S1751" s="22" t="s">
        <v>5097</v>
      </c>
      <c r="T1751" s="51">
        <v>33</v>
      </c>
      <c r="U1751" s="3" t="s">
        <v>6540</v>
      </c>
      <c r="V1751" s="41" t="str">
        <f>HYPERLINK("http://ictvonline.org/taxonomy/p/taxonomy-history?taxnode_id=20186155","ICTVonline=20186155")</f>
        <v>ICTVonline=20186155</v>
      </c>
    </row>
    <row r="1752" spans="1:22">
      <c r="A1752" s="3">
        <v>1751</v>
      </c>
      <c r="J1752" s="1" t="s">
        <v>1448</v>
      </c>
      <c r="K1752" s="1" t="s">
        <v>6673</v>
      </c>
      <c r="L1752" s="1" t="s">
        <v>6674</v>
      </c>
      <c r="M1752" s="1" t="s">
        <v>6682</v>
      </c>
      <c r="N1752" s="1" t="s">
        <v>6692</v>
      </c>
      <c r="O1752" s="1" t="s">
        <v>6693</v>
      </c>
      <c r="P1752" s="1" t="s">
        <v>6694</v>
      </c>
      <c r="Q1752" s="3">
        <v>1</v>
      </c>
      <c r="R1752" s="22" t="s">
        <v>2766</v>
      </c>
      <c r="S1752" s="22" t="s">
        <v>5097</v>
      </c>
      <c r="T1752" s="51">
        <v>33</v>
      </c>
      <c r="U1752" s="3" t="s">
        <v>6540</v>
      </c>
      <c r="V1752" s="41" t="str">
        <f>HYPERLINK("http://ictvonline.org/taxonomy/p/taxonomy-history?taxnode_id=20186156","ICTVonline=20186156")</f>
        <v>ICTVonline=20186156</v>
      </c>
    </row>
    <row r="1753" spans="1:22">
      <c r="A1753" s="3">
        <v>1752</v>
      </c>
      <c r="J1753" s="1" t="s">
        <v>1448</v>
      </c>
      <c r="K1753" s="1" t="s">
        <v>6673</v>
      </c>
      <c r="L1753" s="1" t="s">
        <v>6674</v>
      </c>
      <c r="M1753" s="1" t="s">
        <v>434</v>
      </c>
      <c r="N1753" s="1" t="s">
        <v>1072</v>
      </c>
      <c r="O1753" s="1" t="s">
        <v>6695</v>
      </c>
      <c r="P1753" s="1" t="s">
        <v>1073</v>
      </c>
      <c r="Q1753" s="3">
        <v>0</v>
      </c>
      <c r="R1753" s="22" t="s">
        <v>2766</v>
      </c>
      <c r="S1753" s="22" t="s">
        <v>5099</v>
      </c>
      <c r="T1753" s="51">
        <v>33</v>
      </c>
      <c r="U1753" s="3" t="s">
        <v>6540</v>
      </c>
      <c r="V1753" s="41" t="str">
        <f>HYPERLINK("http://ictvonline.org/taxonomy/p/taxonomy-history?taxnode_id=20181887","ICTVonline=20181887")</f>
        <v>ICTVonline=20181887</v>
      </c>
    </row>
    <row r="1754" spans="1:22">
      <c r="A1754" s="3">
        <v>1753</v>
      </c>
      <c r="J1754" s="1" t="s">
        <v>1448</v>
      </c>
      <c r="K1754" s="1" t="s">
        <v>6673</v>
      </c>
      <c r="L1754" s="1" t="s">
        <v>6674</v>
      </c>
      <c r="M1754" s="1" t="s">
        <v>434</v>
      </c>
      <c r="N1754" s="1" t="s">
        <v>1072</v>
      </c>
      <c r="O1754" s="1" t="s">
        <v>6695</v>
      </c>
      <c r="P1754" s="1" t="s">
        <v>685</v>
      </c>
      <c r="Q1754" s="3">
        <v>1</v>
      </c>
      <c r="R1754" s="22" t="s">
        <v>2766</v>
      </c>
      <c r="S1754" s="22" t="s">
        <v>5099</v>
      </c>
      <c r="T1754" s="51">
        <v>33</v>
      </c>
      <c r="U1754" s="3" t="s">
        <v>6540</v>
      </c>
      <c r="V1754" s="41" t="str">
        <f>HYPERLINK("http://ictvonline.org/taxonomy/p/taxonomy-history?taxnode_id=20181888","ICTVonline=20181888")</f>
        <v>ICTVonline=20181888</v>
      </c>
    </row>
    <row r="1755" spans="1:22">
      <c r="A1755" s="3">
        <v>1754</v>
      </c>
      <c r="J1755" s="1" t="s">
        <v>1448</v>
      </c>
      <c r="K1755" s="1" t="s">
        <v>6673</v>
      </c>
      <c r="L1755" s="1" t="s">
        <v>6674</v>
      </c>
      <c r="M1755" s="1" t="s">
        <v>434</v>
      </c>
      <c r="N1755" s="1" t="s">
        <v>1072</v>
      </c>
      <c r="O1755" s="1" t="s">
        <v>6695</v>
      </c>
      <c r="P1755" s="1" t="s">
        <v>1074</v>
      </c>
      <c r="Q1755" s="3">
        <v>0</v>
      </c>
      <c r="R1755" s="22" t="s">
        <v>2766</v>
      </c>
      <c r="S1755" s="22" t="s">
        <v>5099</v>
      </c>
      <c r="T1755" s="51">
        <v>33</v>
      </c>
      <c r="U1755" s="3" t="s">
        <v>6540</v>
      </c>
      <c r="V1755" s="41" t="str">
        <f>HYPERLINK("http://ictvonline.org/taxonomy/p/taxonomy-history?taxnode_id=20181890","ICTVonline=20181890")</f>
        <v>ICTVonline=20181890</v>
      </c>
    </row>
    <row r="1756" spans="1:22">
      <c r="A1756" s="3">
        <v>1755</v>
      </c>
      <c r="J1756" s="1" t="s">
        <v>5491</v>
      </c>
      <c r="L1756" s="1" t="s">
        <v>5492</v>
      </c>
      <c r="N1756" s="1" t="s">
        <v>2028</v>
      </c>
      <c r="P1756" s="1" t="s">
        <v>2029</v>
      </c>
      <c r="Q1756" s="3">
        <v>0</v>
      </c>
      <c r="R1756" s="22" t="s">
        <v>2769</v>
      </c>
      <c r="S1756" s="22" t="s">
        <v>5097</v>
      </c>
      <c r="T1756" s="51">
        <v>32</v>
      </c>
      <c r="U1756" s="3" t="s">
        <v>5493</v>
      </c>
      <c r="V1756" s="41" t="str">
        <f>HYPERLINK("http://ictvonline.org/taxonomy/p/taxonomy-history?taxnode_id=20183847","ICTVonline=20183847")</f>
        <v>ICTVonline=20183847</v>
      </c>
    </row>
    <row r="1757" spans="1:22">
      <c r="A1757" s="3">
        <v>1756</v>
      </c>
      <c r="J1757" s="1" t="s">
        <v>5491</v>
      </c>
      <c r="L1757" s="1" t="s">
        <v>5492</v>
      </c>
      <c r="N1757" s="1" t="s">
        <v>2028</v>
      </c>
      <c r="P1757" s="1" t="s">
        <v>5494</v>
      </c>
      <c r="Q1757" s="3">
        <v>0</v>
      </c>
      <c r="R1757" s="22" t="s">
        <v>2769</v>
      </c>
      <c r="S1757" s="22" t="s">
        <v>5097</v>
      </c>
      <c r="T1757" s="51">
        <v>32</v>
      </c>
      <c r="U1757" s="3" t="s">
        <v>5493</v>
      </c>
      <c r="V1757" s="41" t="str">
        <f>HYPERLINK("http://ictvonline.org/taxonomy/p/taxonomy-history?taxnode_id=20185584","ICTVonline=20185584")</f>
        <v>ICTVonline=20185584</v>
      </c>
    </row>
    <row r="1758" spans="1:22">
      <c r="A1758" s="3">
        <v>1757</v>
      </c>
      <c r="J1758" s="1" t="s">
        <v>5491</v>
      </c>
      <c r="L1758" s="1" t="s">
        <v>5492</v>
      </c>
      <c r="N1758" s="1" t="s">
        <v>2028</v>
      </c>
      <c r="P1758" s="1" t="s">
        <v>2030</v>
      </c>
      <c r="Q1758" s="3">
        <v>1</v>
      </c>
      <c r="R1758" s="22" t="s">
        <v>2769</v>
      </c>
      <c r="S1758" s="22" t="s">
        <v>5097</v>
      </c>
      <c r="T1758" s="51">
        <v>32</v>
      </c>
      <c r="U1758" s="3" t="s">
        <v>5493</v>
      </c>
      <c r="V1758" s="41" t="str">
        <f>HYPERLINK("http://ictvonline.org/taxonomy/p/taxonomy-history?taxnode_id=20183848","ICTVonline=20183848")</f>
        <v>ICTVonline=20183848</v>
      </c>
    </row>
    <row r="1759" spans="1:22">
      <c r="A1759" s="3">
        <v>1758</v>
      </c>
      <c r="J1759" s="1" t="s">
        <v>5491</v>
      </c>
      <c r="L1759" s="1" t="s">
        <v>5492</v>
      </c>
      <c r="N1759" s="1" t="s">
        <v>2028</v>
      </c>
      <c r="P1759" s="1" t="s">
        <v>2031</v>
      </c>
      <c r="Q1759" s="3">
        <v>0</v>
      </c>
      <c r="R1759" s="22" t="s">
        <v>2769</v>
      </c>
      <c r="S1759" s="22" t="s">
        <v>5097</v>
      </c>
      <c r="T1759" s="51">
        <v>32</v>
      </c>
      <c r="U1759" s="3" t="s">
        <v>5493</v>
      </c>
      <c r="V1759" s="41" t="str">
        <f>HYPERLINK("http://ictvonline.org/taxonomy/p/taxonomy-history?taxnode_id=20183849","ICTVonline=20183849")</f>
        <v>ICTVonline=20183849</v>
      </c>
    </row>
    <row r="1760" spans="1:22">
      <c r="A1760" s="3">
        <v>1759</v>
      </c>
      <c r="J1760" s="1" t="s">
        <v>5491</v>
      </c>
      <c r="L1760" s="1" t="s">
        <v>5492</v>
      </c>
      <c r="N1760" s="1" t="s">
        <v>2028</v>
      </c>
      <c r="P1760" s="1" t="s">
        <v>1162</v>
      </c>
      <c r="Q1760" s="3">
        <v>0</v>
      </c>
      <c r="R1760" s="22" t="s">
        <v>2769</v>
      </c>
      <c r="S1760" s="22" t="s">
        <v>5097</v>
      </c>
      <c r="T1760" s="51">
        <v>32</v>
      </c>
      <c r="U1760" s="3" t="s">
        <v>5493</v>
      </c>
      <c r="V1760" s="41" t="str">
        <f>HYPERLINK("http://ictvonline.org/taxonomy/p/taxonomy-history?taxnode_id=20183850","ICTVonline=20183850")</f>
        <v>ICTVonline=20183850</v>
      </c>
    </row>
    <row r="1761" spans="1:22">
      <c r="A1761" s="3">
        <v>1760</v>
      </c>
      <c r="J1761" s="1" t="s">
        <v>5491</v>
      </c>
      <c r="L1761" s="1" t="s">
        <v>5492</v>
      </c>
      <c r="N1761" s="1" t="s">
        <v>2028</v>
      </c>
      <c r="P1761" s="1" t="s">
        <v>1163</v>
      </c>
      <c r="Q1761" s="3">
        <v>0</v>
      </c>
      <c r="R1761" s="22" t="s">
        <v>2769</v>
      </c>
      <c r="S1761" s="22" t="s">
        <v>5097</v>
      </c>
      <c r="T1761" s="51">
        <v>32</v>
      </c>
      <c r="U1761" s="3" t="s">
        <v>5493</v>
      </c>
      <c r="V1761" s="41" t="str">
        <f>HYPERLINK("http://ictvonline.org/taxonomy/p/taxonomy-history?taxnode_id=20183851","ICTVonline=20183851")</f>
        <v>ICTVonline=20183851</v>
      </c>
    </row>
    <row r="1762" spans="1:22">
      <c r="A1762" s="3">
        <v>1761</v>
      </c>
      <c r="J1762" s="1" t="s">
        <v>5491</v>
      </c>
      <c r="L1762" s="1" t="s">
        <v>5492</v>
      </c>
      <c r="N1762" s="1" t="s">
        <v>2028</v>
      </c>
      <c r="P1762" s="1" t="s">
        <v>1164</v>
      </c>
      <c r="Q1762" s="3">
        <v>0</v>
      </c>
      <c r="R1762" s="22" t="s">
        <v>2769</v>
      </c>
      <c r="S1762" s="22" t="s">
        <v>5097</v>
      </c>
      <c r="T1762" s="51">
        <v>32</v>
      </c>
      <c r="U1762" s="3" t="s">
        <v>5493</v>
      </c>
      <c r="V1762" s="41" t="str">
        <f>HYPERLINK("http://ictvonline.org/taxonomy/p/taxonomy-history?taxnode_id=20183852","ICTVonline=20183852")</f>
        <v>ICTVonline=20183852</v>
      </c>
    </row>
    <row r="1763" spans="1:22">
      <c r="A1763" s="3">
        <v>1762</v>
      </c>
      <c r="J1763" s="1" t="s">
        <v>5491</v>
      </c>
      <c r="L1763" s="1" t="s">
        <v>5492</v>
      </c>
      <c r="N1763" s="1" t="s">
        <v>2028</v>
      </c>
      <c r="P1763" s="1" t="s">
        <v>5495</v>
      </c>
      <c r="Q1763" s="3">
        <v>0</v>
      </c>
      <c r="R1763" s="22" t="s">
        <v>2769</v>
      </c>
      <c r="S1763" s="22" t="s">
        <v>5097</v>
      </c>
      <c r="T1763" s="51">
        <v>32</v>
      </c>
      <c r="U1763" s="3" t="s">
        <v>5493</v>
      </c>
      <c r="V1763" s="41" t="str">
        <f>HYPERLINK("http://ictvonline.org/taxonomy/p/taxonomy-history?taxnode_id=20185585","ICTVonline=20185585")</f>
        <v>ICTVonline=20185585</v>
      </c>
    </row>
    <row r="1764" spans="1:22">
      <c r="A1764" s="3">
        <v>1763</v>
      </c>
      <c r="J1764" s="1" t="s">
        <v>5491</v>
      </c>
      <c r="L1764" s="1" t="s">
        <v>5492</v>
      </c>
      <c r="N1764" s="1" t="s">
        <v>2028</v>
      </c>
      <c r="P1764" s="1" t="s">
        <v>1691</v>
      </c>
      <c r="Q1764" s="3">
        <v>0</v>
      </c>
      <c r="R1764" s="22" t="s">
        <v>2769</v>
      </c>
      <c r="S1764" s="22" t="s">
        <v>5097</v>
      </c>
      <c r="T1764" s="51">
        <v>32</v>
      </c>
      <c r="U1764" s="3" t="s">
        <v>5493</v>
      </c>
      <c r="V1764" s="41" t="str">
        <f>HYPERLINK("http://ictvonline.org/taxonomy/p/taxonomy-history?taxnode_id=20183853","ICTVonline=20183853")</f>
        <v>ICTVonline=20183853</v>
      </c>
    </row>
    <row r="1765" spans="1:22">
      <c r="A1765" s="3">
        <v>1764</v>
      </c>
      <c r="J1765" s="1" t="s">
        <v>5491</v>
      </c>
      <c r="L1765" s="1" t="s">
        <v>5492</v>
      </c>
      <c r="N1765" s="1" t="s">
        <v>2028</v>
      </c>
      <c r="P1765" s="1" t="s">
        <v>5496</v>
      </c>
      <c r="Q1765" s="3">
        <v>0</v>
      </c>
      <c r="R1765" s="22" t="s">
        <v>2769</v>
      </c>
      <c r="S1765" s="22" t="s">
        <v>5097</v>
      </c>
      <c r="T1765" s="51">
        <v>32</v>
      </c>
      <c r="U1765" s="3" t="s">
        <v>5493</v>
      </c>
      <c r="V1765" s="41" t="str">
        <f>HYPERLINK("http://ictvonline.org/taxonomy/p/taxonomy-history?taxnode_id=20185586","ICTVonline=20185586")</f>
        <v>ICTVonline=20185586</v>
      </c>
    </row>
    <row r="1766" spans="1:22">
      <c r="A1766" s="3">
        <v>1765</v>
      </c>
      <c r="J1766" s="1" t="s">
        <v>5491</v>
      </c>
      <c r="L1766" s="1" t="s">
        <v>5492</v>
      </c>
      <c r="N1766" s="1" t="s">
        <v>2028</v>
      </c>
      <c r="P1766" s="1" t="s">
        <v>5497</v>
      </c>
      <c r="Q1766" s="3">
        <v>0</v>
      </c>
      <c r="R1766" s="22" t="s">
        <v>2769</v>
      </c>
      <c r="S1766" s="22" t="s">
        <v>5097</v>
      </c>
      <c r="T1766" s="51">
        <v>32</v>
      </c>
      <c r="U1766" s="3" t="s">
        <v>5493</v>
      </c>
      <c r="V1766" s="41" t="str">
        <f>HYPERLINK("http://ictvonline.org/taxonomy/p/taxonomy-history?taxnode_id=20183854","ICTVonline=20183854")</f>
        <v>ICTVonline=20183854</v>
      </c>
    </row>
    <row r="1767" spans="1:22">
      <c r="A1767" s="3">
        <v>1766</v>
      </c>
      <c r="J1767" s="1" t="s">
        <v>5491</v>
      </c>
      <c r="L1767" s="1" t="s">
        <v>2025</v>
      </c>
      <c r="N1767" s="1" t="s">
        <v>2026</v>
      </c>
      <c r="P1767" s="1" t="s">
        <v>2027</v>
      </c>
      <c r="Q1767" s="3">
        <v>0</v>
      </c>
      <c r="R1767" s="22" t="s">
        <v>3864</v>
      </c>
      <c r="S1767" s="22" t="s">
        <v>5097</v>
      </c>
      <c r="T1767" s="51">
        <v>32</v>
      </c>
      <c r="U1767" s="3" t="s">
        <v>5498</v>
      </c>
      <c r="V1767" s="41" t="str">
        <f>HYPERLINK("http://ictvonline.org/taxonomy/p/taxonomy-history?taxnode_id=20182819","ICTVonline=20182819")</f>
        <v>ICTVonline=20182819</v>
      </c>
    </row>
    <row r="1768" spans="1:22">
      <c r="A1768" s="3">
        <v>1767</v>
      </c>
      <c r="J1768" s="1" t="s">
        <v>5491</v>
      </c>
      <c r="L1768" s="1" t="s">
        <v>2025</v>
      </c>
      <c r="N1768" s="1" t="s">
        <v>2026</v>
      </c>
      <c r="P1768" s="1" t="s">
        <v>2138</v>
      </c>
      <c r="Q1768" s="3">
        <v>0</v>
      </c>
      <c r="R1768" s="22" t="s">
        <v>3864</v>
      </c>
      <c r="S1768" s="22" t="s">
        <v>5097</v>
      </c>
      <c r="T1768" s="51">
        <v>32</v>
      </c>
      <c r="U1768" s="3" t="s">
        <v>5498</v>
      </c>
      <c r="V1768" s="41" t="str">
        <f>HYPERLINK("http://ictvonline.org/taxonomy/p/taxonomy-history?taxnode_id=20182820","ICTVonline=20182820")</f>
        <v>ICTVonline=20182820</v>
      </c>
    </row>
    <row r="1769" spans="1:22">
      <c r="A1769" s="3">
        <v>1768</v>
      </c>
      <c r="J1769" s="1" t="s">
        <v>5491</v>
      </c>
      <c r="L1769" s="1" t="s">
        <v>2025</v>
      </c>
      <c r="N1769" s="1" t="s">
        <v>2026</v>
      </c>
      <c r="P1769" s="1" t="s">
        <v>2689</v>
      </c>
      <c r="Q1769" s="3">
        <v>0</v>
      </c>
      <c r="R1769" s="22" t="s">
        <v>3864</v>
      </c>
      <c r="S1769" s="22" t="s">
        <v>5097</v>
      </c>
      <c r="T1769" s="51">
        <v>32</v>
      </c>
      <c r="U1769" s="3" t="s">
        <v>5498</v>
      </c>
      <c r="V1769" s="41" t="str">
        <f>HYPERLINK("http://ictvonline.org/taxonomy/p/taxonomy-history?taxnode_id=20182821","ICTVonline=20182821")</f>
        <v>ICTVonline=20182821</v>
      </c>
    </row>
    <row r="1770" spans="1:22">
      <c r="A1770" s="3">
        <v>1769</v>
      </c>
      <c r="J1770" s="1" t="s">
        <v>5491</v>
      </c>
      <c r="L1770" s="1" t="s">
        <v>2025</v>
      </c>
      <c r="N1770" s="1" t="s">
        <v>2026</v>
      </c>
      <c r="P1770" s="1" t="s">
        <v>563</v>
      </c>
      <c r="Q1770" s="3">
        <v>0</v>
      </c>
      <c r="R1770" s="22" t="s">
        <v>3864</v>
      </c>
      <c r="S1770" s="22" t="s">
        <v>5097</v>
      </c>
      <c r="T1770" s="51">
        <v>32</v>
      </c>
      <c r="U1770" s="3" t="s">
        <v>5498</v>
      </c>
      <c r="V1770" s="41" t="str">
        <f>HYPERLINK("http://ictvonline.org/taxonomy/p/taxonomy-history?taxnode_id=20182822","ICTVonline=20182822")</f>
        <v>ICTVonline=20182822</v>
      </c>
    </row>
    <row r="1771" spans="1:22">
      <c r="A1771" s="3">
        <v>1770</v>
      </c>
      <c r="J1771" s="1" t="s">
        <v>5491</v>
      </c>
      <c r="L1771" s="1" t="s">
        <v>2025</v>
      </c>
      <c r="N1771" s="1" t="s">
        <v>2026</v>
      </c>
      <c r="P1771" s="1" t="s">
        <v>2139</v>
      </c>
      <c r="Q1771" s="3">
        <v>0</v>
      </c>
      <c r="R1771" s="22" t="s">
        <v>3864</v>
      </c>
      <c r="S1771" s="22" t="s">
        <v>5097</v>
      </c>
      <c r="T1771" s="51">
        <v>32</v>
      </c>
      <c r="U1771" s="3" t="s">
        <v>5498</v>
      </c>
      <c r="V1771" s="41" t="str">
        <f>HYPERLINK("http://ictvonline.org/taxonomy/p/taxonomy-history?taxnode_id=20182823","ICTVonline=20182823")</f>
        <v>ICTVonline=20182823</v>
      </c>
    </row>
    <row r="1772" spans="1:22">
      <c r="A1772" s="3">
        <v>1771</v>
      </c>
      <c r="J1772" s="1" t="s">
        <v>5491</v>
      </c>
      <c r="L1772" s="1" t="s">
        <v>2025</v>
      </c>
      <c r="N1772" s="1" t="s">
        <v>2026</v>
      </c>
      <c r="P1772" s="1" t="s">
        <v>2690</v>
      </c>
      <c r="Q1772" s="3">
        <v>0</v>
      </c>
      <c r="R1772" s="22" t="s">
        <v>3864</v>
      </c>
      <c r="S1772" s="22" t="s">
        <v>5097</v>
      </c>
      <c r="T1772" s="51">
        <v>32</v>
      </c>
      <c r="U1772" s="3" t="s">
        <v>5498</v>
      </c>
      <c r="V1772" s="41" t="str">
        <f>HYPERLINK("http://ictvonline.org/taxonomy/p/taxonomy-history?taxnode_id=20182824","ICTVonline=20182824")</f>
        <v>ICTVonline=20182824</v>
      </c>
    </row>
    <row r="1773" spans="1:22">
      <c r="A1773" s="3">
        <v>1772</v>
      </c>
      <c r="J1773" s="1" t="s">
        <v>5491</v>
      </c>
      <c r="L1773" s="1" t="s">
        <v>2025</v>
      </c>
      <c r="N1773" s="1" t="s">
        <v>2026</v>
      </c>
      <c r="P1773" s="1" t="s">
        <v>2691</v>
      </c>
      <c r="Q1773" s="3">
        <v>0</v>
      </c>
      <c r="R1773" s="22" t="s">
        <v>3864</v>
      </c>
      <c r="S1773" s="22" t="s">
        <v>5097</v>
      </c>
      <c r="T1773" s="51">
        <v>32</v>
      </c>
      <c r="U1773" s="3" t="s">
        <v>5498</v>
      </c>
      <c r="V1773" s="41" t="str">
        <f>HYPERLINK("http://ictvonline.org/taxonomy/p/taxonomy-history?taxnode_id=20182825","ICTVonline=20182825")</f>
        <v>ICTVonline=20182825</v>
      </c>
    </row>
    <row r="1774" spans="1:22">
      <c r="A1774" s="3">
        <v>1773</v>
      </c>
      <c r="J1774" s="1" t="s">
        <v>5491</v>
      </c>
      <c r="L1774" s="1" t="s">
        <v>2025</v>
      </c>
      <c r="N1774" s="1" t="s">
        <v>2026</v>
      </c>
      <c r="P1774" s="1" t="s">
        <v>2692</v>
      </c>
      <c r="Q1774" s="3">
        <v>0</v>
      </c>
      <c r="R1774" s="22" t="s">
        <v>3864</v>
      </c>
      <c r="S1774" s="22" t="s">
        <v>5097</v>
      </c>
      <c r="T1774" s="51">
        <v>32</v>
      </c>
      <c r="U1774" s="3" t="s">
        <v>5498</v>
      </c>
      <c r="V1774" s="41" t="str">
        <f>HYPERLINK("http://ictvonline.org/taxonomy/p/taxonomy-history?taxnode_id=20182826","ICTVonline=20182826")</f>
        <v>ICTVonline=20182826</v>
      </c>
    </row>
    <row r="1775" spans="1:22">
      <c r="A1775" s="3">
        <v>1774</v>
      </c>
      <c r="J1775" s="1" t="s">
        <v>5491</v>
      </c>
      <c r="L1775" s="1" t="s">
        <v>2025</v>
      </c>
      <c r="N1775" s="1" t="s">
        <v>2026</v>
      </c>
      <c r="P1775" s="1" t="s">
        <v>2693</v>
      </c>
      <c r="Q1775" s="3">
        <v>0</v>
      </c>
      <c r="R1775" s="22" t="s">
        <v>3864</v>
      </c>
      <c r="S1775" s="22" t="s">
        <v>5097</v>
      </c>
      <c r="T1775" s="51">
        <v>32</v>
      </c>
      <c r="U1775" s="3" t="s">
        <v>5498</v>
      </c>
      <c r="V1775" s="41" t="str">
        <f>HYPERLINK("http://ictvonline.org/taxonomy/p/taxonomy-history?taxnode_id=20182827","ICTVonline=20182827")</f>
        <v>ICTVonline=20182827</v>
      </c>
    </row>
    <row r="1776" spans="1:22">
      <c r="A1776" s="3">
        <v>1775</v>
      </c>
      <c r="J1776" s="1" t="s">
        <v>5491</v>
      </c>
      <c r="L1776" s="1" t="s">
        <v>2025</v>
      </c>
      <c r="N1776" s="1" t="s">
        <v>2026</v>
      </c>
      <c r="P1776" s="1" t="s">
        <v>75</v>
      </c>
      <c r="Q1776" s="3">
        <v>0</v>
      </c>
      <c r="R1776" s="22" t="s">
        <v>3864</v>
      </c>
      <c r="S1776" s="22" t="s">
        <v>5097</v>
      </c>
      <c r="T1776" s="51">
        <v>32</v>
      </c>
      <c r="U1776" s="3" t="s">
        <v>5498</v>
      </c>
      <c r="V1776" s="41" t="str">
        <f>HYPERLINK("http://ictvonline.org/taxonomy/p/taxonomy-history?taxnode_id=20182828","ICTVonline=20182828")</f>
        <v>ICTVonline=20182828</v>
      </c>
    </row>
    <row r="1777" spans="1:22">
      <c r="A1777" s="3">
        <v>1776</v>
      </c>
      <c r="J1777" s="1" t="s">
        <v>5491</v>
      </c>
      <c r="L1777" s="1" t="s">
        <v>2025</v>
      </c>
      <c r="N1777" s="1" t="s">
        <v>2026</v>
      </c>
      <c r="P1777" s="1" t="s">
        <v>76</v>
      </c>
      <c r="Q1777" s="3">
        <v>0</v>
      </c>
      <c r="R1777" s="22" t="s">
        <v>3864</v>
      </c>
      <c r="S1777" s="22" t="s">
        <v>5097</v>
      </c>
      <c r="T1777" s="51">
        <v>32</v>
      </c>
      <c r="U1777" s="3" t="s">
        <v>5498</v>
      </c>
      <c r="V1777" s="41" t="str">
        <f>HYPERLINK("http://ictvonline.org/taxonomy/p/taxonomy-history?taxnode_id=20182829","ICTVonline=20182829")</f>
        <v>ICTVonline=20182829</v>
      </c>
    </row>
    <row r="1778" spans="1:22">
      <c r="A1778" s="3">
        <v>1777</v>
      </c>
      <c r="J1778" s="1" t="s">
        <v>5491</v>
      </c>
      <c r="L1778" s="1" t="s">
        <v>2025</v>
      </c>
      <c r="N1778" s="1" t="s">
        <v>2026</v>
      </c>
      <c r="P1778" s="1" t="s">
        <v>5499</v>
      </c>
      <c r="Q1778" s="3">
        <v>0</v>
      </c>
      <c r="R1778" s="22" t="s">
        <v>3864</v>
      </c>
      <c r="S1778" s="22" t="s">
        <v>5097</v>
      </c>
      <c r="T1778" s="51">
        <v>32</v>
      </c>
      <c r="U1778" s="3" t="s">
        <v>5500</v>
      </c>
      <c r="V1778" s="41" t="str">
        <f>HYPERLINK("http://ictvonline.org/taxonomy/p/taxonomy-history?taxnode_id=20185761","ICTVonline=20185761")</f>
        <v>ICTVonline=20185761</v>
      </c>
    </row>
    <row r="1779" spans="1:22">
      <c r="A1779" s="3">
        <v>1778</v>
      </c>
      <c r="J1779" s="1" t="s">
        <v>5491</v>
      </c>
      <c r="L1779" s="1" t="s">
        <v>2025</v>
      </c>
      <c r="N1779" s="1" t="s">
        <v>2026</v>
      </c>
      <c r="P1779" s="1" t="s">
        <v>3865</v>
      </c>
      <c r="Q1779" s="3">
        <v>0</v>
      </c>
      <c r="R1779" s="22" t="s">
        <v>3864</v>
      </c>
      <c r="S1779" s="22" t="s">
        <v>5097</v>
      </c>
      <c r="T1779" s="51">
        <v>32</v>
      </c>
      <c r="U1779" s="3" t="s">
        <v>5498</v>
      </c>
      <c r="V1779" s="41" t="str">
        <f>HYPERLINK("http://ictvonline.org/taxonomy/p/taxonomy-history?taxnode_id=20182830","ICTVonline=20182830")</f>
        <v>ICTVonline=20182830</v>
      </c>
    </row>
    <row r="1780" spans="1:22">
      <c r="A1780" s="3">
        <v>1779</v>
      </c>
      <c r="J1780" s="1" t="s">
        <v>5491</v>
      </c>
      <c r="L1780" s="1" t="s">
        <v>2025</v>
      </c>
      <c r="N1780" s="1" t="s">
        <v>2026</v>
      </c>
      <c r="P1780" s="1" t="s">
        <v>3866</v>
      </c>
      <c r="Q1780" s="3">
        <v>0</v>
      </c>
      <c r="R1780" s="22" t="s">
        <v>3864</v>
      </c>
      <c r="S1780" s="22" t="s">
        <v>5097</v>
      </c>
      <c r="T1780" s="51">
        <v>32</v>
      </c>
      <c r="U1780" s="3" t="s">
        <v>5498</v>
      </c>
      <c r="V1780" s="41" t="str">
        <f>HYPERLINK("http://ictvonline.org/taxonomy/p/taxonomy-history?taxnode_id=20182831","ICTVonline=20182831")</f>
        <v>ICTVonline=20182831</v>
      </c>
    </row>
    <row r="1781" spans="1:22">
      <c r="A1781" s="3">
        <v>1780</v>
      </c>
      <c r="J1781" s="1" t="s">
        <v>5491</v>
      </c>
      <c r="L1781" s="1" t="s">
        <v>2025</v>
      </c>
      <c r="N1781" s="1" t="s">
        <v>2026</v>
      </c>
      <c r="P1781" s="1" t="s">
        <v>2140</v>
      </c>
      <c r="Q1781" s="3">
        <v>0</v>
      </c>
      <c r="R1781" s="22" t="s">
        <v>3864</v>
      </c>
      <c r="S1781" s="22" t="s">
        <v>5097</v>
      </c>
      <c r="T1781" s="51">
        <v>32</v>
      </c>
      <c r="U1781" s="3" t="s">
        <v>5498</v>
      </c>
      <c r="V1781" s="41" t="str">
        <f>HYPERLINK("http://ictvonline.org/taxonomy/p/taxonomy-history?taxnode_id=20182832","ICTVonline=20182832")</f>
        <v>ICTVonline=20182832</v>
      </c>
    </row>
    <row r="1782" spans="1:22">
      <c r="A1782" s="3">
        <v>1781</v>
      </c>
      <c r="J1782" s="1" t="s">
        <v>5491</v>
      </c>
      <c r="L1782" s="1" t="s">
        <v>2025</v>
      </c>
      <c r="N1782" s="1" t="s">
        <v>2026</v>
      </c>
      <c r="P1782" s="1" t="s">
        <v>5501</v>
      </c>
      <c r="Q1782" s="3">
        <v>0</v>
      </c>
      <c r="R1782" s="22" t="s">
        <v>3864</v>
      </c>
      <c r="S1782" s="22" t="s">
        <v>5097</v>
      </c>
      <c r="T1782" s="51">
        <v>32</v>
      </c>
      <c r="U1782" s="3" t="s">
        <v>5500</v>
      </c>
      <c r="V1782" s="41" t="str">
        <f>HYPERLINK("http://ictvonline.org/taxonomy/p/taxonomy-history?taxnode_id=20185762","ICTVonline=20185762")</f>
        <v>ICTVonline=20185762</v>
      </c>
    </row>
    <row r="1783" spans="1:22">
      <c r="A1783" s="3">
        <v>1782</v>
      </c>
      <c r="J1783" s="1" t="s">
        <v>5491</v>
      </c>
      <c r="L1783" s="1" t="s">
        <v>2025</v>
      </c>
      <c r="N1783" s="1" t="s">
        <v>2026</v>
      </c>
      <c r="P1783" s="1" t="s">
        <v>2032</v>
      </c>
      <c r="Q1783" s="3">
        <v>0</v>
      </c>
      <c r="R1783" s="22" t="s">
        <v>3864</v>
      </c>
      <c r="S1783" s="22" t="s">
        <v>5097</v>
      </c>
      <c r="T1783" s="51">
        <v>32</v>
      </c>
      <c r="U1783" s="3" t="s">
        <v>5498</v>
      </c>
      <c r="V1783" s="41" t="str">
        <f>HYPERLINK("http://ictvonline.org/taxonomy/p/taxonomy-history?taxnode_id=20182833","ICTVonline=20182833")</f>
        <v>ICTVonline=20182833</v>
      </c>
    </row>
    <row r="1784" spans="1:22">
      <c r="A1784" s="3">
        <v>1783</v>
      </c>
      <c r="J1784" s="1" t="s">
        <v>5491</v>
      </c>
      <c r="L1784" s="1" t="s">
        <v>2025</v>
      </c>
      <c r="N1784" s="1" t="s">
        <v>2026</v>
      </c>
      <c r="P1784" s="1" t="s">
        <v>77</v>
      </c>
      <c r="Q1784" s="3">
        <v>0</v>
      </c>
      <c r="R1784" s="22" t="s">
        <v>3864</v>
      </c>
      <c r="S1784" s="22" t="s">
        <v>5097</v>
      </c>
      <c r="T1784" s="51">
        <v>32</v>
      </c>
      <c r="U1784" s="3" t="s">
        <v>5498</v>
      </c>
      <c r="V1784" s="41" t="str">
        <f>HYPERLINK("http://ictvonline.org/taxonomy/p/taxonomy-history?taxnode_id=20182834","ICTVonline=20182834")</f>
        <v>ICTVonline=20182834</v>
      </c>
    </row>
    <row r="1785" spans="1:22">
      <c r="A1785" s="3">
        <v>1784</v>
      </c>
      <c r="J1785" s="1" t="s">
        <v>5491</v>
      </c>
      <c r="L1785" s="1" t="s">
        <v>2025</v>
      </c>
      <c r="N1785" s="1" t="s">
        <v>2026</v>
      </c>
      <c r="P1785" s="1" t="s">
        <v>1951</v>
      </c>
      <c r="Q1785" s="3">
        <v>1</v>
      </c>
      <c r="R1785" s="22" t="s">
        <v>3864</v>
      </c>
      <c r="S1785" s="22" t="s">
        <v>5097</v>
      </c>
      <c r="T1785" s="51">
        <v>32</v>
      </c>
      <c r="U1785" s="3" t="s">
        <v>5498</v>
      </c>
      <c r="V1785" s="41" t="str">
        <f>HYPERLINK("http://ictvonline.org/taxonomy/p/taxonomy-history?taxnode_id=20182835","ICTVonline=20182835")</f>
        <v>ICTVonline=20182835</v>
      </c>
    </row>
    <row r="1786" spans="1:22">
      <c r="A1786" s="3">
        <v>1785</v>
      </c>
      <c r="J1786" s="1" t="s">
        <v>5491</v>
      </c>
      <c r="L1786" s="1" t="s">
        <v>2025</v>
      </c>
      <c r="N1786" s="1" t="s">
        <v>2026</v>
      </c>
      <c r="P1786" s="1" t="s">
        <v>78</v>
      </c>
      <c r="Q1786" s="3">
        <v>0</v>
      </c>
      <c r="R1786" s="22" t="s">
        <v>3864</v>
      </c>
      <c r="S1786" s="22" t="s">
        <v>5097</v>
      </c>
      <c r="T1786" s="51">
        <v>32</v>
      </c>
      <c r="U1786" s="3" t="s">
        <v>5498</v>
      </c>
      <c r="V1786" s="41" t="str">
        <f>HYPERLINK("http://ictvonline.org/taxonomy/p/taxonomy-history?taxnode_id=20182836","ICTVonline=20182836")</f>
        <v>ICTVonline=20182836</v>
      </c>
    </row>
    <row r="1787" spans="1:22">
      <c r="A1787" s="3">
        <v>1786</v>
      </c>
      <c r="J1787" s="1" t="s">
        <v>5491</v>
      </c>
      <c r="L1787" s="1" t="s">
        <v>2025</v>
      </c>
      <c r="N1787" s="1" t="s">
        <v>2026</v>
      </c>
      <c r="P1787" s="1" t="s">
        <v>5502</v>
      </c>
      <c r="Q1787" s="3">
        <v>0</v>
      </c>
      <c r="R1787" s="22" t="s">
        <v>3864</v>
      </c>
      <c r="S1787" s="22" t="s">
        <v>5097</v>
      </c>
      <c r="T1787" s="51">
        <v>32</v>
      </c>
      <c r="U1787" s="3" t="s">
        <v>5500</v>
      </c>
      <c r="V1787" s="41" t="str">
        <f>HYPERLINK("http://ictvonline.org/taxonomy/p/taxonomy-history?taxnode_id=20185763","ICTVonline=20185763")</f>
        <v>ICTVonline=20185763</v>
      </c>
    </row>
    <row r="1788" spans="1:22">
      <c r="A1788" s="3">
        <v>1787</v>
      </c>
      <c r="J1788" s="1" t="s">
        <v>5491</v>
      </c>
      <c r="L1788" s="1" t="s">
        <v>2025</v>
      </c>
      <c r="N1788" s="1" t="s">
        <v>2026</v>
      </c>
      <c r="P1788" s="1" t="s">
        <v>5503</v>
      </c>
      <c r="Q1788" s="3">
        <v>0</v>
      </c>
      <c r="R1788" s="22" t="s">
        <v>3864</v>
      </c>
      <c r="S1788" s="22" t="s">
        <v>5097</v>
      </c>
      <c r="T1788" s="51">
        <v>32</v>
      </c>
      <c r="U1788" s="3" t="s">
        <v>5500</v>
      </c>
      <c r="V1788" s="41" t="str">
        <f>HYPERLINK("http://ictvonline.org/taxonomy/p/taxonomy-history?taxnode_id=20185764","ICTVonline=20185764")</f>
        <v>ICTVonline=20185764</v>
      </c>
    </row>
    <row r="1789" spans="1:22">
      <c r="A1789" s="3">
        <v>1788</v>
      </c>
      <c r="J1789" s="1" t="s">
        <v>5491</v>
      </c>
      <c r="L1789" s="1" t="s">
        <v>2025</v>
      </c>
      <c r="N1789" s="1" t="s">
        <v>2026</v>
      </c>
      <c r="P1789" s="1" t="s">
        <v>79</v>
      </c>
      <c r="Q1789" s="3">
        <v>0</v>
      </c>
      <c r="R1789" s="22" t="s">
        <v>3864</v>
      </c>
      <c r="S1789" s="22" t="s">
        <v>5097</v>
      </c>
      <c r="T1789" s="51">
        <v>32</v>
      </c>
      <c r="U1789" s="3" t="s">
        <v>5498</v>
      </c>
      <c r="V1789" s="41" t="str">
        <f>HYPERLINK("http://ictvonline.org/taxonomy/p/taxonomy-history?taxnode_id=20182837","ICTVonline=20182837")</f>
        <v>ICTVonline=20182837</v>
      </c>
    </row>
    <row r="1790" spans="1:22">
      <c r="A1790" s="3">
        <v>1789</v>
      </c>
      <c r="J1790" s="1" t="s">
        <v>5491</v>
      </c>
      <c r="L1790" s="1" t="s">
        <v>2025</v>
      </c>
      <c r="N1790" s="1" t="s">
        <v>2026</v>
      </c>
      <c r="P1790" s="1" t="s">
        <v>5504</v>
      </c>
      <c r="Q1790" s="3">
        <v>0</v>
      </c>
      <c r="R1790" s="22" t="s">
        <v>3864</v>
      </c>
      <c r="S1790" s="22" t="s">
        <v>5097</v>
      </c>
      <c r="T1790" s="51">
        <v>32</v>
      </c>
      <c r="U1790" s="3" t="s">
        <v>5500</v>
      </c>
      <c r="V1790" s="41" t="str">
        <f>HYPERLINK("http://ictvonline.org/taxonomy/p/taxonomy-history?taxnode_id=20185765","ICTVonline=20185765")</f>
        <v>ICTVonline=20185765</v>
      </c>
    </row>
    <row r="1791" spans="1:22">
      <c r="A1791" s="3">
        <v>1790</v>
      </c>
      <c r="J1791" s="1" t="s">
        <v>5491</v>
      </c>
      <c r="L1791" s="1" t="s">
        <v>2025</v>
      </c>
      <c r="N1791" s="1" t="s">
        <v>2026</v>
      </c>
      <c r="P1791" s="1" t="s">
        <v>2694</v>
      </c>
      <c r="Q1791" s="3">
        <v>0</v>
      </c>
      <c r="R1791" s="22" t="s">
        <v>3864</v>
      </c>
      <c r="S1791" s="22" t="s">
        <v>5097</v>
      </c>
      <c r="T1791" s="51">
        <v>32</v>
      </c>
      <c r="U1791" s="3" t="s">
        <v>5498</v>
      </c>
      <c r="V1791" s="41" t="str">
        <f>HYPERLINK("http://ictvonline.org/taxonomy/p/taxonomy-history?taxnode_id=20182838","ICTVonline=20182838")</f>
        <v>ICTVonline=20182838</v>
      </c>
    </row>
    <row r="1792" spans="1:22">
      <c r="A1792" s="3">
        <v>1791</v>
      </c>
      <c r="J1792" s="1" t="s">
        <v>5491</v>
      </c>
      <c r="L1792" s="1" t="s">
        <v>2025</v>
      </c>
      <c r="N1792" s="1" t="s">
        <v>2026</v>
      </c>
      <c r="P1792" s="1" t="s">
        <v>1165</v>
      </c>
      <c r="Q1792" s="3">
        <v>0</v>
      </c>
      <c r="R1792" s="22" t="s">
        <v>3864</v>
      </c>
      <c r="S1792" s="22" t="s">
        <v>5097</v>
      </c>
      <c r="T1792" s="51">
        <v>32</v>
      </c>
      <c r="U1792" s="3" t="s">
        <v>5498</v>
      </c>
      <c r="V1792" s="41" t="str">
        <f>HYPERLINK("http://ictvonline.org/taxonomy/p/taxonomy-history?taxnode_id=20182839","ICTVonline=20182839")</f>
        <v>ICTVonline=20182839</v>
      </c>
    </row>
    <row r="1793" spans="1:22">
      <c r="A1793" s="3">
        <v>1792</v>
      </c>
      <c r="J1793" s="1" t="s">
        <v>5491</v>
      </c>
      <c r="L1793" s="1" t="s">
        <v>2025</v>
      </c>
      <c r="N1793" s="1" t="s">
        <v>2026</v>
      </c>
      <c r="P1793" s="1" t="s">
        <v>3867</v>
      </c>
      <c r="Q1793" s="3">
        <v>0</v>
      </c>
      <c r="R1793" s="22" t="s">
        <v>3864</v>
      </c>
      <c r="S1793" s="22" t="s">
        <v>5097</v>
      </c>
      <c r="T1793" s="51">
        <v>32</v>
      </c>
      <c r="U1793" s="3" t="s">
        <v>5498</v>
      </c>
      <c r="V1793" s="41" t="str">
        <f>HYPERLINK("http://ictvonline.org/taxonomy/p/taxonomy-history?taxnode_id=20182840","ICTVonline=20182840")</f>
        <v>ICTVonline=20182840</v>
      </c>
    </row>
    <row r="1794" spans="1:22">
      <c r="A1794" s="3">
        <v>1793</v>
      </c>
      <c r="J1794" s="1" t="s">
        <v>5491</v>
      </c>
      <c r="L1794" s="1" t="s">
        <v>2025</v>
      </c>
      <c r="N1794" s="1" t="s">
        <v>2026</v>
      </c>
      <c r="P1794" s="1" t="s">
        <v>80</v>
      </c>
      <c r="Q1794" s="3">
        <v>0</v>
      </c>
      <c r="R1794" s="22" t="s">
        <v>3864</v>
      </c>
      <c r="S1794" s="22" t="s">
        <v>5097</v>
      </c>
      <c r="T1794" s="51">
        <v>32</v>
      </c>
      <c r="U1794" s="3" t="s">
        <v>5498</v>
      </c>
      <c r="V1794" s="41" t="str">
        <f>HYPERLINK("http://ictvonline.org/taxonomy/p/taxonomy-history?taxnode_id=20182841","ICTVonline=20182841")</f>
        <v>ICTVonline=20182841</v>
      </c>
    </row>
    <row r="1795" spans="1:22">
      <c r="A1795" s="3">
        <v>1794</v>
      </c>
      <c r="J1795" s="1" t="s">
        <v>5491</v>
      </c>
      <c r="L1795" s="1" t="s">
        <v>2025</v>
      </c>
      <c r="N1795" s="1" t="s">
        <v>2026</v>
      </c>
      <c r="P1795" s="1" t="s">
        <v>5505</v>
      </c>
      <c r="Q1795" s="3">
        <v>0</v>
      </c>
      <c r="R1795" s="22" t="s">
        <v>3864</v>
      </c>
      <c r="S1795" s="22" t="s">
        <v>5097</v>
      </c>
      <c r="T1795" s="51">
        <v>32</v>
      </c>
      <c r="U1795" s="3" t="s">
        <v>5498</v>
      </c>
      <c r="V1795" s="41" t="str">
        <f>HYPERLINK("http://ictvonline.org/taxonomy/p/taxonomy-history?taxnode_id=20182842","ICTVonline=20182842")</f>
        <v>ICTVonline=20182842</v>
      </c>
    </row>
    <row r="1796" spans="1:22">
      <c r="A1796" s="3">
        <v>1795</v>
      </c>
      <c r="J1796" s="1" t="s">
        <v>5491</v>
      </c>
      <c r="L1796" s="1" t="s">
        <v>2025</v>
      </c>
      <c r="N1796" s="1" t="s">
        <v>2026</v>
      </c>
      <c r="P1796" s="1" t="s">
        <v>4810</v>
      </c>
      <c r="Q1796" s="3">
        <v>0</v>
      </c>
      <c r="R1796" s="22" t="s">
        <v>3864</v>
      </c>
      <c r="S1796" s="22" t="s">
        <v>5097</v>
      </c>
      <c r="T1796" s="51">
        <v>32</v>
      </c>
      <c r="U1796" s="3" t="s">
        <v>5498</v>
      </c>
      <c r="V1796" s="41" t="str">
        <f>HYPERLINK("http://ictvonline.org/taxonomy/p/taxonomy-history?taxnode_id=20182843","ICTVonline=20182843")</f>
        <v>ICTVonline=20182843</v>
      </c>
    </row>
    <row r="1797" spans="1:22">
      <c r="A1797" s="3">
        <v>1796</v>
      </c>
      <c r="J1797" s="1" t="s">
        <v>5491</v>
      </c>
      <c r="L1797" s="1" t="s">
        <v>2025</v>
      </c>
      <c r="N1797" s="1" t="s">
        <v>2026</v>
      </c>
      <c r="P1797" s="1" t="s">
        <v>2695</v>
      </c>
      <c r="Q1797" s="3">
        <v>0</v>
      </c>
      <c r="R1797" s="22" t="s">
        <v>3864</v>
      </c>
      <c r="S1797" s="22" t="s">
        <v>5097</v>
      </c>
      <c r="T1797" s="51">
        <v>32</v>
      </c>
      <c r="U1797" s="3" t="s">
        <v>5498</v>
      </c>
      <c r="V1797" s="41" t="str">
        <f>HYPERLINK("http://ictvonline.org/taxonomy/p/taxonomy-history?taxnode_id=20182844","ICTVonline=20182844")</f>
        <v>ICTVonline=20182844</v>
      </c>
    </row>
    <row r="1798" spans="1:22">
      <c r="A1798" s="3">
        <v>1797</v>
      </c>
      <c r="J1798" s="1" t="s">
        <v>5491</v>
      </c>
      <c r="L1798" s="1" t="s">
        <v>2025</v>
      </c>
      <c r="N1798" s="1" t="s">
        <v>2026</v>
      </c>
      <c r="P1798" s="1" t="s">
        <v>81</v>
      </c>
      <c r="Q1798" s="3">
        <v>0</v>
      </c>
      <c r="R1798" s="22" t="s">
        <v>3864</v>
      </c>
      <c r="S1798" s="22" t="s">
        <v>5097</v>
      </c>
      <c r="T1798" s="51">
        <v>32</v>
      </c>
      <c r="U1798" s="3" t="s">
        <v>5498</v>
      </c>
      <c r="V1798" s="41" t="str">
        <f>HYPERLINK("http://ictvonline.org/taxonomy/p/taxonomy-history?taxnode_id=20182845","ICTVonline=20182845")</f>
        <v>ICTVonline=20182845</v>
      </c>
    </row>
    <row r="1799" spans="1:22">
      <c r="A1799" s="3">
        <v>1798</v>
      </c>
      <c r="J1799" s="1" t="s">
        <v>5491</v>
      </c>
      <c r="L1799" s="1" t="s">
        <v>2025</v>
      </c>
      <c r="N1799" s="1" t="s">
        <v>2026</v>
      </c>
      <c r="P1799" s="1" t="s">
        <v>82</v>
      </c>
      <c r="Q1799" s="3">
        <v>0</v>
      </c>
      <c r="R1799" s="22" t="s">
        <v>3864</v>
      </c>
      <c r="S1799" s="22" t="s">
        <v>5097</v>
      </c>
      <c r="T1799" s="51">
        <v>32</v>
      </c>
      <c r="U1799" s="3" t="s">
        <v>5498</v>
      </c>
      <c r="V1799" s="41" t="str">
        <f>HYPERLINK("http://ictvonline.org/taxonomy/p/taxonomy-history?taxnode_id=20182846","ICTVonline=20182846")</f>
        <v>ICTVonline=20182846</v>
      </c>
    </row>
    <row r="1800" spans="1:22">
      <c r="A1800" s="3">
        <v>1799</v>
      </c>
      <c r="J1800" s="1" t="s">
        <v>5491</v>
      </c>
      <c r="L1800" s="1" t="s">
        <v>2025</v>
      </c>
      <c r="N1800" s="1" t="s">
        <v>2026</v>
      </c>
      <c r="P1800" s="1" t="s">
        <v>2037</v>
      </c>
      <c r="Q1800" s="3">
        <v>0</v>
      </c>
      <c r="R1800" s="22" t="s">
        <v>3864</v>
      </c>
      <c r="S1800" s="22" t="s">
        <v>5097</v>
      </c>
      <c r="T1800" s="51">
        <v>32</v>
      </c>
      <c r="U1800" s="3" t="s">
        <v>5498</v>
      </c>
      <c r="V1800" s="41" t="str">
        <f>HYPERLINK("http://ictvonline.org/taxonomy/p/taxonomy-history?taxnode_id=20182847","ICTVonline=20182847")</f>
        <v>ICTVonline=20182847</v>
      </c>
    </row>
    <row r="1801" spans="1:22">
      <c r="A1801" s="3">
        <v>1800</v>
      </c>
      <c r="J1801" s="1" t="s">
        <v>5491</v>
      </c>
      <c r="L1801" s="1" t="s">
        <v>2025</v>
      </c>
      <c r="N1801" s="1" t="s">
        <v>2026</v>
      </c>
      <c r="P1801" s="1" t="s">
        <v>2038</v>
      </c>
      <c r="Q1801" s="3">
        <v>0</v>
      </c>
      <c r="R1801" s="22" t="s">
        <v>3864</v>
      </c>
      <c r="S1801" s="22" t="s">
        <v>5097</v>
      </c>
      <c r="T1801" s="51">
        <v>32</v>
      </c>
      <c r="U1801" s="3" t="s">
        <v>5498</v>
      </c>
      <c r="V1801" s="41" t="str">
        <f>HYPERLINK("http://ictvonline.org/taxonomy/p/taxonomy-history?taxnode_id=20182848","ICTVonline=20182848")</f>
        <v>ICTVonline=20182848</v>
      </c>
    </row>
    <row r="1802" spans="1:22">
      <c r="A1802" s="3">
        <v>1801</v>
      </c>
      <c r="J1802" s="1" t="s">
        <v>5491</v>
      </c>
      <c r="L1802" s="1" t="s">
        <v>2025</v>
      </c>
      <c r="N1802" s="1" t="s">
        <v>2026</v>
      </c>
      <c r="P1802" s="1" t="s">
        <v>2039</v>
      </c>
      <c r="Q1802" s="3">
        <v>0</v>
      </c>
      <c r="R1802" s="22" t="s">
        <v>3864</v>
      </c>
      <c r="S1802" s="22" t="s">
        <v>5097</v>
      </c>
      <c r="T1802" s="51">
        <v>32</v>
      </c>
      <c r="U1802" s="3" t="s">
        <v>5498</v>
      </c>
      <c r="V1802" s="41" t="str">
        <f>HYPERLINK("http://ictvonline.org/taxonomy/p/taxonomy-history?taxnode_id=20182849","ICTVonline=20182849")</f>
        <v>ICTVonline=20182849</v>
      </c>
    </row>
    <row r="1803" spans="1:22">
      <c r="A1803" s="3">
        <v>1802</v>
      </c>
      <c r="J1803" s="1" t="s">
        <v>5491</v>
      </c>
      <c r="L1803" s="1" t="s">
        <v>2025</v>
      </c>
      <c r="N1803" s="1" t="s">
        <v>2026</v>
      </c>
      <c r="P1803" s="1" t="s">
        <v>2775</v>
      </c>
      <c r="Q1803" s="3">
        <v>0</v>
      </c>
      <c r="R1803" s="22" t="s">
        <v>3864</v>
      </c>
      <c r="S1803" s="22" t="s">
        <v>5097</v>
      </c>
      <c r="T1803" s="51">
        <v>32</v>
      </c>
      <c r="U1803" s="3" t="s">
        <v>5498</v>
      </c>
      <c r="V1803" s="41" t="str">
        <f>HYPERLINK("http://ictvonline.org/taxonomy/p/taxonomy-history?taxnode_id=20182850","ICTVonline=20182850")</f>
        <v>ICTVonline=20182850</v>
      </c>
    </row>
    <row r="1804" spans="1:22">
      <c r="A1804" s="3">
        <v>1803</v>
      </c>
      <c r="J1804" s="1" t="s">
        <v>5491</v>
      </c>
      <c r="L1804" s="1" t="s">
        <v>2025</v>
      </c>
      <c r="N1804" s="1" t="s">
        <v>2026</v>
      </c>
      <c r="P1804" s="1" t="s">
        <v>3868</v>
      </c>
      <c r="Q1804" s="3">
        <v>0</v>
      </c>
      <c r="R1804" s="22" t="s">
        <v>3864</v>
      </c>
      <c r="S1804" s="22" t="s">
        <v>5097</v>
      </c>
      <c r="T1804" s="51">
        <v>32</v>
      </c>
      <c r="U1804" s="3" t="s">
        <v>5498</v>
      </c>
      <c r="V1804" s="41" t="str">
        <f>HYPERLINK("http://ictvonline.org/taxonomy/p/taxonomy-history?taxnode_id=20182851","ICTVonline=20182851")</f>
        <v>ICTVonline=20182851</v>
      </c>
    </row>
    <row r="1805" spans="1:22">
      <c r="A1805" s="3">
        <v>1804</v>
      </c>
      <c r="J1805" s="1" t="s">
        <v>5491</v>
      </c>
      <c r="L1805" s="1" t="s">
        <v>2025</v>
      </c>
      <c r="N1805" s="1" t="s">
        <v>2026</v>
      </c>
      <c r="P1805" s="1" t="s">
        <v>3869</v>
      </c>
      <c r="Q1805" s="3">
        <v>0</v>
      </c>
      <c r="R1805" s="22" t="s">
        <v>3864</v>
      </c>
      <c r="S1805" s="22" t="s">
        <v>5097</v>
      </c>
      <c r="T1805" s="51">
        <v>32</v>
      </c>
      <c r="U1805" s="3" t="s">
        <v>5498</v>
      </c>
      <c r="V1805" s="41" t="str">
        <f>HYPERLINK("http://ictvonline.org/taxonomy/p/taxonomy-history?taxnode_id=20182852","ICTVonline=20182852")</f>
        <v>ICTVonline=20182852</v>
      </c>
    </row>
    <row r="1806" spans="1:22">
      <c r="A1806" s="3">
        <v>1805</v>
      </c>
      <c r="J1806" s="1" t="s">
        <v>5491</v>
      </c>
      <c r="L1806" s="1" t="s">
        <v>2025</v>
      </c>
      <c r="N1806" s="1" t="s">
        <v>2026</v>
      </c>
      <c r="P1806" s="1" t="s">
        <v>2034</v>
      </c>
      <c r="Q1806" s="3">
        <v>0</v>
      </c>
      <c r="R1806" s="22" t="s">
        <v>3864</v>
      </c>
      <c r="S1806" s="22" t="s">
        <v>5097</v>
      </c>
      <c r="T1806" s="51">
        <v>32</v>
      </c>
      <c r="U1806" s="3" t="s">
        <v>5498</v>
      </c>
      <c r="V1806" s="41" t="str">
        <f>HYPERLINK("http://ictvonline.org/taxonomy/p/taxonomy-history?taxnode_id=20182853","ICTVonline=20182853")</f>
        <v>ICTVonline=20182853</v>
      </c>
    </row>
    <row r="1807" spans="1:22">
      <c r="A1807" s="3">
        <v>1806</v>
      </c>
      <c r="J1807" s="1" t="s">
        <v>5491</v>
      </c>
      <c r="L1807" s="1" t="s">
        <v>2025</v>
      </c>
      <c r="N1807" s="1" t="s">
        <v>2026</v>
      </c>
      <c r="P1807" s="1" t="s">
        <v>83</v>
      </c>
      <c r="Q1807" s="3">
        <v>0</v>
      </c>
      <c r="R1807" s="22" t="s">
        <v>3864</v>
      </c>
      <c r="S1807" s="22" t="s">
        <v>5097</v>
      </c>
      <c r="T1807" s="51">
        <v>32</v>
      </c>
      <c r="U1807" s="3" t="s">
        <v>5498</v>
      </c>
      <c r="V1807" s="41" t="str">
        <f>HYPERLINK("http://ictvonline.org/taxonomy/p/taxonomy-history?taxnode_id=20182854","ICTVonline=20182854")</f>
        <v>ICTVonline=20182854</v>
      </c>
    </row>
    <row r="1808" spans="1:22">
      <c r="A1808" s="3">
        <v>1807</v>
      </c>
      <c r="J1808" s="1" t="s">
        <v>5491</v>
      </c>
      <c r="L1808" s="1" t="s">
        <v>2025</v>
      </c>
      <c r="N1808" s="1" t="s">
        <v>2026</v>
      </c>
      <c r="P1808" s="1" t="s">
        <v>84</v>
      </c>
      <c r="Q1808" s="3">
        <v>0</v>
      </c>
      <c r="R1808" s="22" t="s">
        <v>3864</v>
      </c>
      <c r="S1808" s="22" t="s">
        <v>5097</v>
      </c>
      <c r="T1808" s="51">
        <v>32</v>
      </c>
      <c r="U1808" s="3" t="s">
        <v>5498</v>
      </c>
      <c r="V1808" s="41" t="str">
        <f>HYPERLINK("http://ictvonline.org/taxonomy/p/taxonomy-history?taxnode_id=20182855","ICTVonline=20182855")</f>
        <v>ICTVonline=20182855</v>
      </c>
    </row>
    <row r="1809" spans="1:22">
      <c r="A1809" s="3">
        <v>1808</v>
      </c>
      <c r="J1809" s="1" t="s">
        <v>5491</v>
      </c>
      <c r="L1809" s="1" t="s">
        <v>2025</v>
      </c>
      <c r="N1809" s="1" t="s">
        <v>2026</v>
      </c>
      <c r="P1809" s="1" t="s">
        <v>4811</v>
      </c>
      <c r="Q1809" s="3">
        <v>0</v>
      </c>
      <c r="R1809" s="22" t="s">
        <v>3864</v>
      </c>
      <c r="S1809" s="22" t="s">
        <v>5097</v>
      </c>
      <c r="T1809" s="51">
        <v>32</v>
      </c>
      <c r="U1809" s="3" t="s">
        <v>5498</v>
      </c>
      <c r="V1809" s="41" t="str">
        <f>HYPERLINK("http://ictvonline.org/taxonomy/p/taxonomy-history?taxnode_id=20182856","ICTVonline=20182856")</f>
        <v>ICTVonline=20182856</v>
      </c>
    </row>
    <row r="1810" spans="1:22">
      <c r="A1810" s="3">
        <v>1809</v>
      </c>
      <c r="J1810" s="1" t="s">
        <v>5491</v>
      </c>
      <c r="L1810" s="1" t="s">
        <v>2025</v>
      </c>
      <c r="N1810" s="1" t="s">
        <v>2026</v>
      </c>
      <c r="P1810" s="1" t="s">
        <v>2035</v>
      </c>
      <c r="Q1810" s="3">
        <v>0</v>
      </c>
      <c r="R1810" s="22" t="s">
        <v>3864</v>
      </c>
      <c r="S1810" s="22" t="s">
        <v>5097</v>
      </c>
      <c r="T1810" s="51">
        <v>32</v>
      </c>
      <c r="U1810" s="3" t="s">
        <v>5498</v>
      </c>
      <c r="V1810" s="41" t="str">
        <f>HYPERLINK("http://ictvonline.org/taxonomy/p/taxonomy-history?taxnode_id=20182857","ICTVonline=20182857")</f>
        <v>ICTVonline=20182857</v>
      </c>
    </row>
    <row r="1811" spans="1:22">
      <c r="A1811" s="3">
        <v>1810</v>
      </c>
      <c r="J1811" s="1" t="s">
        <v>5491</v>
      </c>
      <c r="L1811" s="1" t="s">
        <v>2025</v>
      </c>
      <c r="N1811" s="1" t="s">
        <v>2026</v>
      </c>
      <c r="P1811" s="1" t="s">
        <v>5506</v>
      </c>
      <c r="Q1811" s="3">
        <v>0</v>
      </c>
      <c r="R1811" s="22" t="s">
        <v>3864</v>
      </c>
      <c r="S1811" s="22" t="s">
        <v>5097</v>
      </c>
      <c r="T1811" s="51">
        <v>32</v>
      </c>
      <c r="U1811" s="3" t="s">
        <v>5500</v>
      </c>
      <c r="V1811" s="41" t="str">
        <f>HYPERLINK("http://ictvonline.org/taxonomy/p/taxonomy-history?taxnode_id=20185766","ICTVonline=20185766")</f>
        <v>ICTVonline=20185766</v>
      </c>
    </row>
    <row r="1812" spans="1:22">
      <c r="A1812" s="3">
        <v>1811</v>
      </c>
      <c r="J1812" s="1" t="s">
        <v>5491</v>
      </c>
      <c r="L1812" s="1" t="s">
        <v>2025</v>
      </c>
      <c r="N1812" s="1" t="s">
        <v>2026</v>
      </c>
      <c r="P1812" s="1" t="s">
        <v>4812</v>
      </c>
      <c r="Q1812" s="3">
        <v>0</v>
      </c>
      <c r="R1812" s="22" t="s">
        <v>3864</v>
      </c>
      <c r="S1812" s="22" t="s">
        <v>5097</v>
      </c>
      <c r="T1812" s="51">
        <v>32</v>
      </c>
      <c r="U1812" s="3" t="s">
        <v>5498</v>
      </c>
      <c r="V1812" s="41" t="str">
        <f>HYPERLINK("http://ictvonline.org/taxonomy/p/taxonomy-history?taxnode_id=20182858","ICTVonline=20182858")</f>
        <v>ICTVonline=20182858</v>
      </c>
    </row>
    <row r="1813" spans="1:22">
      <c r="A1813" s="3">
        <v>1812</v>
      </c>
      <c r="J1813" s="1" t="s">
        <v>5491</v>
      </c>
      <c r="L1813" s="1" t="s">
        <v>2025</v>
      </c>
      <c r="N1813" s="1" t="s">
        <v>2144</v>
      </c>
      <c r="P1813" s="1" t="s">
        <v>4813</v>
      </c>
      <c r="Q1813" s="3">
        <v>0</v>
      </c>
      <c r="R1813" s="22" t="s">
        <v>3864</v>
      </c>
      <c r="S1813" s="22" t="s">
        <v>5097</v>
      </c>
      <c r="T1813" s="51">
        <v>32</v>
      </c>
      <c r="U1813" s="3" t="s">
        <v>5498</v>
      </c>
      <c r="V1813" s="41" t="str">
        <f>HYPERLINK("http://ictvonline.org/taxonomy/p/taxonomy-history?taxnode_id=20182860","ICTVonline=20182860")</f>
        <v>ICTVonline=20182860</v>
      </c>
    </row>
    <row r="1814" spans="1:22">
      <c r="A1814" s="3">
        <v>1813</v>
      </c>
      <c r="J1814" s="1" t="s">
        <v>5491</v>
      </c>
      <c r="L1814" s="1" t="s">
        <v>2025</v>
      </c>
      <c r="N1814" s="1" t="s">
        <v>2144</v>
      </c>
      <c r="P1814" s="1" t="s">
        <v>1952</v>
      </c>
      <c r="Q1814" s="3">
        <v>0</v>
      </c>
      <c r="R1814" s="22" t="s">
        <v>3864</v>
      </c>
      <c r="S1814" s="22" t="s">
        <v>5097</v>
      </c>
      <c r="T1814" s="51">
        <v>32</v>
      </c>
      <c r="U1814" s="3" t="s">
        <v>5498</v>
      </c>
      <c r="V1814" s="41" t="str">
        <f>HYPERLINK("http://ictvonline.org/taxonomy/p/taxonomy-history?taxnode_id=20182861","ICTVonline=20182861")</f>
        <v>ICTVonline=20182861</v>
      </c>
    </row>
    <row r="1815" spans="1:22">
      <c r="A1815" s="3">
        <v>1814</v>
      </c>
      <c r="J1815" s="1" t="s">
        <v>5491</v>
      </c>
      <c r="L1815" s="1" t="s">
        <v>2025</v>
      </c>
      <c r="N1815" s="1" t="s">
        <v>2144</v>
      </c>
      <c r="P1815" s="1" t="s">
        <v>1953</v>
      </c>
      <c r="Q1815" s="3">
        <v>1</v>
      </c>
      <c r="R1815" s="22" t="s">
        <v>3864</v>
      </c>
      <c r="S1815" s="22" t="s">
        <v>5097</v>
      </c>
      <c r="T1815" s="51">
        <v>32</v>
      </c>
      <c r="U1815" s="3" t="s">
        <v>5498</v>
      </c>
      <c r="V1815" s="41" t="str">
        <f>HYPERLINK("http://ictvonline.org/taxonomy/p/taxonomy-history?taxnode_id=20182862","ICTVonline=20182862")</f>
        <v>ICTVonline=20182862</v>
      </c>
    </row>
    <row r="1816" spans="1:22">
      <c r="A1816" s="3">
        <v>1815</v>
      </c>
      <c r="J1816" s="1" t="s">
        <v>5491</v>
      </c>
      <c r="L1816" s="1" t="s">
        <v>2025</v>
      </c>
      <c r="N1816" s="1" t="s">
        <v>2144</v>
      </c>
      <c r="P1816" s="1" t="s">
        <v>2048</v>
      </c>
      <c r="Q1816" s="3">
        <v>0</v>
      </c>
      <c r="R1816" s="22" t="s">
        <v>3864</v>
      </c>
      <c r="S1816" s="22" t="s">
        <v>5097</v>
      </c>
      <c r="T1816" s="51">
        <v>32</v>
      </c>
      <c r="U1816" s="3" t="s">
        <v>5498</v>
      </c>
      <c r="V1816" s="41" t="str">
        <f>HYPERLINK("http://ictvonline.org/taxonomy/p/taxonomy-history?taxnode_id=20182863","ICTVonline=20182863")</f>
        <v>ICTVonline=20182863</v>
      </c>
    </row>
    <row r="1817" spans="1:22">
      <c r="A1817" s="3">
        <v>1816</v>
      </c>
      <c r="J1817" s="1" t="s">
        <v>5491</v>
      </c>
      <c r="L1817" s="1" t="s">
        <v>2025</v>
      </c>
      <c r="N1817" s="1" t="s">
        <v>2144</v>
      </c>
      <c r="P1817" s="1" t="s">
        <v>1786</v>
      </c>
      <c r="Q1817" s="3">
        <v>0</v>
      </c>
      <c r="R1817" s="22" t="s">
        <v>3864</v>
      </c>
      <c r="S1817" s="22" t="s">
        <v>5097</v>
      </c>
      <c r="T1817" s="51">
        <v>32</v>
      </c>
      <c r="U1817" s="3" t="s">
        <v>5498</v>
      </c>
      <c r="V1817" s="41" t="str">
        <f>HYPERLINK("http://ictvonline.org/taxonomy/p/taxonomy-history?taxnode_id=20182864","ICTVonline=20182864")</f>
        <v>ICTVonline=20182864</v>
      </c>
    </row>
    <row r="1818" spans="1:22">
      <c r="A1818" s="3">
        <v>1817</v>
      </c>
      <c r="J1818" s="1" t="s">
        <v>5491</v>
      </c>
      <c r="L1818" s="1" t="s">
        <v>2025</v>
      </c>
      <c r="N1818" s="1" t="s">
        <v>2144</v>
      </c>
      <c r="P1818" s="1" t="s">
        <v>1787</v>
      </c>
      <c r="Q1818" s="3">
        <v>0</v>
      </c>
      <c r="R1818" s="22" t="s">
        <v>3864</v>
      </c>
      <c r="S1818" s="22" t="s">
        <v>5097</v>
      </c>
      <c r="T1818" s="51">
        <v>32</v>
      </c>
      <c r="U1818" s="3" t="s">
        <v>5498</v>
      </c>
      <c r="V1818" s="41" t="str">
        <f>HYPERLINK("http://ictvonline.org/taxonomy/p/taxonomy-history?taxnode_id=20182865","ICTVonline=20182865")</f>
        <v>ICTVonline=20182865</v>
      </c>
    </row>
    <row r="1819" spans="1:22">
      <c r="A1819" s="3">
        <v>1818</v>
      </c>
      <c r="J1819" s="1" t="s">
        <v>5491</v>
      </c>
      <c r="L1819" s="1" t="s">
        <v>2025</v>
      </c>
      <c r="N1819" s="1" t="s">
        <v>2144</v>
      </c>
      <c r="P1819" s="1" t="s">
        <v>85</v>
      </c>
      <c r="Q1819" s="3">
        <v>0</v>
      </c>
      <c r="R1819" s="22" t="s">
        <v>3864</v>
      </c>
      <c r="S1819" s="22" t="s">
        <v>5097</v>
      </c>
      <c r="T1819" s="51">
        <v>32</v>
      </c>
      <c r="U1819" s="3" t="s">
        <v>5498</v>
      </c>
      <c r="V1819" s="41" t="str">
        <f>HYPERLINK("http://ictvonline.org/taxonomy/p/taxonomy-history?taxnode_id=20182866","ICTVonline=20182866")</f>
        <v>ICTVonline=20182866</v>
      </c>
    </row>
    <row r="1820" spans="1:22">
      <c r="A1820" s="3">
        <v>1819</v>
      </c>
      <c r="J1820" s="1" t="s">
        <v>5491</v>
      </c>
      <c r="L1820" s="1" t="s">
        <v>2025</v>
      </c>
      <c r="N1820" s="1" t="s">
        <v>2144</v>
      </c>
      <c r="P1820" s="1" t="s">
        <v>741</v>
      </c>
      <c r="Q1820" s="3">
        <v>0</v>
      </c>
      <c r="R1820" s="22" t="s">
        <v>3864</v>
      </c>
      <c r="S1820" s="22" t="s">
        <v>5097</v>
      </c>
      <c r="T1820" s="51">
        <v>32</v>
      </c>
      <c r="U1820" s="3" t="s">
        <v>5498</v>
      </c>
      <c r="V1820" s="41" t="str">
        <f>HYPERLINK("http://ictvonline.org/taxonomy/p/taxonomy-history?taxnode_id=20182867","ICTVonline=20182867")</f>
        <v>ICTVonline=20182867</v>
      </c>
    </row>
    <row r="1821" spans="1:22">
      <c r="A1821" s="3">
        <v>1820</v>
      </c>
      <c r="J1821" s="1" t="s">
        <v>5491</v>
      </c>
      <c r="L1821" s="1" t="s">
        <v>2025</v>
      </c>
      <c r="N1821" s="1" t="s">
        <v>2144</v>
      </c>
      <c r="P1821" s="1" t="s">
        <v>2696</v>
      </c>
      <c r="Q1821" s="3">
        <v>0</v>
      </c>
      <c r="R1821" s="22" t="s">
        <v>3864</v>
      </c>
      <c r="S1821" s="22" t="s">
        <v>5097</v>
      </c>
      <c r="T1821" s="51">
        <v>32</v>
      </c>
      <c r="U1821" s="3" t="s">
        <v>5498</v>
      </c>
      <c r="V1821" s="41" t="str">
        <f>HYPERLINK("http://ictvonline.org/taxonomy/p/taxonomy-history?taxnode_id=20182868","ICTVonline=20182868")</f>
        <v>ICTVonline=20182868</v>
      </c>
    </row>
    <row r="1822" spans="1:22">
      <c r="A1822" s="3">
        <v>1821</v>
      </c>
      <c r="J1822" s="1" t="s">
        <v>5491</v>
      </c>
      <c r="L1822" s="1" t="s">
        <v>2025</v>
      </c>
      <c r="N1822" s="1" t="s">
        <v>2144</v>
      </c>
      <c r="P1822" s="1" t="s">
        <v>742</v>
      </c>
      <c r="Q1822" s="3">
        <v>0</v>
      </c>
      <c r="R1822" s="22" t="s">
        <v>3864</v>
      </c>
      <c r="S1822" s="22" t="s">
        <v>5097</v>
      </c>
      <c r="T1822" s="51">
        <v>32</v>
      </c>
      <c r="U1822" s="3" t="s">
        <v>5498</v>
      </c>
      <c r="V1822" s="41" t="str">
        <f>HYPERLINK("http://ictvonline.org/taxonomy/p/taxonomy-history?taxnode_id=20182869","ICTVonline=20182869")</f>
        <v>ICTVonline=20182869</v>
      </c>
    </row>
    <row r="1823" spans="1:22">
      <c r="A1823" s="3">
        <v>1822</v>
      </c>
      <c r="J1823" s="1" t="s">
        <v>5491</v>
      </c>
      <c r="L1823" s="1" t="s">
        <v>2025</v>
      </c>
      <c r="N1823" s="1" t="s">
        <v>2144</v>
      </c>
      <c r="P1823" s="1" t="s">
        <v>743</v>
      </c>
      <c r="Q1823" s="3">
        <v>0</v>
      </c>
      <c r="R1823" s="22" t="s">
        <v>3864</v>
      </c>
      <c r="S1823" s="22" t="s">
        <v>5097</v>
      </c>
      <c r="T1823" s="51">
        <v>32</v>
      </c>
      <c r="U1823" s="3" t="s">
        <v>5498</v>
      </c>
      <c r="V1823" s="41" t="str">
        <f>HYPERLINK("http://ictvonline.org/taxonomy/p/taxonomy-history?taxnode_id=20182870","ICTVonline=20182870")</f>
        <v>ICTVonline=20182870</v>
      </c>
    </row>
    <row r="1824" spans="1:22">
      <c r="A1824" s="3">
        <v>1823</v>
      </c>
      <c r="J1824" s="1" t="s">
        <v>5491</v>
      </c>
      <c r="L1824" s="1" t="s">
        <v>2025</v>
      </c>
      <c r="N1824" s="1" t="s">
        <v>744</v>
      </c>
      <c r="P1824" s="1" t="s">
        <v>745</v>
      </c>
      <c r="Q1824" s="3">
        <v>1</v>
      </c>
      <c r="R1824" s="22" t="s">
        <v>3864</v>
      </c>
      <c r="S1824" s="22" t="s">
        <v>5097</v>
      </c>
      <c r="T1824" s="51">
        <v>32</v>
      </c>
      <c r="U1824" s="3" t="s">
        <v>5498</v>
      </c>
      <c r="V1824" s="41" t="str">
        <f>HYPERLINK("http://ictvonline.org/taxonomy/p/taxonomy-history?taxnode_id=20182872","ICTVonline=20182872")</f>
        <v>ICTVonline=20182872</v>
      </c>
    </row>
    <row r="1825" spans="1:22">
      <c r="A1825" s="3">
        <v>1824</v>
      </c>
      <c r="J1825" s="1" t="s">
        <v>5491</v>
      </c>
      <c r="L1825" s="1" t="s">
        <v>2025</v>
      </c>
      <c r="N1825" s="1" t="s">
        <v>744</v>
      </c>
      <c r="P1825" s="1" t="s">
        <v>1733</v>
      </c>
      <c r="Q1825" s="3">
        <v>0</v>
      </c>
      <c r="R1825" s="22" t="s">
        <v>3864</v>
      </c>
      <c r="S1825" s="22" t="s">
        <v>5097</v>
      </c>
      <c r="T1825" s="51">
        <v>32</v>
      </c>
      <c r="U1825" s="3" t="s">
        <v>5498</v>
      </c>
      <c r="V1825" s="41" t="str">
        <f>HYPERLINK("http://ictvonline.org/taxonomy/p/taxonomy-history?taxnode_id=20182873","ICTVonline=20182873")</f>
        <v>ICTVonline=20182873</v>
      </c>
    </row>
    <row r="1826" spans="1:22">
      <c r="A1826" s="3">
        <v>1825</v>
      </c>
      <c r="J1826" s="1" t="s">
        <v>5491</v>
      </c>
      <c r="L1826" s="1" t="s">
        <v>2025</v>
      </c>
      <c r="N1826" s="1" t="s">
        <v>747</v>
      </c>
      <c r="P1826" s="1" t="s">
        <v>1206</v>
      </c>
      <c r="Q1826" s="3">
        <v>1</v>
      </c>
      <c r="R1826" s="22" t="s">
        <v>3864</v>
      </c>
      <c r="S1826" s="22" t="s">
        <v>5097</v>
      </c>
      <c r="T1826" s="51">
        <v>32</v>
      </c>
      <c r="U1826" s="3" t="s">
        <v>5498</v>
      </c>
      <c r="V1826" s="41" t="str">
        <f>HYPERLINK("http://ictvonline.org/taxonomy/p/taxonomy-history?taxnode_id=20182875","ICTVonline=20182875")</f>
        <v>ICTVonline=20182875</v>
      </c>
    </row>
    <row r="1827" spans="1:22">
      <c r="A1827" s="3">
        <v>1826</v>
      </c>
      <c r="J1827" s="1" t="s">
        <v>5491</v>
      </c>
      <c r="L1827" s="1" t="s">
        <v>2025</v>
      </c>
      <c r="N1827" s="1" t="s">
        <v>2697</v>
      </c>
      <c r="P1827" s="1" t="s">
        <v>2698</v>
      </c>
      <c r="Q1827" s="3">
        <v>1</v>
      </c>
      <c r="R1827" s="22" t="s">
        <v>3864</v>
      </c>
      <c r="S1827" s="22" t="s">
        <v>5097</v>
      </c>
      <c r="T1827" s="51">
        <v>32</v>
      </c>
      <c r="U1827" s="3" t="s">
        <v>5498</v>
      </c>
      <c r="V1827" s="41" t="str">
        <f>HYPERLINK("http://ictvonline.org/taxonomy/p/taxonomy-history?taxnode_id=20182877","ICTVonline=20182877")</f>
        <v>ICTVonline=20182877</v>
      </c>
    </row>
    <row r="1828" spans="1:22">
      <c r="A1828" s="3">
        <v>1827</v>
      </c>
      <c r="J1828" s="1" t="s">
        <v>5491</v>
      </c>
      <c r="L1828" s="1" t="s">
        <v>2025</v>
      </c>
      <c r="N1828" s="1" t="s">
        <v>86</v>
      </c>
      <c r="P1828" s="1" t="s">
        <v>87</v>
      </c>
      <c r="Q1828" s="3">
        <v>0</v>
      </c>
      <c r="R1828" s="22" t="s">
        <v>3864</v>
      </c>
      <c r="S1828" s="22" t="s">
        <v>5097</v>
      </c>
      <c r="T1828" s="51">
        <v>32</v>
      </c>
      <c r="U1828" s="3" t="s">
        <v>5498</v>
      </c>
      <c r="V1828" s="41" t="str">
        <f>HYPERLINK("http://ictvonline.org/taxonomy/p/taxonomy-history?taxnode_id=20182879","ICTVonline=20182879")</f>
        <v>ICTVonline=20182879</v>
      </c>
    </row>
    <row r="1829" spans="1:22">
      <c r="A1829" s="3">
        <v>1828</v>
      </c>
      <c r="J1829" s="1" t="s">
        <v>5491</v>
      </c>
      <c r="L1829" s="1" t="s">
        <v>2025</v>
      </c>
      <c r="N1829" s="1" t="s">
        <v>86</v>
      </c>
      <c r="P1829" s="1" t="s">
        <v>746</v>
      </c>
      <c r="Q1829" s="3">
        <v>1</v>
      </c>
      <c r="R1829" s="22" t="s">
        <v>3864</v>
      </c>
      <c r="S1829" s="22" t="s">
        <v>5097</v>
      </c>
      <c r="T1829" s="51">
        <v>32</v>
      </c>
      <c r="U1829" s="3" t="s">
        <v>5498</v>
      </c>
      <c r="V1829" s="41" t="str">
        <f>HYPERLINK("http://ictvonline.org/taxonomy/p/taxonomy-history?taxnode_id=20182880","ICTVonline=20182880")</f>
        <v>ICTVonline=20182880</v>
      </c>
    </row>
    <row r="1830" spans="1:22">
      <c r="A1830" s="3">
        <v>1829</v>
      </c>
      <c r="J1830" s="1" t="s">
        <v>5491</v>
      </c>
      <c r="L1830" s="1" t="s">
        <v>2025</v>
      </c>
      <c r="N1830" s="1" t="s">
        <v>1207</v>
      </c>
      <c r="P1830" s="1" t="s">
        <v>1208</v>
      </c>
      <c r="Q1830" s="3">
        <v>0</v>
      </c>
      <c r="R1830" s="22" t="s">
        <v>3864</v>
      </c>
      <c r="S1830" s="22" t="s">
        <v>5097</v>
      </c>
      <c r="T1830" s="51">
        <v>32</v>
      </c>
      <c r="U1830" s="3" t="s">
        <v>5498</v>
      </c>
      <c r="V1830" s="41" t="str">
        <f>HYPERLINK("http://ictvonline.org/taxonomy/p/taxonomy-history?taxnode_id=20182882","ICTVonline=20182882")</f>
        <v>ICTVonline=20182882</v>
      </c>
    </row>
    <row r="1831" spans="1:22">
      <c r="A1831" s="3">
        <v>1830</v>
      </c>
      <c r="J1831" s="1" t="s">
        <v>5491</v>
      </c>
      <c r="L1831" s="1" t="s">
        <v>2025</v>
      </c>
      <c r="N1831" s="1" t="s">
        <v>1207</v>
      </c>
      <c r="P1831" s="1" t="s">
        <v>88</v>
      </c>
      <c r="Q1831" s="3">
        <v>0</v>
      </c>
      <c r="R1831" s="22" t="s">
        <v>3864</v>
      </c>
      <c r="S1831" s="22" t="s">
        <v>5097</v>
      </c>
      <c r="T1831" s="51">
        <v>32</v>
      </c>
      <c r="U1831" s="3" t="s">
        <v>5498</v>
      </c>
      <c r="V1831" s="41" t="str">
        <f>HYPERLINK("http://ictvonline.org/taxonomy/p/taxonomy-history?taxnode_id=20182883","ICTVonline=20182883")</f>
        <v>ICTVonline=20182883</v>
      </c>
    </row>
    <row r="1832" spans="1:22">
      <c r="A1832" s="3">
        <v>1831</v>
      </c>
      <c r="J1832" s="1" t="s">
        <v>5491</v>
      </c>
      <c r="L1832" s="1" t="s">
        <v>2025</v>
      </c>
      <c r="N1832" s="1" t="s">
        <v>1207</v>
      </c>
      <c r="P1832" s="1" t="s">
        <v>1209</v>
      </c>
      <c r="Q1832" s="3">
        <v>0</v>
      </c>
      <c r="R1832" s="22" t="s">
        <v>3864</v>
      </c>
      <c r="S1832" s="22" t="s">
        <v>5097</v>
      </c>
      <c r="T1832" s="51">
        <v>32</v>
      </c>
      <c r="U1832" s="3" t="s">
        <v>5498</v>
      </c>
      <c r="V1832" s="41" t="str">
        <f>HYPERLINK("http://ictvonline.org/taxonomy/p/taxonomy-history?taxnode_id=20182884","ICTVonline=20182884")</f>
        <v>ICTVonline=20182884</v>
      </c>
    </row>
    <row r="1833" spans="1:22">
      <c r="A1833" s="3">
        <v>1832</v>
      </c>
      <c r="J1833" s="1" t="s">
        <v>5491</v>
      </c>
      <c r="L1833" s="1" t="s">
        <v>2025</v>
      </c>
      <c r="N1833" s="1" t="s">
        <v>1207</v>
      </c>
      <c r="P1833" s="1" t="s">
        <v>1210</v>
      </c>
      <c r="Q1833" s="3">
        <v>1</v>
      </c>
      <c r="R1833" s="22" t="s">
        <v>3864</v>
      </c>
      <c r="S1833" s="22" t="s">
        <v>5097</v>
      </c>
      <c r="T1833" s="51">
        <v>32</v>
      </c>
      <c r="U1833" s="3" t="s">
        <v>5498</v>
      </c>
      <c r="V1833" s="41" t="str">
        <f>HYPERLINK("http://ictvonline.org/taxonomy/p/taxonomy-history?taxnode_id=20182885","ICTVonline=20182885")</f>
        <v>ICTVonline=20182885</v>
      </c>
    </row>
    <row r="1834" spans="1:22">
      <c r="A1834" s="3">
        <v>1833</v>
      </c>
      <c r="J1834" s="1" t="s">
        <v>5491</v>
      </c>
      <c r="L1834" s="1" t="s">
        <v>2025</v>
      </c>
      <c r="N1834" s="1" t="s">
        <v>1211</v>
      </c>
      <c r="P1834" s="1" t="s">
        <v>756</v>
      </c>
      <c r="Q1834" s="3">
        <v>1</v>
      </c>
      <c r="R1834" s="22" t="s">
        <v>3864</v>
      </c>
      <c r="S1834" s="22" t="s">
        <v>5097</v>
      </c>
      <c r="T1834" s="51">
        <v>32</v>
      </c>
      <c r="U1834" s="3" t="s">
        <v>5498</v>
      </c>
      <c r="V1834" s="41" t="str">
        <f>HYPERLINK("http://ictvonline.org/taxonomy/p/taxonomy-history?taxnode_id=20182887","ICTVonline=20182887")</f>
        <v>ICTVonline=20182887</v>
      </c>
    </row>
    <row r="1835" spans="1:22">
      <c r="A1835" s="3">
        <v>1834</v>
      </c>
      <c r="J1835" s="1" t="s">
        <v>5491</v>
      </c>
      <c r="L1835" s="1" t="s">
        <v>1651</v>
      </c>
      <c r="N1835" s="1" t="s">
        <v>1053</v>
      </c>
      <c r="P1835" s="1" t="s">
        <v>1054</v>
      </c>
      <c r="Q1835" s="3">
        <v>0</v>
      </c>
      <c r="R1835" s="22" t="s">
        <v>2769</v>
      </c>
      <c r="S1835" s="22" t="s">
        <v>5097</v>
      </c>
      <c r="T1835" s="51">
        <v>32</v>
      </c>
      <c r="U1835" s="3" t="s">
        <v>5498</v>
      </c>
      <c r="V1835" s="41" t="str">
        <f>HYPERLINK("http://ictvonline.org/taxonomy/p/taxonomy-history?taxnode_id=20183814","ICTVonline=20183814")</f>
        <v>ICTVonline=20183814</v>
      </c>
    </row>
    <row r="1836" spans="1:22">
      <c r="A1836" s="3">
        <v>1835</v>
      </c>
      <c r="J1836" s="1" t="s">
        <v>5491</v>
      </c>
      <c r="L1836" s="1" t="s">
        <v>1651</v>
      </c>
      <c r="N1836" s="1" t="s">
        <v>1053</v>
      </c>
      <c r="P1836" s="1" t="s">
        <v>1055</v>
      </c>
      <c r="Q1836" s="3">
        <v>0</v>
      </c>
      <c r="R1836" s="22" t="s">
        <v>2769</v>
      </c>
      <c r="S1836" s="22" t="s">
        <v>5097</v>
      </c>
      <c r="T1836" s="51">
        <v>32</v>
      </c>
      <c r="U1836" s="3" t="s">
        <v>5498</v>
      </c>
      <c r="V1836" s="41" t="str">
        <f>HYPERLINK("http://ictvonline.org/taxonomy/p/taxonomy-history?taxnode_id=20183815","ICTVonline=20183815")</f>
        <v>ICTVonline=20183815</v>
      </c>
    </row>
    <row r="1837" spans="1:22">
      <c r="A1837" s="3">
        <v>1836</v>
      </c>
      <c r="J1837" s="1" t="s">
        <v>5491</v>
      </c>
      <c r="L1837" s="1" t="s">
        <v>1651</v>
      </c>
      <c r="N1837" s="1" t="s">
        <v>1053</v>
      </c>
      <c r="P1837" s="1" t="s">
        <v>5507</v>
      </c>
      <c r="Q1837" s="3">
        <v>0</v>
      </c>
      <c r="R1837" s="22" t="s">
        <v>2769</v>
      </c>
      <c r="S1837" s="22" t="s">
        <v>5097</v>
      </c>
      <c r="T1837" s="51">
        <v>32</v>
      </c>
      <c r="U1837" s="3" t="s">
        <v>5498</v>
      </c>
      <c r="V1837" s="41" t="str">
        <f>HYPERLINK("http://ictvonline.org/taxonomy/p/taxonomy-history?taxnode_id=20183816","ICTVonline=20183816")</f>
        <v>ICTVonline=20183816</v>
      </c>
    </row>
    <row r="1838" spans="1:22">
      <c r="A1838" s="3">
        <v>1837</v>
      </c>
      <c r="J1838" s="1" t="s">
        <v>5491</v>
      </c>
      <c r="L1838" s="1" t="s">
        <v>1651</v>
      </c>
      <c r="N1838" s="1" t="s">
        <v>1053</v>
      </c>
      <c r="P1838" s="1" t="s">
        <v>1056</v>
      </c>
      <c r="Q1838" s="3">
        <v>0</v>
      </c>
      <c r="R1838" s="22" t="s">
        <v>2769</v>
      </c>
      <c r="S1838" s="22" t="s">
        <v>5097</v>
      </c>
      <c r="T1838" s="51">
        <v>32</v>
      </c>
      <c r="U1838" s="3" t="s">
        <v>5498</v>
      </c>
      <c r="V1838" s="41" t="str">
        <f>HYPERLINK("http://ictvonline.org/taxonomy/p/taxonomy-history?taxnode_id=20183817","ICTVonline=20183817")</f>
        <v>ICTVonline=20183817</v>
      </c>
    </row>
    <row r="1839" spans="1:22">
      <c r="A1839" s="3">
        <v>1838</v>
      </c>
      <c r="J1839" s="1" t="s">
        <v>5491</v>
      </c>
      <c r="L1839" s="1" t="s">
        <v>1651</v>
      </c>
      <c r="N1839" s="1" t="s">
        <v>1053</v>
      </c>
      <c r="P1839" s="1" t="s">
        <v>677</v>
      </c>
      <c r="Q1839" s="3">
        <v>1</v>
      </c>
      <c r="R1839" s="22" t="s">
        <v>2769</v>
      </c>
      <c r="S1839" s="22" t="s">
        <v>5097</v>
      </c>
      <c r="T1839" s="51">
        <v>32</v>
      </c>
      <c r="U1839" s="3" t="s">
        <v>5498</v>
      </c>
      <c r="V1839" s="41" t="str">
        <f>HYPERLINK("http://ictvonline.org/taxonomy/p/taxonomy-history?taxnode_id=20183818","ICTVonline=20183818")</f>
        <v>ICTVonline=20183818</v>
      </c>
    </row>
    <row r="1840" spans="1:22">
      <c r="A1840" s="3">
        <v>1839</v>
      </c>
      <c r="J1840" s="1" t="s">
        <v>5491</v>
      </c>
      <c r="L1840" s="1" t="s">
        <v>1651</v>
      </c>
      <c r="N1840" s="1" t="s">
        <v>1053</v>
      </c>
      <c r="P1840" s="1" t="s">
        <v>678</v>
      </c>
      <c r="Q1840" s="3">
        <v>0</v>
      </c>
      <c r="R1840" s="22" t="s">
        <v>2769</v>
      </c>
      <c r="S1840" s="22" t="s">
        <v>5097</v>
      </c>
      <c r="T1840" s="51">
        <v>32</v>
      </c>
      <c r="U1840" s="3" t="s">
        <v>5498</v>
      </c>
      <c r="V1840" s="41" t="str">
        <f>HYPERLINK("http://ictvonline.org/taxonomy/p/taxonomy-history?taxnode_id=20183819","ICTVonline=20183819")</f>
        <v>ICTVonline=20183819</v>
      </c>
    </row>
    <row r="1841" spans="1:22">
      <c r="A1841" s="3">
        <v>1840</v>
      </c>
      <c r="J1841" s="1" t="s">
        <v>5491</v>
      </c>
      <c r="L1841" s="1" t="s">
        <v>1651</v>
      </c>
      <c r="N1841" s="1" t="s">
        <v>1053</v>
      </c>
      <c r="P1841" s="1" t="s">
        <v>679</v>
      </c>
      <c r="Q1841" s="3">
        <v>0</v>
      </c>
      <c r="R1841" s="22" t="s">
        <v>2769</v>
      </c>
      <c r="S1841" s="22" t="s">
        <v>5097</v>
      </c>
      <c r="T1841" s="51">
        <v>32</v>
      </c>
      <c r="U1841" s="3" t="s">
        <v>5498</v>
      </c>
      <c r="V1841" s="41" t="str">
        <f>HYPERLINK("http://ictvonline.org/taxonomy/p/taxonomy-history?taxnode_id=20183820","ICTVonline=20183820")</f>
        <v>ICTVonline=20183820</v>
      </c>
    </row>
    <row r="1842" spans="1:22">
      <c r="A1842" s="3">
        <v>1841</v>
      </c>
      <c r="J1842" s="1" t="s">
        <v>5491</v>
      </c>
      <c r="L1842" s="1" t="s">
        <v>1651</v>
      </c>
      <c r="N1842" s="1" t="s">
        <v>1053</v>
      </c>
      <c r="P1842" s="1" t="s">
        <v>680</v>
      </c>
      <c r="Q1842" s="3">
        <v>0</v>
      </c>
      <c r="R1842" s="22" t="s">
        <v>2769</v>
      </c>
      <c r="S1842" s="22" t="s">
        <v>5097</v>
      </c>
      <c r="T1842" s="51">
        <v>32</v>
      </c>
      <c r="U1842" s="3" t="s">
        <v>5498</v>
      </c>
      <c r="V1842" s="41" t="str">
        <f>HYPERLINK("http://ictvonline.org/taxonomy/p/taxonomy-history?taxnode_id=20183821","ICTVonline=20183821")</f>
        <v>ICTVonline=20183821</v>
      </c>
    </row>
    <row r="1843" spans="1:22">
      <c r="A1843" s="3">
        <v>1842</v>
      </c>
      <c r="J1843" s="1" t="s">
        <v>5491</v>
      </c>
      <c r="L1843" s="1" t="s">
        <v>1651</v>
      </c>
      <c r="N1843" s="1" t="s">
        <v>1053</v>
      </c>
      <c r="P1843" s="1" t="s">
        <v>681</v>
      </c>
      <c r="Q1843" s="3">
        <v>0</v>
      </c>
      <c r="R1843" s="22" t="s">
        <v>2769</v>
      </c>
      <c r="S1843" s="22" t="s">
        <v>5097</v>
      </c>
      <c r="T1843" s="51">
        <v>32</v>
      </c>
      <c r="U1843" s="3" t="s">
        <v>5498</v>
      </c>
      <c r="V1843" s="41" t="str">
        <f>HYPERLINK("http://ictvonline.org/taxonomy/p/taxonomy-history?taxnode_id=20183822","ICTVonline=20183822")</f>
        <v>ICTVonline=20183822</v>
      </c>
    </row>
    <row r="1844" spans="1:22">
      <c r="A1844" s="3">
        <v>1843</v>
      </c>
      <c r="J1844" s="1" t="s">
        <v>5491</v>
      </c>
      <c r="L1844" s="1" t="s">
        <v>1651</v>
      </c>
      <c r="N1844" s="1" t="s">
        <v>1053</v>
      </c>
      <c r="P1844" s="1" t="s">
        <v>1058</v>
      </c>
      <c r="Q1844" s="3">
        <v>0</v>
      </c>
      <c r="R1844" s="22" t="s">
        <v>2769</v>
      </c>
      <c r="S1844" s="22" t="s">
        <v>5097</v>
      </c>
      <c r="T1844" s="51">
        <v>32</v>
      </c>
      <c r="U1844" s="3" t="s">
        <v>5498</v>
      </c>
      <c r="V1844" s="41" t="str">
        <f>HYPERLINK("http://ictvonline.org/taxonomy/p/taxonomy-history?taxnode_id=20183823","ICTVonline=20183823")</f>
        <v>ICTVonline=20183823</v>
      </c>
    </row>
    <row r="1845" spans="1:22">
      <c r="A1845" s="3">
        <v>1844</v>
      </c>
      <c r="J1845" s="1" t="s">
        <v>5491</v>
      </c>
      <c r="L1845" s="1" t="s">
        <v>1651</v>
      </c>
      <c r="N1845" s="1" t="s">
        <v>1059</v>
      </c>
      <c r="P1845" s="1" t="s">
        <v>1060</v>
      </c>
      <c r="Q1845" s="3">
        <v>0</v>
      </c>
      <c r="R1845" s="22" t="s">
        <v>2769</v>
      </c>
      <c r="S1845" s="22" t="s">
        <v>5097</v>
      </c>
      <c r="T1845" s="51">
        <v>32</v>
      </c>
      <c r="U1845" s="3" t="s">
        <v>5498</v>
      </c>
      <c r="V1845" s="41" t="str">
        <f>HYPERLINK("http://ictvonline.org/taxonomy/p/taxonomy-history?taxnode_id=20183825","ICTVonline=20183825")</f>
        <v>ICTVonline=20183825</v>
      </c>
    </row>
    <row r="1846" spans="1:22">
      <c r="A1846" s="3">
        <v>1845</v>
      </c>
      <c r="J1846" s="1" t="s">
        <v>5491</v>
      </c>
      <c r="L1846" s="1" t="s">
        <v>1651</v>
      </c>
      <c r="N1846" s="1" t="s">
        <v>1059</v>
      </c>
      <c r="P1846" s="1" t="s">
        <v>1061</v>
      </c>
      <c r="Q1846" s="3">
        <v>0</v>
      </c>
      <c r="R1846" s="22" t="s">
        <v>2769</v>
      </c>
      <c r="S1846" s="22" t="s">
        <v>5097</v>
      </c>
      <c r="T1846" s="51">
        <v>32</v>
      </c>
      <c r="U1846" s="3" t="s">
        <v>5498</v>
      </c>
      <c r="V1846" s="41" t="str">
        <f>HYPERLINK("http://ictvonline.org/taxonomy/p/taxonomy-history?taxnode_id=20183826","ICTVonline=20183826")</f>
        <v>ICTVonline=20183826</v>
      </c>
    </row>
    <row r="1847" spans="1:22">
      <c r="A1847" s="3">
        <v>1846</v>
      </c>
      <c r="J1847" s="1" t="s">
        <v>5491</v>
      </c>
      <c r="L1847" s="1" t="s">
        <v>1651</v>
      </c>
      <c r="N1847" s="1" t="s">
        <v>1059</v>
      </c>
      <c r="P1847" s="1" t="s">
        <v>1062</v>
      </c>
      <c r="Q1847" s="3">
        <v>0</v>
      </c>
      <c r="R1847" s="22" t="s">
        <v>2769</v>
      </c>
      <c r="S1847" s="22" t="s">
        <v>5097</v>
      </c>
      <c r="T1847" s="51">
        <v>32</v>
      </c>
      <c r="U1847" s="3" t="s">
        <v>5498</v>
      </c>
      <c r="V1847" s="41" t="str">
        <f>HYPERLINK("http://ictvonline.org/taxonomy/p/taxonomy-history?taxnode_id=20183827","ICTVonline=20183827")</f>
        <v>ICTVonline=20183827</v>
      </c>
    </row>
    <row r="1848" spans="1:22">
      <c r="A1848" s="3">
        <v>1847</v>
      </c>
      <c r="J1848" s="1" t="s">
        <v>5491</v>
      </c>
      <c r="L1848" s="1" t="s">
        <v>1651</v>
      </c>
      <c r="N1848" s="1" t="s">
        <v>1059</v>
      </c>
      <c r="P1848" s="1" t="s">
        <v>1063</v>
      </c>
      <c r="Q1848" s="3">
        <v>0</v>
      </c>
      <c r="R1848" s="22" t="s">
        <v>2769</v>
      </c>
      <c r="S1848" s="22" t="s">
        <v>5097</v>
      </c>
      <c r="T1848" s="51">
        <v>32</v>
      </c>
      <c r="U1848" s="3" t="s">
        <v>5498</v>
      </c>
      <c r="V1848" s="41" t="str">
        <f>HYPERLINK("http://ictvonline.org/taxonomy/p/taxonomy-history?taxnode_id=20183828","ICTVonline=20183828")</f>
        <v>ICTVonline=20183828</v>
      </c>
    </row>
    <row r="1849" spans="1:22">
      <c r="A1849" s="3">
        <v>1848</v>
      </c>
      <c r="J1849" s="1" t="s">
        <v>5491</v>
      </c>
      <c r="L1849" s="1" t="s">
        <v>1651</v>
      </c>
      <c r="N1849" s="1" t="s">
        <v>1059</v>
      </c>
      <c r="P1849" s="1" t="s">
        <v>1064</v>
      </c>
      <c r="Q1849" s="3">
        <v>0</v>
      </c>
      <c r="R1849" s="22" t="s">
        <v>2769</v>
      </c>
      <c r="S1849" s="22" t="s">
        <v>5097</v>
      </c>
      <c r="T1849" s="51">
        <v>32</v>
      </c>
      <c r="U1849" s="3" t="s">
        <v>5498</v>
      </c>
      <c r="V1849" s="41" t="str">
        <f>HYPERLINK("http://ictvonline.org/taxonomy/p/taxonomy-history?taxnode_id=20183829","ICTVonline=20183829")</f>
        <v>ICTVonline=20183829</v>
      </c>
    </row>
    <row r="1850" spans="1:22">
      <c r="A1850" s="3">
        <v>1849</v>
      </c>
      <c r="J1850" s="1" t="s">
        <v>5491</v>
      </c>
      <c r="L1850" s="1" t="s">
        <v>1651</v>
      </c>
      <c r="N1850" s="1" t="s">
        <v>1059</v>
      </c>
      <c r="P1850" s="1" t="s">
        <v>1065</v>
      </c>
      <c r="Q1850" s="3">
        <v>0</v>
      </c>
      <c r="R1850" s="22" t="s">
        <v>2769</v>
      </c>
      <c r="S1850" s="22" t="s">
        <v>5097</v>
      </c>
      <c r="T1850" s="51">
        <v>32</v>
      </c>
      <c r="U1850" s="3" t="s">
        <v>5498</v>
      </c>
      <c r="V1850" s="41" t="str">
        <f>HYPERLINK("http://ictvonline.org/taxonomy/p/taxonomy-history?taxnode_id=20183830","ICTVonline=20183830")</f>
        <v>ICTVonline=20183830</v>
      </c>
    </row>
    <row r="1851" spans="1:22">
      <c r="A1851" s="3">
        <v>1850</v>
      </c>
      <c r="J1851" s="1" t="s">
        <v>5491</v>
      </c>
      <c r="L1851" s="1" t="s">
        <v>1651</v>
      </c>
      <c r="N1851" s="1" t="s">
        <v>1059</v>
      </c>
      <c r="P1851" s="1" t="s">
        <v>1153</v>
      </c>
      <c r="Q1851" s="3">
        <v>0</v>
      </c>
      <c r="R1851" s="22" t="s">
        <v>2769</v>
      </c>
      <c r="S1851" s="22" t="s">
        <v>5097</v>
      </c>
      <c r="T1851" s="51">
        <v>32</v>
      </c>
      <c r="U1851" s="3" t="s">
        <v>5498</v>
      </c>
      <c r="V1851" s="41" t="str">
        <f>HYPERLINK("http://ictvonline.org/taxonomy/p/taxonomy-history?taxnode_id=20183831","ICTVonline=20183831")</f>
        <v>ICTVonline=20183831</v>
      </c>
    </row>
    <row r="1852" spans="1:22">
      <c r="A1852" s="3">
        <v>1851</v>
      </c>
      <c r="J1852" s="1" t="s">
        <v>5491</v>
      </c>
      <c r="L1852" s="1" t="s">
        <v>1651</v>
      </c>
      <c r="N1852" s="1" t="s">
        <v>1059</v>
      </c>
      <c r="P1852" s="1" t="s">
        <v>1154</v>
      </c>
      <c r="Q1852" s="3">
        <v>0</v>
      </c>
      <c r="R1852" s="22" t="s">
        <v>2769</v>
      </c>
      <c r="S1852" s="22" t="s">
        <v>5097</v>
      </c>
      <c r="T1852" s="51">
        <v>32</v>
      </c>
      <c r="U1852" s="3" t="s">
        <v>5498</v>
      </c>
      <c r="V1852" s="41" t="str">
        <f>HYPERLINK("http://ictvonline.org/taxonomy/p/taxonomy-history?taxnode_id=20183832","ICTVonline=20183832")</f>
        <v>ICTVonline=20183832</v>
      </c>
    </row>
    <row r="1853" spans="1:22">
      <c r="A1853" s="3">
        <v>1852</v>
      </c>
      <c r="J1853" s="1" t="s">
        <v>5491</v>
      </c>
      <c r="L1853" s="1" t="s">
        <v>1651</v>
      </c>
      <c r="N1853" s="1" t="s">
        <v>1059</v>
      </c>
      <c r="P1853" s="1" t="s">
        <v>1155</v>
      </c>
      <c r="Q1853" s="3">
        <v>0</v>
      </c>
      <c r="R1853" s="22" t="s">
        <v>2769</v>
      </c>
      <c r="S1853" s="22" t="s">
        <v>5097</v>
      </c>
      <c r="T1853" s="51">
        <v>32</v>
      </c>
      <c r="U1853" s="3" t="s">
        <v>5498</v>
      </c>
      <c r="V1853" s="41" t="str">
        <f>HYPERLINK("http://ictvonline.org/taxonomy/p/taxonomy-history?taxnode_id=20183833","ICTVonline=20183833")</f>
        <v>ICTVonline=20183833</v>
      </c>
    </row>
    <row r="1854" spans="1:22">
      <c r="A1854" s="3">
        <v>1853</v>
      </c>
      <c r="J1854" s="1" t="s">
        <v>5491</v>
      </c>
      <c r="L1854" s="1" t="s">
        <v>1651</v>
      </c>
      <c r="N1854" s="1" t="s">
        <v>1059</v>
      </c>
      <c r="P1854" s="1" t="s">
        <v>1156</v>
      </c>
      <c r="Q1854" s="3">
        <v>0</v>
      </c>
      <c r="R1854" s="22" t="s">
        <v>2769</v>
      </c>
      <c r="S1854" s="22" t="s">
        <v>5097</v>
      </c>
      <c r="T1854" s="51">
        <v>32</v>
      </c>
      <c r="U1854" s="3" t="s">
        <v>5498</v>
      </c>
      <c r="V1854" s="41" t="str">
        <f>HYPERLINK("http://ictvonline.org/taxonomy/p/taxonomy-history?taxnode_id=20183834","ICTVonline=20183834")</f>
        <v>ICTVonline=20183834</v>
      </c>
    </row>
    <row r="1855" spans="1:22">
      <c r="A1855" s="3">
        <v>1854</v>
      </c>
      <c r="J1855" s="1" t="s">
        <v>5491</v>
      </c>
      <c r="L1855" s="1" t="s">
        <v>1651</v>
      </c>
      <c r="N1855" s="1" t="s">
        <v>1059</v>
      </c>
      <c r="P1855" s="1" t="s">
        <v>1157</v>
      </c>
      <c r="Q1855" s="3">
        <v>0</v>
      </c>
      <c r="R1855" s="22" t="s">
        <v>2769</v>
      </c>
      <c r="S1855" s="22" t="s">
        <v>5097</v>
      </c>
      <c r="T1855" s="51">
        <v>32</v>
      </c>
      <c r="U1855" s="3" t="s">
        <v>5498</v>
      </c>
      <c r="V1855" s="41" t="str">
        <f>HYPERLINK("http://ictvonline.org/taxonomy/p/taxonomy-history?taxnode_id=20183835","ICTVonline=20183835")</f>
        <v>ICTVonline=20183835</v>
      </c>
    </row>
    <row r="1856" spans="1:22">
      <c r="A1856" s="3">
        <v>1855</v>
      </c>
      <c r="J1856" s="1" t="s">
        <v>5491</v>
      </c>
      <c r="L1856" s="1" t="s">
        <v>1651</v>
      </c>
      <c r="N1856" s="1" t="s">
        <v>1059</v>
      </c>
      <c r="P1856" s="1" t="s">
        <v>1158</v>
      </c>
      <c r="Q1856" s="3">
        <v>0</v>
      </c>
      <c r="R1856" s="22" t="s">
        <v>2769</v>
      </c>
      <c r="S1856" s="22" t="s">
        <v>5097</v>
      </c>
      <c r="T1856" s="51">
        <v>32</v>
      </c>
      <c r="U1856" s="3" t="s">
        <v>5498</v>
      </c>
      <c r="V1856" s="41" t="str">
        <f>HYPERLINK("http://ictvonline.org/taxonomy/p/taxonomy-history?taxnode_id=20183836","ICTVonline=20183836")</f>
        <v>ICTVonline=20183836</v>
      </c>
    </row>
    <row r="1857" spans="1:22">
      <c r="A1857" s="3">
        <v>1856</v>
      </c>
      <c r="J1857" s="1" t="s">
        <v>5491</v>
      </c>
      <c r="L1857" s="1" t="s">
        <v>1651</v>
      </c>
      <c r="N1857" s="1" t="s">
        <v>1059</v>
      </c>
      <c r="P1857" s="1" t="s">
        <v>1683</v>
      </c>
      <c r="Q1857" s="3">
        <v>0</v>
      </c>
      <c r="R1857" s="22" t="s">
        <v>2769</v>
      </c>
      <c r="S1857" s="22" t="s">
        <v>5097</v>
      </c>
      <c r="T1857" s="51">
        <v>32</v>
      </c>
      <c r="U1857" s="3" t="s">
        <v>5498</v>
      </c>
      <c r="V1857" s="41" t="str">
        <f>HYPERLINK("http://ictvonline.org/taxonomy/p/taxonomy-history?taxnode_id=20183837","ICTVonline=20183837")</f>
        <v>ICTVonline=20183837</v>
      </c>
    </row>
    <row r="1858" spans="1:22">
      <c r="A1858" s="3">
        <v>1857</v>
      </c>
      <c r="J1858" s="1" t="s">
        <v>5491</v>
      </c>
      <c r="L1858" s="1" t="s">
        <v>1651</v>
      </c>
      <c r="N1858" s="1" t="s">
        <v>1059</v>
      </c>
      <c r="P1858" s="1" t="s">
        <v>1684</v>
      </c>
      <c r="Q1858" s="3">
        <v>0</v>
      </c>
      <c r="R1858" s="22" t="s">
        <v>2769</v>
      </c>
      <c r="S1858" s="22" t="s">
        <v>5097</v>
      </c>
      <c r="T1858" s="51">
        <v>32</v>
      </c>
      <c r="U1858" s="3" t="s">
        <v>5498</v>
      </c>
      <c r="V1858" s="41" t="str">
        <f>HYPERLINK("http://ictvonline.org/taxonomy/p/taxonomy-history?taxnode_id=20183838","ICTVonline=20183838")</f>
        <v>ICTVonline=20183838</v>
      </c>
    </row>
    <row r="1859" spans="1:22">
      <c r="A1859" s="3">
        <v>1858</v>
      </c>
      <c r="J1859" s="1" t="s">
        <v>5491</v>
      </c>
      <c r="L1859" s="1" t="s">
        <v>1651</v>
      </c>
      <c r="N1859" s="1" t="s">
        <v>1059</v>
      </c>
      <c r="P1859" s="1" t="s">
        <v>1685</v>
      </c>
      <c r="Q1859" s="3">
        <v>0</v>
      </c>
      <c r="R1859" s="22" t="s">
        <v>2769</v>
      </c>
      <c r="S1859" s="22" t="s">
        <v>5097</v>
      </c>
      <c r="T1859" s="51">
        <v>32</v>
      </c>
      <c r="U1859" s="3" t="s">
        <v>5498</v>
      </c>
      <c r="V1859" s="41" t="str">
        <f>HYPERLINK("http://ictvonline.org/taxonomy/p/taxonomy-history?taxnode_id=20183839","ICTVonline=20183839")</f>
        <v>ICTVonline=20183839</v>
      </c>
    </row>
    <row r="1860" spans="1:22">
      <c r="A1860" s="3">
        <v>1859</v>
      </c>
      <c r="J1860" s="1" t="s">
        <v>5491</v>
      </c>
      <c r="L1860" s="1" t="s">
        <v>1651</v>
      </c>
      <c r="N1860" s="1" t="s">
        <v>1059</v>
      </c>
      <c r="P1860" s="1" t="s">
        <v>1686</v>
      </c>
      <c r="Q1860" s="3">
        <v>1</v>
      </c>
      <c r="R1860" s="22" t="s">
        <v>2769</v>
      </c>
      <c r="S1860" s="22" t="s">
        <v>5097</v>
      </c>
      <c r="T1860" s="51">
        <v>32</v>
      </c>
      <c r="U1860" s="3" t="s">
        <v>5498</v>
      </c>
      <c r="V1860" s="41" t="str">
        <f>HYPERLINK("http://ictvonline.org/taxonomy/p/taxonomy-history?taxnode_id=20183840","ICTVonline=20183840")</f>
        <v>ICTVonline=20183840</v>
      </c>
    </row>
    <row r="1861" spans="1:22">
      <c r="A1861" s="3">
        <v>1860</v>
      </c>
      <c r="J1861" s="1" t="s">
        <v>5491</v>
      </c>
      <c r="L1861" s="1" t="s">
        <v>1651</v>
      </c>
      <c r="N1861" s="1" t="s">
        <v>1059</v>
      </c>
      <c r="P1861" s="1" t="s">
        <v>1687</v>
      </c>
      <c r="Q1861" s="3">
        <v>0</v>
      </c>
      <c r="R1861" s="22" t="s">
        <v>2769</v>
      </c>
      <c r="S1861" s="22" t="s">
        <v>5097</v>
      </c>
      <c r="T1861" s="51">
        <v>32</v>
      </c>
      <c r="U1861" s="3" t="s">
        <v>5498</v>
      </c>
      <c r="V1861" s="41" t="str">
        <f>HYPERLINK("http://ictvonline.org/taxonomy/p/taxonomy-history?taxnode_id=20183841","ICTVonline=20183841")</f>
        <v>ICTVonline=20183841</v>
      </c>
    </row>
    <row r="1862" spans="1:22">
      <c r="A1862" s="3">
        <v>1861</v>
      </c>
      <c r="J1862" s="1" t="s">
        <v>5491</v>
      </c>
      <c r="L1862" s="1" t="s">
        <v>1651</v>
      </c>
      <c r="N1862" s="1" t="s">
        <v>1059</v>
      </c>
      <c r="P1862" s="1" t="s">
        <v>1679</v>
      </c>
      <c r="Q1862" s="3">
        <v>0</v>
      </c>
      <c r="R1862" s="22" t="s">
        <v>2769</v>
      </c>
      <c r="S1862" s="22" t="s">
        <v>5097</v>
      </c>
      <c r="T1862" s="51">
        <v>32</v>
      </c>
      <c r="U1862" s="3" t="s">
        <v>5498</v>
      </c>
      <c r="V1862" s="41" t="str">
        <f>HYPERLINK("http://ictvonline.org/taxonomy/p/taxonomy-history?taxnode_id=20183842","ICTVonline=20183842")</f>
        <v>ICTVonline=20183842</v>
      </c>
    </row>
    <row r="1863" spans="1:22">
      <c r="A1863" s="3">
        <v>1862</v>
      </c>
      <c r="J1863" s="1" t="s">
        <v>5491</v>
      </c>
      <c r="L1863" s="1" t="s">
        <v>1651</v>
      </c>
      <c r="N1863" s="1" t="s">
        <v>1059</v>
      </c>
      <c r="P1863" s="1" t="s">
        <v>1680</v>
      </c>
      <c r="Q1863" s="3">
        <v>0</v>
      </c>
      <c r="R1863" s="22" t="s">
        <v>2769</v>
      </c>
      <c r="S1863" s="22" t="s">
        <v>5097</v>
      </c>
      <c r="T1863" s="51">
        <v>32</v>
      </c>
      <c r="U1863" s="3" t="s">
        <v>5498</v>
      </c>
      <c r="V1863" s="41" t="str">
        <f>HYPERLINK("http://ictvonline.org/taxonomy/p/taxonomy-history?taxnode_id=20183843","ICTVonline=20183843")</f>
        <v>ICTVonline=20183843</v>
      </c>
    </row>
    <row r="1864" spans="1:22">
      <c r="A1864" s="3">
        <v>1863</v>
      </c>
      <c r="J1864" s="1" t="s">
        <v>5491</v>
      </c>
      <c r="L1864" s="1" t="s">
        <v>1651</v>
      </c>
      <c r="N1864" s="1" t="s">
        <v>1059</v>
      </c>
      <c r="P1864" s="1" t="s">
        <v>1681</v>
      </c>
      <c r="Q1864" s="3">
        <v>0</v>
      </c>
      <c r="R1864" s="22" t="s">
        <v>2769</v>
      </c>
      <c r="S1864" s="22" t="s">
        <v>5097</v>
      </c>
      <c r="T1864" s="51">
        <v>32</v>
      </c>
      <c r="U1864" s="3" t="s">
        <v>5498</v>
      </c>
      <c r="V1864" s="41" t="str">
        <f>HYPERLINK("http://ictvonline.org/taxonomy/p/taxonomy-history?taxnode_id=20183844","ICTVonline=20183844")</f>
        <v>ICTVonline=20183844</v>
      </c>
    </row>
    <row r="1865" spans="1:22">
      <c r="A1865" s="3">
        <v>1864</v>
      </c>
      <c r="J1865" s="1" t="s">
        <v>5491</v>
      </c>
      <c r="L1865" s="1" t="s">
        <v>1651</v>
      </c>
      <c r="N1865" s="1" t="s">
        <v>1059</v>
      </c>
      <c r="P1865" s="1" t="s">
        <v>1682</v>
      </c>
      <c r="Q1865" s="3">
        <v>0</v>
      </c>
      <c r="R1865" s="22" t="s">
        <v>2769</v>
      </c>
      <c r="S1865" s="22" t="s">
        <v>5097</v>
      </c>
      <c r="T1865" s="51">
        <v>32</v>
      </c>
      <c r="U1865" s="3" t="s">
        <v>5498</v>
      </c>
      <c r="V1865" s="41" t="str">
        <f>HYPERLINK("http://ictvonline.org/taxonomy/p/taxonomy-history?taxnode_id=20183845","ICTVonline=20183845")</f>
        <v>ICTVonline=20183845</v>
      </c>
    </row>
    <row r="1866" spans="1:22">
      <c r="A1866" s="3">
        <v>1865</v>
      </c>
      <c r="J1866" s="1" t="s">
        <v>5491</v>
      </c>
      <c r="L1866" s="1" t="s">
        <v>2146</v>
      </c>
      <c r="N1866" s="1" t="s">
        <v>2147</v>
      </c>
      <c r="P1866" s="1" t="s">
        <v>1531</v>
      </c>
      <c r="Q1866" s="3">
        <v>0</v>
      </c>
      <c r="R1866" s="22" t="s">
        <v>2769</v>
      </c>
      <c r="S1866" s="22" t="s">
        <v>5097</v>
      </c>
      <c r="T1866" s="51">
        <v>32</v>
      </c>
      <c r="U1866" s="3" t="s">
        <v>5498</v>
      </c>
      <c r="V1866" s="41" t="str">
        <f>HYPERLINK("http://ictvonline.org/taxonomy/p/taxonomy-history?taxnode_id=20184830","ICTVonline=20184830")</f>
        <v>ICTVonline=20184830</v>
      </c>
    </row>
    <row r="1867" spans="1:22">
      <c r="A1867" s="3">
        <v>1866</v>
      </c>
      <c r="J1867" s="1" t="s">
        <v>5491</v>
      </c>
      <c r="L1867" s="1" t="s">
        <v>2146</v>
      </c>
      <c r="N1867" s="1" t="s">
        <v>2147</v>
      </c>
      <c r="P1867" s="1" t="s">
        <v>1532</v>
      </c>
      <c r="Q1867" s="3">
        <v>0</v>
      </c>
      <c r="R1867" s="22" t="s">
        <v>2769</v>
      </c>
      <c r="S1867" s="22" t="s">
        <v>5097</v>
      </c>
      <c r="T1867" s="51">
        <v>32</v>
      </c>
      <c r="U1867" s="3" t="s">
        <v>5498</v>
      </c>
      <c r="V1867" s="41" t="str">
        <f>HYPERLINK("http://ictvonline.org/taxonomy/p/taxonomy-history?taxnode_id=20184831","ICTVonline=20184831")</f>
        <v>ICTVonline=20184831</v>
      </c>
    </row>
    <row r="1868" spans="1:22">
      <c r="A1868" s="3">
        <v>1867</v>
      </c>
      <c r="J1868" s="1" t="s">
        <v>5491</v>
      </c>
      <c r="L1868" s="1" t="s">
        <v>2146</v>
      </c>
      <c r="N1868" s="1" t="s">
        <v>2147</v>
      </c>
      <c r="P1868" s="1" t="s">
        <v>1567</v>
      </c>
      <c r="Q1868" s="3">
        <v>0</v>
      </c>
      <c r="R1868" s="22" t="s">
        <v>2769</v>
      </c>
      <c r="S1868" s="22" t="s">
        <v>5097</v>
      </c>
      <c r="T1868" s="51">
        <v>32</v>
      </c>
      <c r="U1868" s="3" t="s">
        <v>5498</v>
      </c>
      <c r="V1868" s="41" t="str">
        <f>HYPERLINK("http://ictvonline.org/taxonomy/p/taxonomy-history?taxnode_id=20184832","ICTVonline=20184832")</f>
        <v>ICTVonline=20184832</v>
      </c>
    </row>
    <row r="1869" spans="1:22">
      <c r="A1869" s="3">
        <v>1868</v>
      </c>
      <c r="J1869" s="1" t="s">
        <v>5491</v>
      </c>
      <c r="L1869" s="1" t="s">
        <v>2146</v>
      </c>
      <c r="N1869" s="1" t="s">
        <v>2147</v>
      </c>
      <c r="P1869" s="1" t="s">
        <v>1568</v>
      </c>
      <c r="Q1869" s="3">
        <v>0</v>
      </c>
      <c r="R1869" s="22" t="s">
        <v>2769</v>
      </c>
      <c r="S1869" s="22" t="s">
        <v>5097</v>
      </c>
      <c r="T1869" s="51">
        <v>32</v>
      </c>
      <c r="U1869" s="3" t="s">
        <v>5498</v>
      </c>
      <c r="V1869" s="41" t="str">
        <f>HYPERLINK("http://ictvonline.org/taxonomy/p/taxonomy-history?taxnode_id=20184833","ICTVonline=20184833")</f>
        <v>ICTVonline=20184833</v>
      </c>
    </row>
    <row r="1870" spans="1:22">
      <c r="A1870" s="3">
        <v>1869</v>
      </c>
      <c r="J1870" s="1" t="s">
        <v>5491</v>
      </c>
      <c r="L1870" s="1" t="s">
        <v>2146</v>
      </c>
      <c r="N1870" s="1" t="s">
        <v>2147</v>
      </c>
      <c r="P1870" s="1" t="s">
        <v>1883</v>
      </c>
      <c r="Q1870" s="3">
        <v>1</v>
      </c>
      <c r="R1870" s="22" t="s">
        <v>2769</v>
      </c>
      <c r="S1870" s="22" t="s">
        <v>5097</v>
      </c>
      <c r="T1870" s="51">
        <v>32</v>
      </c>
      <c r="U1870" s="3" t="s">
        <v>5498</v>
      </c>
      <c r="V1870" s="41" t="str">
        <f>HYPERLINK("http://ictvonline.org/taxonomy/p/taxonomy-history?taxnode_id=20184834","ICTVonline=20184834")</f>
        <v>ICTVonline=20184834</v>
      </c>
    </row>
    <row r="1871" spans="1:22">
      <c r="A1871" s="3">
        <v>1870</v>
      </c>
      <c r="J1871" s="1" t="s">
        <v>5491</v>
      </c>
      <c r="L1871" s="1" t="s">
        <v>2146</v>
      </c>
      <c r="N1871" s="1" t="s">
        <v>2147</v>
      </c>
      <c r="P1871" s="1" t="s">
        <v>1884</v>
      </c>
      <c r="Q1871" s="3">
        <v>0</v>
      </c>
      <c r="R1871" s="22" t="s">
        <v>2769</v>
      </c>
      <c r="S1871" s="22" t="s">
        <v>5097</v>
      </c>
      <c r="T1871" s="51">
        <v>32</v>
      </c>
      <c r="U1871" s="3" t="s">
        <v>5498</v>
      </c>
      <c r="V1871" s="41" t="str">
        <f>HYPERLINK("http://ictvonline.org/taxonomy/p/taxonomy-history?taxnode_id=20184835","ICTVonline=20184835")</f>
        <v>ICTVonline=20184835</v>
      </c>
    </row>
    <row r="1872" spans="1:22">
      <c r="A1872" s="3">
        <v>1871</v>
      </c>
      <c r="J1872" s="1" t="s">
        <v>5491</v>
      </c>
      <c r="L1872" s="1" t="s">
        <v>2146</v>
      </c>
      <c r="N1872" s="1" t="s">
        <v>2147</v>
      </c>
      <c r="P1872" s="1" t="s">
        <v>2088</v>
      </c>
      <c r="Q1872" s="3">
        <v>0</v>
      </c>
      <c r="R1872" s="22" t="s">
        <v>2769</v>
      </c>
      <c r="S1872" s="22" t="s">
        <v>5097</v>
      </c>
      <c r="T1872" s="51">
        <v>32</v>
      </c>
      <c r="U1872" s="3" t="s">
        <v>5498</v>
      </c>
      <c r="V1872" s="41" t="str">
        <f>HYPERLINK("http://ictvonline.org/taxonomy/p/taxonomy-history?taxnode_id=20184836","ICTVonline=20184836")</f>
        <v>ICTVonline=20184836</v>
      </c>
    </row>
    <row r="1873" spans="1:22">
      <c r="A1873" s="3">
        <v>1872</v>
      </c>
      <c r="J1873" s="1" t="s">
        <v>5491</v>
      </c>
      <c r="L1873" s="1" t="s">
        <v>2146</v>
      </c>
      <c r="N1873" s="1" t="s">
        <v>2147</v>
      </c>
      <c r="P1873" s="1" t="s">
        <v>1901</v>
      </c>
      <c r="Q1873" s="3">
        <v>0</v>
      </c>
      <c r="R1873" s="22" t="s">
        <v>2769</v>
      </c>
      <c r="S1873" s="22" t="s">
        <v>5097</v>
      </c>
      <c r="T1873" s="51">
        <v>32</v>
      </c>
      <c r="U1873" s="3" t="s">
        <v>5498</v>
      </c>
      <c r="V1873" s="41" t="str">
        <f>HYPERLINK("http://ictvonline.org/taxonomy/p/taxonomy-history?taxnode_id=20184837","ICTVonline=20184837")</f>
        <v>ICTVonline=20184837</v>
      </c>
    </row>
    <row r="1874" spans="1:22">
      <c r="A1874" s="3">
        <v>1873</v>
      </c>
      <c r="J1874" s="1" t="s">
        <v>5491</v>
      </c>
      <c r="L1874" s="1" t="s">
        <v>2146</v>
      </c>
      <c r="N1874" s="1" t="s">
        <v>1902</v>
      </c>
      <c r="P1874" s="1" t="s">
        <v>287</v>
      </c>
      <c r="Q1874" s="3">
        <v>0</v>
      </c>
      <c r="R1874" s="22" t="s">
        <v>2769</v>
      </c>
      <c r="S1874" s="22" t="s">
        <v>5097</v>
      </c>
      <c r="T1874" s="51">
        <v>32</v>
      </c>
      <c r="U1874" s="3" t="s">
        <v>5498</v>
      </c>
      <c r="V1874" s="41" t="str">
        <f>HYPERLINK("http://ictvonline.org/taxonomy/p/taxonomy-history?taxnode_id=20184839","ICTVonline=20184839")</f>
        <v>ICTVonline=20184839</v>
      </c>
    </row>
    <row r="1875" spans="1:22">
      <c r="A1875" s="3">
        <v>1874</v>
      </c>
      <c r="J1875" s="1" t="s">
        <v>5491</v>
      </c>
      <c r="L1875" s="1" t="s">
        <v>2146</v>
      </c>
      <c r="N1875" s="1" t="s">
        <v>1902</v>
      </c>
      <c r="P1875" s="1" t="s">
        <v>288</v>
      </c>
      <c r="Q1875" s="3">
        <v>0</v>
      </c>
      <c r="R1875" s="22" t="s">
        <v>2769</v>
      </c>
      <c r="S1875" s="22" t="s">
        <v>5097</v>
      </c>
      <c r="T1875" s="51">
        <v>32</v>
      </c>
      <c r="U1875" s="3" t="s">
        <v>5498</v>
      </c>
      <c r="V1875" s="41" t="str">
        <f>HYPERLINK("http://ictvonline.org/taxonomy/p/taxonomy-history?taxnode_id=20184840","ICTVonline=20184840")</f>
        <v>ICTVonline=20184840</v>
      </c>
    </row>
    <row r="1876" spans="1:22">
      <c r="A1876" s="3">
        <v>1875</v>
      </c>
      <c r="J1876" s="1" t="s">
        <v>5491</v>
      </c>
      <c r="L1876" s="1" t="s">
        <v>2146</v>
      </c>
      <c r="N1876" s="1" t="s">
        <v>1902</v>
      </c>
      <c r="P1876" s="1" t="s">
        <v>2776</v>
      </c>
      <c r="Q1876" s="3">
        <v>0</v>
      </c>
      <c r="R1876" s="22" t="s">
        <v>2769</v>
      </c>
      <c r="S1876" s="22" t="s">
        <v>5097</v>
      </c>
      <c r="T1876" s="51">
        <v>32</v>
      </c>
      <c r="U1876" s="3" t="s">
        <v>5498</v>
      </c>
      <c r="V1876" s="41" t="str">
        <f>HYPERLINK("http://ictvonline.org/taxonomy/p/taxonomy-history?taxnode_id=20184841","ICTVonline=20184841")</f>
        <v>ICTVonline=20184841</v>
      </c>
    </row>
    <row r="1877" spans="1:22">
      <c r="A1877" s="3">
        <v>1876</v>
      </c>
      <c r="J1877" s="1" t="s">
        <v>5491</v>
      </c>
      <c r="L1877" s="1" t="s">
        <v>2146</v>
      </c>
      <c r="N1877" s="1" t="s">
        <v>1902</v>
      </c>
      <c r="P1877" s="1" t="s">
        <v>1291</v>
      </c>
      <c r="Q1877" s="3">
        <v>0</v>
      </c>
      <c r="R1877" s="22" t="s">
        <v>2769</v>
      </c>
      <c r="S1877" s="22" t="s">
        <v>5097</v>
      </c>
      <c r="T1877" s="51">
        <v>32</v>
      </c>
      <c r="U1877" s="3" t="s">
        <v>5498</v>
      </c>
      <c r="V1877" s="41" t="str">
        <f>HYPERLINK("http://ictvonline.org/taxonomy/p/taxonomy-history?taxnode_id=20184842","ICTVonline=20184842")</f>
        <v>ICTVonline=20184842</v>
      </c>
    </row>
    <row r="1878" spans="1:22">
      <c r="A1878" s="3">
        <v>1877</v>
      </c>
      <c r="J1878" s="1" t="s">
        <v>5491</v>
      </c>
      <c r="L1878" s="1" t="s">
        <v>2146</v>
      </c>
      <c r="N1878" s="1" t="s">
        <v>1902</v>
      </c>
      <c r="P1878" s="1" t="s">
        <v>1292</v>
      </c>
      <c r="Q1878" s="3">
        <v>0</v>
      </c>
      <c r="R1878" s="22" t="s">
        <v>2769</v>
      </c>
      <c r="S1878" s="22" t="s">
        <v>5097</v>
      </c>
      <c r="T1878" s="51">
        <v>32</v>
      </c>
      <c r="U1878" s="3" t="s">
        <v>5498</v>
      </c>
      <c r="V1878" s="41" t="str">
        <f>HYPERLINK("http://ictvonline.org/taxonomy/p/taxonomy-history?taxnode_id=20184843","ICTVonline=20184843")</f>
        <v>ICTVonline=20184843</v>
      </c>
    </row>
    <row r="1879" spans="1:22">
      <c r="A1879" s="3">
        <v>1878</v>
      </c>
      <c r="J1879" s="1" t="s">
        <v>5491</v>
      </c>
      <c r="L1879" s="1" t="s">
        <v>2146</v>
      </c>
      <c r="N1879" s="1" t="s">
        <v>1902</v>
      </c>
      <c r="P1879" s="1" t="s">
        <v>1293</v>
      </c>
      <c r="Q1879" s="3">
        <v>0</v>
      </c>
      <c r="R1879" s="22" t="s">
        <v>2769</v>
      </c>
      <c r="S1879" s="22" t="s">
        <v>5097</v>
      </c>
      <c r="T1879" s="51">
        <v>32</v>
      </c>
      <c r="U1879" s="3" t="s">
        <v>5498</v>
      </c>
      <c r="V1879" s="41" t="str">
        <f>HYPERLINK("http://ictvonline.org/taxonomy/p/taxonomy-history?taxnode_id=20184844","ICTVonline=20184844")</f>
        <v>ICTVonline=20184844</v>
      </c>
    </row>
    <row r="1880" spans="1:22">
      <c r="A1880" s="3">
        <v>1879</v>
      </c>
      <c r="J1880" s="1" t="s">
        <v>5491</v>
      </c>
      <c r="L1880" s="1" t="s">
        <v>2146</v>
      </c>
      <c r="N1880" s="1" t="s">
        <v>1902</v>
      </c>
      <c r="P1880" s="1" t="s">
        <v>1294</v>
      </c>
      <c r="Q1880" s="3">
        <v>0</v>
      </c>
      <c r="R1880" s="22" t="s">
        <v>2769</v>
      </c>
      <c r="S1880" s="22" t="s">
        <v>5097</v>
      </c>
      <c r="T1880" s="51">
        <v>32</v>
      </c>
      <c r="U1880" s="3" t="s">
        <v>5498</v>
      </c>
      <c r="V1880" s="41" t="str">
        <f>HYPERLINK("http://ictvonline.org/taxonomy/p/taxonomy-history?taxnode_id=20184845","ICTVonline=20184845")</f>
        <v>ICTVonline=20184845</v>
      </c>
    </row>
    <row r="1881" spans="1:22">
      <c r="A1881" s="3">
        <v>1880</v>
      </c>
      <c r="J1881" s="1" t="s">
        <v>5491</v>
      </c>
      <c r="L1881" s="1" t="s">
        <v>2146</v>
      </c>
      <c r="N1881" s="1" t="s">
        <v>1902</v>
      </c>
      <c r="P1881" s="1" t="s">
        <v>1295</v>
      </c>
      <c r="Q1881" s="3">
        <v>0</v>
      </c>
      <c r="R1881" s="22" t="s">
        <v>2769</v>
      </c>
      <c r="S1881" s="22" t="s">
        <v>5097</v>
      </c>
      <c r="T1881" s="51">
        <v>32</v>
      </c>
      <c r="U1881" s="3" t="s">
        <v>5498</v>
      </c>
      <c r="V1881" s="41" t="str">
        <f>HYPERLINK("http://ictvonline.org/taxonomy/p/taxonomy-history?taxnode_id=20184846","ICTVonline=20184846")</f>
        <v>ICTVonline=20184846</v>
      </c>
    </row>
    <row r="1882" spans="1:22">
      <c r="A1882" s="3">
        <v>1881</v>
      </c>
      <c r="J1882" s="1" t="s">
        <v>5491</v>
      </c>
      <c r="L1882" s="1" t="s">
        <v>2146</v>
      </c>
      <c r="N1882" s="1" t="s">
        <v>1902</v>
      </c>
      <c r="P1882" s="1" t="s">
        <v>1296</v>
      </c>
      <c r="Q1882" s="3">
        <v>0</v>
      </c>
      <c r="R1882" s="22" t="s">
        <v>2769</v>
      </c>
      <c r="S1882" s="22" t="s">
        <v>5097</v>
      </c>
      <c r="T1882" s="51">
        <v>32</v>
      </c>
      <c r="U1882" s="3" t="s">
        <v>5498</v>
      </c>
      <c r="V1882" s="41" t="str">
        <f>HYPERLINK("http://ictvonline.org/taxonomy/p/taxonomy-history?taxnode_id=20184847","ICTVonline=20184847")</f>
        <v>ICTVonline=20184847</v>
      </c>
    </row>
    <row r="1883" spans="1:22">
      <c r="A1883" s="3">
        <v>1882</v>
      </c>
      <c r="J1883" s="1" t="s">
        <v>5491</v>
      </c>
      <c r="L1883" s="1" t="s">
        <v>2146</v>
      </c>
      <c r="N1883" s="1" t="s">
        <v>1902</v>
      </c>
      <c r="P1883" s="1" t="s">
        <v>1297</v>
      </c>
      <c r="Q1883" s="3">
        <v>0</v>
      </c>
      <c r="R1883" s="22" t="s">
        <v>2769</v>
      </c>
      <c r="S1883" s="22" t="s">
        <v>5097</v>
      </c>
      <c r="T1883" s="51">
        <v>32</v>
      </c>
      <c r="U1883" s="3" t="s">
        <v>5498</v>
      </c>
      <c r="V1883" s="41" t="str">
        <f>HYPERLINK("http://ictvonline.org/taxonomy/p/taxonomy-history?taxnode_id=20184848","ICTVonline=20184848")</f>
        <v>ICTVonline=20184848</v>
      </c>
    </row>
    <row r="1884" spans="1:22">
      <c r="A1884" s="3">
        <v>1883</v>
      </c>
      <c r="J1884" s="1" t="s">
        <v>5491</v>
      </c>
      <c r="L1884" s="1" t="s">
        <v>2146</v>
      </c>
      <c r="N1884" s="1" t="s">
        <v>1902</v>
      </c>
      <c r="P1884" s="1" t="s">
        <v>1693</v>
      </c>
      <c r="Q1884" s="3">
        <v>0</v>
      </c>
      <c r="R1884" s="22" t="s">
        <v>2769</v>
      </c>
      <c r="S1884" s="22" t="s">
        <v>5097</v>
      </c>
      <c r="T1884" s="51">
        <v>32</v>
      </c>
      <c r="U1884" s="3" t="s">
        <v>5498</v>
      </c>
      <c r="V1884" s="41" t="str">
        <f>HYPERLINK("http://ictvonline.org/taxonomy/p/taxonomy-history?taxnode_id=20184849","ICTVonline=20184849")</f>
        <v>ICTVonline=20184849</v>
      </c>
    </row>
    <row r="1885" spans="1:22">
      <c r="A1885" s="3">
        <v>1884</v>
      </c>
      <c r="J1885" s="1" t="s">
        <v>5491</v>
      </c>
      <c r="L1885" s="1" t="s">
        <v>2146</v>
      </c>
      <c r="N1885" s="1" t="s">
        <v>1902</v>
      </c>
      <c r="P1885" s="1" t="s">
        <v>1694</v>
      </c>
      <c r="Q1885" s="3">
        <v>0</v>
      </c>
      <c r="R1885" s="22" t="s">
        <v>2769</v>
      </c>
      <c r="S1885" s="22" t="s">
        <v>5097</v>
      </c>
      <c r="T1885" s="51">
        <v>32</v>
      </c>
      <c r="U1885" s="3" t="s">
        <v>5498</v>
      </c>
      <c r="V1885" s="41" t="str">
        <f>HYPERLINK("http://ictvonline.org/taxonomy/p/taxonomy-history?taxnode_id=20184850","ICTVonline=20184850")</f>
        <v>ICTVonline=20184850</v>
      </c>
    </row>
    <row r="1886" spans="1:22">
      <c r="A1886" s="3">
        <v>1885</v>
      </c>
      <c r="J1886" s="1" t="s">
        <v>5491</v>
      </c>
      <c r="L1886" s="1" t="s">
        <v>2146</v>
      </c>
      <c r="N1886" s="1" t="s">
        <v>1902</v>
      </c>
      <c r="P1886" s="1" t="s">
        <v>1695</v>
      </c>
      <c r="Q1886" s="3">
        <v>0</v>
      </c>
      <c r="R1886" s="22" t="s">
        <v>2769</v>
      </c>
      <c r="S1886" s="22" t="s">
        <v>5097</v>
      </c>
      <c r="T1886" s="51">
        <v>32</v>
      </c>
      <c r="U1886" s="3" t="s">
        <v>5498</v>
      </c>
      <c r="V1886" s="41" t="str">
        <f>HYPERLINK("http://ictvonline.org/taxonomy/p/taxonomy-history?taxnode_id=20184851","ICTVonline=20184851")</f>
        <v>ICTVonline=20184851</v>
      </c>
    </row>
    <row r="1887" spans="1:22">
      <c r="A1887" s="3">
        <v>1886</v>
      </c>
      <c r="J1887" s="1" t="s">
        <v>5491</v>
      </c>
      <c r="L1887" s="1" t="s">
        <v>2146</v>
      </c>
      <c r="N1887" s="1" t="s">
        <v>1902</v>
      </c>
      <c r="P1887" s="1" t="s">
        <v>1696</v>
      </c>
      <c r="Q1887" s="3">
        <v>1</v>
      </c>
      <c r="R1887" s="22" t="s">
        <v>2769</v>
      </c>
      <c r="S1887" s="22" t="s">
        <v>5097</v>
      </c>
      <c r="T1887" s="51">
        <v>32</v>
      </c>
      <c r="U1887" s="3" t="s">
        <v>5498</v>
      </c>
      <c r="V1887" s="41" t="str">
        <f>HYPERLINK("http://ictvonline.org/taxonomy/p/taxonomy-history?taxnode_id=20184852","ICTVonline=20184852")</f>
        <v>ICTVonline=20184852</v>
      </c>
    </row>
    <row r="1888" spans="1:22">
      <c r="A1888" s="3">
        <v>1887</v>
      </c>
      <c r="J1888" s="1" t="s">
        <v>5491</v>
      </c>
      <c r="L1888" s="1" t="s">
        <v>2146</v>
      </c>
      <c r="N1888" s="1" t="s">
        <v>1902</v>
      </c>
      <c r="P1888" s="1" t="s">
        <v>1697</v>
      </c>
      <c r="Q1888" s="3">
        <v>0</v>
      </c>
      <c r="R1888" s="22" t="s">
        <v>2769</v>
      </c>
      <c r="S1888" s="22" t="s">
        <v>5097</v>
      </c>
      <c r="T1888" s="51">
        <v>32</v>
      </c>
      <c r="U1888" s="3" t="s">
        <v>5498</v>
      </c>
      <c r="V1888" s="41" t="str">
        <f>HYPERLINK("http://ictvonline.org/taxonomy/p/taxonomy-history?taxnode_id=20184853","ICTVonline=20184853")</f>
        <v>ICTVonline=20184853</v>
      </c>
    </row>
    <row r="1889" spans="1:22">
      <c r="A1889" s="3">
        <v>1888</v>
      </c>
      <c r="J1889" s="1" t="s">
        <v>5491</v>
      </c>
      <c r="L1889" s="1" t="s">
        <v>2146</v>
      </c>
      <c r="N1889" s="1" t="s">
        <v>1902</v>
      </c>
      <c r="P1889" s="1" t="s">
        <v>712</v>
      </c>
      <c r="Q1889" s="3">
        <v>0</v>
      </c>
      <c r="R1889" s="22" t="s">
        <v>2769</v>
      </c>
      <c r="S1889" s="22" t="s">
        <v>5097</v>
      </c>
      <c r="T1889" s="51">
        <v>32</v>
      </c>
      <c r="U1889" s="3" t="s">
        <v>5498</v>
      </c>
      <c r="V1889" s="41" t="str">
        <f>HYPERLINK("http://ictvonline.org/taxonomy/p/taxonomy-history?taxnode_id=20184854","ICTVonline=20184854")</f>
        <v>ICTVonline=20184854</v>
      </c>
    </row>
    <row r="1890" spans="1:22">
      <c r="A1890" s="3">
        <v>1889</v>
      </c>
      <c r="J1890" s="1" t="s">
        <v>5491</v>
      </c>
      <c r="L1890" s="1" t="s">
        <v>2146</v>
      </c>
      <c r="N1890" s="1" t="s">
        <v>1902</v>
      </c>
      <c r="P1890" s="1" t="s">
        <v>1769</v>
      </c>
      <c r="Q1890" s="3">
        <v>0</v>
      </c>
      <c r="R1890" s="22" t="s">
        <v>2769</v>
      </c>
      <c r="S1890" s="22" t="s">
        <v>5097</v>
      </c>
      <c r="T1890" s="51">
        <v>32</v>
      </c>
      <c r="U1890" s="3" t="s">
        <v>5498</v>
      </c>
      <c r="V1890" s="41" t="str">
        <f>HYPERLINK("http://ictvonline.org/taxonomy/p/taxonomy-history?taxnode_id=20184855","ICTVonline=20184855")</f>
        <v>ICTVonline=20184855</v>
      </c>
    </row>
    <row r="1891" spans="1:22">
      <c r="A1891" s="3">
        <v>1890</v>
      </c>
      <c r="J1891" s="1" t="s">
        <v>5491</v>
      </c>
      <c r="L1891" s="1" t="s">
        <v>2146</v>
      </c>
      <c r="N1891" s="1" t="s">
        <v>1902</v>
      </c>
      <c r="P1891" s="1" t="s">
        <v>5509</v>
      </c>
      <c r="Q1891" s="3">
        <v>0</v>
      </c>
      <c r="R1891" s="22" t="s">
        <v>2769</v>
      </c>
      <c r="S1891" s="22" t="s">
        <v>5097</v>
      </c>
      <c r="T1891" s="51">
        <v>32</v>
      </c>
      <c r="U1891" s="3" t="s">
        <v>5498</v>
      </c>
      <c r="V1891" s="41" t="str">
        <f>HYPERLINK("http://ictvonline.org/taxonomy/p/taxonomy-history?taxnode_id=20184856","ICTVonline=20184856")</f>
        <v>ICTVonline=20184856</v>
      </c>
    </row>
    <row r="1892" spans="1:22">
      <c r="A1892" s="3">
        <v>1891</v>
      </c>
      <c r="J1892" s="1" t="s">
        <v>5491</v>
      </c>
      <c r="L1892" s="1" t="s">
        <v>2146</v>
      </c>
      <c r="N1892" s="1" t="s">
        <v>1902</v>
      </c>
      <c r="P1892" s="1" t="s">
        <v>1770</v>
      </c>
      <c r="Q1892" s="3">
        <v>0</v>
      </c>
      <c r="R1892" s="22" t="s">
        <v>2769</v>
      </c>
      <c r="S1892" s="22" t="s">
        <v>5097</v>
      </c>
      <c r="T1892" s="51">
        <v>32</v>
      </c>
      <c r="U1892" s="3" t="s">
        <v>5498</v>
      </c>
      <c r="V1892" s="41" t="str">
        <f>HYPERLINK("http://ictvonline.org/taxonomy/p/taxonomy-history?taxnode_id=20184857","ICTVonline=20184857")</f>
        <v>ICTVonline=20184857</v>
      </c>
    </row>
    <row r="1893" spans="1:22">
      <c r="A1893" s="3">
        <v>1892</v>
      </c>
      <c r="J1893" s="1" t="s">
        <v>5491</v>
      </c>
      <c r="L1893" s="1" t="s">
        <v>2146</v>
      </c>
      <c r="N1893" s="1" t="s">
        <v>1902</v>
      </c>
      <c r="P1893" s="1" t="s">
        <v>5510</v>
      </c>
      <c r="Q1893" s="3">
        <v>0</v>
      </c>
      <c r="R1893" s="22" t="s">
        <v>2769</v>
      </c>
      <c r="S1893" s="22" t="s">
        <v>5097</v>
      </c>
      <c r="T1893" s="51">
        <v>32</v>
      </c>
      <c r="U1893" s="3" t="s">
        <v>5498</v>
      </c>
      <c r="V1893" s="41" t="str">
        <f>HYPERLINK("http://ictvonline.org/taxonomy/p/taxonomy-history?taxnode_id=20184858","ICTVonline=20184858")</f>
        <v>ICTVonline=20184858</v>
      </c>
    </row>
    <row r="1894" spans="1:22">
      <c r="A1894" s="3">
        <v>1893</v>
      </c>
      <c r="J1894" s="1" t="s">
        <v>5491</v>
      </c>
      <c r="L1894" s="1" t="s">
        <v>2146</v>
      </c>
      <c r="N1894" s="1" t="s">
        <v>715</v>
      </c>
      <c r="P1894" s="1" t="s">
        <v>716</v>
      </c>
      <c r="Q1894" s="3">
        <v>0</v>
      </c>
      <c r="R1894" s="22" t="s">
        <v>2769</v>
      </c>
      <c r="S1894" s="22" t="s">
        <v>5097</v>
      </c>
      <c r="T1894" s="51">
        <v>32</v>
      </c>
      <c r="U1894" s="3" t="s">
        <v>5498</v>
      </c>
      <c r="V1894" s="41" t="str">
        <f>HYPERLINK("http://ictvonline.org/taxonomy/p/taxonomy-history?taxnode_id=20184860","ICTVonline=20184860")</f>
        <v>ICTVonline=20184860</v>
      </c>
    </row>
    <row r="1895" spans="1:22">
      <c r="A1895" s="3">
        <v>1894</v>
      </c>
      <c r="J1895" s="1" t="s">
        <v>5491</v>
      </c>
      <c r="L1895" s="1" t="s">
        <v>2146</v>
      </c>
      <c r="N1895" s="1" t="s">
        <v>715</v>
      </c>
      <c r="P1895" s="1" t="s">
        <v>717</v>
      </c>
      <c r="Q1895" s="3">
        <v>1</v>
      </c>
      <c r="R1895" s="22" t="s">
        <v>2769</v>
      </c>
      <c r="S1895" s="22" t="s">
        <v>5097</v>
      </c>
      <c r="T1895" s="51">
        <v>32</v>
      </c>
      <c r="U1895" s="3" t="s">
        <v>5498</v>
      </c>
      <c r="V1895" s="41" t="str">
        <f>HYPERLINK("http://ictvonline.org/taxonomy/p/taxonomy-history?taxnode_id=20184861","ICTVonline=20184861")</f>
        <v>ICTVonline=20184861</v>
      </c>
    </row>
    <row r="1896" spans="1:22">
      <c r="A1896" s="3">
        <v>1895</v>
      </c>
      <c r="J1896" s="1" t="s">
        <v>5491</v>
      </c>
      <c r="L1896" s="1" t="s">
        <v>2146</v>
      </c>
      <c r="N1896" s="1" t="s">
        <v>715</v>
      </c>
      <c r="P1896" s="1" t="s">
        <v>718</v>
      </c>
      <c r="Q1896" s="3">
        <v>0</v>
      </c>
      <c r="R1896" s="22" t="s">
        <v>2769</v>
      </c>
      <c r="S1896" s="22" t="s">
        <v>5097</v>
      </c>
      <c r="T1896" s="51">
        <v>32</v>
      </c>
      <c r="U1896" s="3" t="s">
        <v>5498</v>
      </c>
      <c r="V1896" s="41" t="str">
        <f>HYPERLINK("http://ictvonline.org/taxonomy/p/taxonomy-history?taxnode_id=20184862","ICTVonline=20184862")</f>
        <v>ICTVonline=20184862</v>
      </c>
    </row>
    <row r="1897" spans="1:22">
      <c r="A1897" s="3">
        <v>1896</v>
      </c>
      <c r="J1897" s="1" t="s">
        <v>5491</v>
      </c>
      <c r="L1897" s="1" t="s">
        <v>2146</v>
      </c>
      <c r="N1897" s="1" t="s">
        <v>715</v>
      </c>
      <c r="P1897" s="1" t="s">
        <v>5511</v>
      </c>
      <c r="Q1897" s="3">
        <v>0</v>
      </c>
      <c r="R1897" s="22" t="s">
        <v>2769</v>
      </c>
      <c r="S1897" s="22" t="s">
        <v>5097</v>
      </c>
      <c r="T1897" s="51">
        <v>32</v>
      </c>
      <c r="U1897" s="3" t="s">
        <v>5498</v>
      </c>
      <c r="V1897" s="41" t="str">
        <f>HYPERLINK("http://ictvonline.org/taxonomy/p/taxonomy-history?taxnode_id=20184863","ICTVonline=20184863")</f>
        <v>ICTVonline=20184863</v>
      </c>
    </row>
    <row r="1898" spans="1:22">
      <c r="A1898" s="3">
        <v>1897</v>
      </c>
      <c r="J1898" s="1" t="s">
        <v>5491</v>
      </c>
      <c r="L1898" s="1" t="s">
        <v>2146</v>
      </c>
      <c r="N1898" s="1" t="s">
        <v>715</v>
      </c>
      <c r="P1898" s="1" t="s">
        <v>5512</v>
      </c>
      <c r="Q1898" s="3">
        <v>0</v>
      </c>
      <c r="R1898" s="22" t="s">
        <v>2769</v>
      </c>
      <c r="S1898" s="22" t="s">
        <v>5097</v>
      </c>
      <c r="T1898" s="51">
        <v>32</v>
      </c>
      <c r="U1898" s="3" t="s">
        <v>5498</v>
      </c>
      <c r="V1898" s="41" t="str">
        <f>HYPERLINK("http://ictvonline.org/taxonomy/p/taxonomy-history?taxnode_id=20184864","ICTVonline=20184864")</f>
        <v>ICTVonline=20184864</v>
      </c>
    </row>
    <row r="1899" spans="1:22">
      <c r="A1899" s="3">
        <v>1898</v>
      </c>
      <c r="J1899" s="1" t="s">
        <v>5491</v>
      </c>
      <c r="L1899" s="1" t="s">
        <v>2146</v>
      </c>
      <c r="P1899" s="1" t="s">
        <v>1774</v>
      </c>
      <c r="Q1899" s="3">
        <v>0</v>
      </c>
      <c r="R1899" s="22" t="s">
        <v>2769</v>
      </c>
      <c r="S1899" s="22" t="s">
        <v>5097</v>
      </c>
      <c r="T1899" s="51">
        <v>32</v>
      </c>
      <c r="U1899" s="3" t="s">
        <v>5498</v>
      </c>
      <c r="V1899" s="41" t="str">
        <f>HYPERLINK("http://ictvonline.org/taxonomy/p/taxonomy-history?taxnode_id=20184866","ICTVonline=20184866")</f>
        <v>ICTVonline=20184866</v>
      </c>
    </row>
    <row r="1900" spans="1:22">
      <c r="A1900" s="3">
        <v>1899</v>
      </c>
      <c r="J1900" s="1" t="s">
        <v>5491</v>
      </c>
      <c r="L1900" s="1" t="s">
        <v>360</v>
      </c>
      <c r="M1900" s="1" t="s">
        <v>361</v>
      </c>
      <c r="N1900" s="1" t="s">
        <v>362</v>
      </c>
      <c r="P1900" s="1" t="s">
        <v>241</v>
      </c>
      <c r="Q1900" s="3">
        <v>0</v>
      </c>
      <c r="R1900" s="22" t="s">
        <v>2769</v>
      </c>
      <c r="S1900" s="22" t="s">
        <v>5097</v>
      </c>
      <c r="T1900" s="51">
        <v>32</v>
      </c>
      <c r="U1900" s="3" t="s">
        <v>5498</v>
      </c>
      <c r="V1900" s="41" t="str">
        <f>HYPERLINK("http://ictvonline.org/taxonomy/p/taxonomy-history?taxnode_id=20184982","ICTVonline=20184982")</f>
        <v>ICTVonline=20184982</v>
      </c>
    </row>
    <row r="1901" spans="1:22">
      <c r="A1901" s="3">
        <v>1900</v>
      </c>
      <c r="J1901" s="1" t="s">
        <v>5491</v>
      </c>
      <c r="L1901" s="1" t="s">
        <v>360</v>
      </c>
      <c r="M1901" s="1" t="s">
        <v>361</v>
      </c>
      <c r="N1901" s="1" t="s">
        <v>362</v>
      </c>
      <c r="P1901" s="1" t="s">
        <v>366</v>
      </c>
      <c r="Q1901" s="3">
        <v>1</v>
      </c>
      <c r="R1901" s="22" t="s">
        <v>2769</v>
      </c>
      <c r="S1901" s="22" t="s">
        <v>5097</v>
      </c>
      <c r="T1901" s="51">
        <v>32</v>
      </c>
      <c r="U1901" s="3" t="s">
        <v>5498</v>
      </c>
      <c r="V1901" s="41" t="str">
        <f>HYPERLINK("http://ictvonline.org/taxonomy/p/taxonomy-history?taxnode_id=20184983","ICTVonline=20184983")</f>
        <v>ICTVonline=20184983</v>
      </c>
    </row>
    <row r="1902" spans="1:22">
      <c r="A1902" s="3">
        <v>1901</v>
      </c>
      <c r="J1902" s="1" t="s">
        <v>5491</v>
      </c>
      <c r="L1902" s="1" t="s">
        <v>360</v>
      </c>
      <c r="M1902" s="1" t="s">
        <v>361</v>
      </c>
      <c r="N1902" s="1" t="s">
        <v>362</v>
      </c>
      <c r="P1902" s="1" t="s">
        <v>242</v>
      </c>
      <c r="Q1902" s="3">
        <v>0</v>
      </c>
      <c r="R1902" s="22" t="s">
        <v>2769</v>
      </c>
      <c r="S1902" s="22" t="s">
        <v>5097</v>
      </c>
      <c r="T1902" s="51">
        <v>32</v>
      </c>
      <c r="U1902" s="3" t="s">
        <v>5498</v>
      </c>
      <c r="V1902" s="41" t="str">
        <f>HYPERLINK("http://ictvonline.org/taxonomy/p/taxonomy-history?taxnode_id=20184984","ICTVonline=20184984")</f>
        <v>ICTVonline=20184984</v>
      </c>
    </row>
    <row r="1903" spans="1:22">
      <c r="A1903" s="3">
        <v>1902</v>
      </c>
      <c r="J1903" s="1" t="s">
        <v>5491</v>
      </c>
      <c r="L1903" s="1" t="s">
        <v>360</v>
      </c>
      <c r="M1903" s="1" t="s">
        <v>361</v>
      </c>
      <c r="N1903" s="1" t="s">
        <v>362</v>
      </c>
      <c r="P1903" s="1" t="s">
        <v>243</v>
      </c>
      <c r="Q1903" s="3">
        <v>0</v>
      </c>
      <c r="R1903" s="22" t="s">
        <v>2769</v>
      </c>
      <c r="S1903" s="22" t="s">
        <v>5097</v>
      </c>
      <c r="T1903" s="51">
        <v>32</v>
      </c>
      <c r="U1903" s="3" t="s">
        <v>5498</v>
      </c>
      <c r="V1903" s="41" t="str">
        <f>HYPERLINK("http://ictvonline.org/taxonomy/p/taxonomy-history?taxnode_id=20184985","ICTVonline=20184985")</f>
        <v>ICTVonline=20184985</v>
      </c>
    </row>
    <row r="1904" spans="1:22">
      <c r="A1904" s="3">
        <v>1903</v>
      </c>
      <c r="J1904" s="1" t="s">
        <v>5491</v>
      </c>
      <c r="L1904" s="1" t="s">
        <v>360</v>
      </c>
      <c r="M1904" s="1" t="s">
        <v>361</v>
      </c>
      <c r="N1904" s="1" t="s">
        <v>362</v>
      </c>
      <c r="P1904" s="1" t="s">
        <v>244</v>
      </c>
      <c r="Q1904" s="3">
        <v>0</v>
      </c>
      <c r="R1904" s="22" t="s">
        <v>2769</v>
      </c>
      <c r="S1904" s="22" t="s">
        <v>5097</v>
      </c>
      <c r="T1904" s="51">
        <v>32</v>
      </c>
      <c r="U1904" s="3" t="s">
        <v>5498</v>
      </c>
      <c r="V1904" s="41" t="str">
        <f>HYPERLINK("http://ictvonline.org/taxonomy/p/taxonomy-history?taxnode_id=20184986","ICTVonline=20184986")</f>
        <v>ICTVonline=20184986</v>
      </c>
    </row>
    <row r="1905" spans="1:22">
      <c r="A1905" s="3">
        <v>1904</v>
      </c>
      <c r="J1905" s="1" t="s">
        <v>5491</v>
      </c>
      <c r="L1905" s="1" t="s">
        <v>360</v>
      </c>
      <c r="M1905" s="1" t="s">
        <v>361</v>
      </c>
      <c r="N1905" s="1" t="s">
        <v>362</v>
      </c>
      <c r="P1905" s="1" t="s">
        <v>1824</v>
      </c>
      <c r="Q1905" s="3">
        <v>0</v>
      </c>
      <c r="R1905" s="22" t="s">
        <v>2769</v>
      </c>
      <c r="S1905" s="22" t="s">
        <v>5097</v>
      </c>
      <c r="T1905" s="51">
        <v>32</v>
      </c>
      <c r="U1905" s="3" t="s">
        <v>5498</v>
      </c>
      <c r="V1905" s="41" t="str">
        <f>HYPERLINK("http://ictvonline.org/taxonomy/p/taxonomy-history?taxnode_id=20184987","ICTVonline=20184987")</f>
        <v>ICTVonline=20184987</v>
      </c>
    </row>
    <row r="1906" spans="1:22">
      <c r="A1906" s="3">
        <v>1905</v>
      </c>
      <c r="J1906" s="1" t="s">
        <v>5491</v>
      </c>
      <c r="L1906" s="1" t="s">
        <v>360</v>
      </c>
      <c r="M1906" s="1" t="s">
        <v>361</v>
      </c>
      <c r="N1906" s="1" t="s">
        <v>362</v>
      </c>
      <c r="P1906" s="1" t="s">
        <v>1825</v>
      </c>
      <c r="Q1906" s="3">
        <v>0</v>
      </c>
      <c r="R1906" s="22" t="s">
        <v>2769</v>
      </c>
      <c r="S1906" s="22" t="s">
        <v>5097</v>
      </c>
      <c r="T1906" s="51">
        <v>32</v>
      </c>
      <c r="U1906" s="3" t="s">
        <v>5498</v>
      </c>
      <c r="V1906" s="41" t="str">
        <f>HYPERLINK("http://ictvonline.org/taxonomy/p/taxonomy-history?taxnode_id=20184988","ICTVonline=20184988")</f>
        <v>ICTVonline=20184988</v>
      </c>
    </row>
    <row r="1907" spans="1:22">
      <c r="A1907" s="3">
        <v>1906</v>
      </c>
      <c r="J1907" s="1" t="s">
        <v>5491</v>
      </c>
      <c r="L1907" s="1" t="s">
        <v>360</v>
      </c>
      <c r="M1907" s="1" t="s">
        <v>361</v>
      </c>
      <c r="N1907" s="1" t="s">
        <v>362</v>
      </c>
      <c r="P1907" s="1" t="s">
        <v>693</v>
      </c>
      <c r="Q1907" s="3">
        <v>0</v>
      </c>
      <c r="R1907" s="22" t="s">
        <v>2769</v>
      </c>
      <c r="S1907" s="22" t="s">
        <v>5097</v>
      </c>
      <c r="T1907" s="51">
        <v>32</v>
      </c>
      <c r="U1907" s="3" t="s">
        <v>5498</v>
      </c>
      <c r="V1907" s="41" t="str">
        <f>HYPERLINK("http://ictvonline.org/taxonomy/p/taxonomy-history?taxnode_id=20184989","ICTVonline=20184989")</f>
        <v>ICTVonline=20184989</v>
      </c>
    </row>
    <row r="1908" spans="1:22">
      <c r="A1908" s="3">
        <v>1907</v>
      </c>
      <c r="J1908" s="1" t="s">
        <v>5491</v>
      </c>
      <c r="L1908" s="1" t="s">
        <v>360</v>
      </c>
      <c r="M1908" s="1" t="s">
        <v>361</v>
      </c>
      <c r="N1908" s="1" t="s">
        <v>362</v>
      </c>
      <c r="P1908" s="1" t="s">
        <v>694</v>
      </c>
      <c r="Q1908" s="3">
        <v>0</v>
      </c>
      <c r="R1908" s="22" t="s">
        <v>2769</v>
      </c>
      <c r="S1908" s="22" t="s">
        <v>5097</v>
      </c>
      <c r="T1908" s="51">
        <v>32</v>
      </c>
      <c r="U1908" s="3" t="s">
        <v>5498</v>
      </c>
      <c r="V1908" s="41" t="str">
        <f>HYPERLINK("http://ictvonline.org/taxonomy/p/taxonomy-history?taxnode_id=20184990","ICTVonline=20184990")</f>
        <v>ICTVonline=20184990</v>
      </c>
    </row>
    <row r="1909" spans="1:22">
      <c r="A1909" s="3">
        <v>1908</v>
      </c>
      <c r="J1909" s="1" t="s">
        <v>5491</v>
      </c>
      <c r="L1909" s="1" t="s">
        <v>360</v>
      </c>
      <c r="M1909" s="1" t="s">
        <v>361</v>
      </c>
      <c r="N1909" s="1" t="s">
        <v>695</v>
      </c>
      <c r="P1909" s="1" t="s">
        <v>798</v>
      </c>
      <c r="Q1909" s="3">
        <v>0</v>
      </c>
      <c r="R1909" s="22" t="s">
        <v>2769</v>
      </c>
      <c r="S1909" s="22" t="s">
        <v>5097</v>
      </c>
      <c r="T1909" s="51">
        <v>32</v>
      </c>
      <c r="U1909" s="3" t="s">
        <v>5498</v>
      </c>
      <c r="V1909" s="41" t="str">
        <f>HYPERLINK("http://ictvonline.org/taxonomy/p/taxonomy-history?taxnode_id=20184992","ICTVonline=20184992")</f>
        <v>ICTVonline=20184992</v>
      </c>
    </row>
    <row r="1910" spans="1:22">
      <c r="A1910" s="3">
        <v>1909</v>
      </c>
      <c r="J1910" s="1" t="s">
        <v>5491</v>
      </c>
      <c r="L1910" s="1" t="s">
        <v>360</v>
      </c>
      <c r="M1910" s="1" t="s">
        <v>361</v>
      </c>
      <c r="N1910" s="1" t="s">
        <v>695</v>
      </c>
      <c r="P1910" s="1" t="s">
        <v>799</v>
      </c>
      <c r="Q1910" s="3">
        <v>0</v>
      </c>
      <c r="R1910" s="22" t="s">
        <v>2769</v>
      </c>
      <c r="S1910" s="22" t="s">
        <v>5097</v>
      </c>
      <c r="T1910" s="51">
        <v>32</v>
      </c>
      <c r="U1910" s="3" t="s">
        <v>5498</v>
      </c>
      <c r="V1910" s="41" t="str">
        <f>HYPERLINK("http://ictvonline.org/taxonomy/p/taxonomy-history?taxnode_id=20184993","ICTVonline=20184993")</f>
        <v>ICTVonline=20184993</v>
      </c>
    </row>
    <row r="1911" spans="1:22">
      <c r="A1911" s="3">
        <v>1910</v>
      </c>
      <c r="J1911" s="1" t="s">
        <v>5491</v>
      </c>
      <c r="L1911" s="1" t="s">
        <v>360</v>
      </c>
      <c r="M1911" s="1" t="s">
        <v>361</v>
      </c>
      <c r="N1911" s="1" t="s">
        <v>695</v>
      </c>
      <c r="P1911" s="1" t="s">
        <v>800</v>
      </c>
      <c r="Q1911" s="3">
        <v>0</v>
      </c>
      <c r="R1911" s="22" t="s">
        <v>2769</v>
      </c>
      <c r="S1911" s="22" t="s">
        <v>5097</v>
      </c>
      <c r="T1911" s="51">
        <v>32</v>
      </c>
      <c r="U1911" s="3" t="s">
        <v>5498</v>
      </c>
      <c r="V1911" s="41" t="str">
        <f>HYPERLINK("http://ictvonline.org/taxonomy/p/taxonomy-history?taxnode_id=20184994","ICTVonline=20184994")</f>
        <v>ICTVonline=20184994</v>
      </c>
    </row>
    <row r="1912" spans="1:22">
      <c r="A1912" s="3">
        <v>1911</v>
      </c>
      <c r="J1912" s="1" t="s">
        <v>5491</v>
      </c>
      <c r="L1912" s="1" t="s">
        <v>360</v>
      </c>
      <c r="M1912" s="1" t="s">
        <v>361</v>
      </c>
      <c r="N1912" s="1" t="s">
        <v>695</v>
      </c>
      <c r="P1912" s="1" t="s">
        <v>795</v>
      </c>
      <c r="Q1912" s="3">
        <v>1</v>
      </c>
      <c r="R1912" s="22" t="s">
        <v>2769</v>
      </c>
      <c r="S1912" s="22" t="s">
        <v>5097</v>
      </c>
      <c r="T1912" s="51">
        <v>32</v>
      </c>
      <c r="U1912" s="3" t="s">
        <v>5498</v>
      </c>
      <c r="V1912" s="41" t="str">
        <f>HYPERLINK("http://ictvonline.org/taxonomy/p/taxonomy-history?taxnode_id=20184995","ICTVonline=20184995")</f>
        <v>ICTVonline=20184995</v>
      </c>
    </row>
    <row r="1913" spans="1:22">
      <c r="A1913" s="3">
        <v>1912</v>
      </c>
      <c r="J1913" s="1" t="s">
        <v>5491</v>
      </c>
      <c r="L1913" s="1" t="s">
        <v>360</v>
      </c>
      <c r="M1913" s="1" t="s">
        <v>361</v>
      </c>
      <c r="N1913" s="1" t="s">
        <v>695</v>
      </c>
      <c r="P1913" s="1" t="s">
        <v>796</v>
      </c>
      <c r="Q1913" s="3">
        <v>0</v>
      </c>
      <c r="R1913" s="22" t="s">
        <v>2769</v>
      </c>
      <c r="S1913" s="22" t="s">
        <v>5097</v>
      </c>
      <c r="T1913" s="51">
        <v>32</v>
      </c>
      <c r="U1913" s="3" t="s">
        <v>5498</v>
      </c>
      <c r="V1913" s="41" t="str">
        <f>HYPERLINK("http://ictvonline.org/taxonomy/p/taxonomy-history?taxnode_id=20184996","ICTVonline=20184996")</f>
        <v>ICTVonline=20184996</v>
      </c>
    </row>
    <row r="1914" spans="1:22">
      <c r="A1914" s="3">
        <v>1913</v>
      </c>
      <c r="J1914" s="1" t="s">
        <v>5491</v>
      </c>
      <c r="L1914" s="1" t="s">
        <v>360</v>
      </c>
      <c r="M1914" s="1" t="s">
        <v>361</v>
      </c>
      <c r="N1914" s="1" t="s">
        <v>797</v>
      </c>
      <c r="P1914" s="1" t="s">
        <v>1271</v>
      </c>
      <c r="Q1914" s="3">
        <v>1</v>
      </c>
      <c r="R1914" s="22" t="s">
        <v>2769</v>
      </c>
      <c r="S1914" s="22" t="s">
        <v>5097</v>
      </c>
      <c r="T1914" s="51">
        <v>32</v>
      </c>
      <c r="U1914" s="3" t="s">
        <v>5498</v>
      </c>
      <c r="V1914" s="41" t="str">
        <f>HYPERLINK("http://ictvonline.org/taxonomy/p/taxonomy-history?taxnode_id=20184998","ICTVonline=20184998")</f>
        <v>ICTVonline=20184998</v>
      </c>
    </row>
    <row r="1915" spans="1:22">
      <c r="A1915" s="3">
        <v>1914</v>
      </c>
      <c r="J1915" s="1" t="s">
        <v>5491</v>
      </c>
      <c r="L1915" s="1" t="s">
        <v>360</v>
      </c>
      <c r="M1915" s="1" t="s">
        <v>361</v>
      </c>
      <c r="N1915" s="1" t="s">
        <v>797</v>
      </c>
      <c r="P1915" s="1" t="s">
        <v>1272</v>
      </c>
      <c r="Q1915" s="3">
        <v>0</v>
      </c>
      <c r="R1915" s="22" t="s">
        <v>2769</v>
      </c>
      <c r="S1915" s="22" t="s">
        <v>5097</v>
      </c>
      <c r="T1915" s="51">
        <v>32</v>
      </c>
      <c r="U1915" s="3" t="s">
        <v>5498</v>
      </c>
      <c r="V1915" s="41" t="str">
        <f>HYPERLINK("http://ictvonline.org/taxonomy/p/taxonomy-history?taxnode_id=20184999","ICTVonline=20184999")</f>
        <v>ICTVonline=20184999</v>
      </c>
    </row>
    <row r="1916" spans="1:22">
      <c r="A1916" s="3">
        <v>1915</v>
      </c>
      <c r="J1916" s="1" t="s">
        <v>5491</v>
      </c>
      <c r="L1916" s="1" t="s">
        <v>360</v>
      </c>
      <c r="M1916" s="1" t="s">
        <v>361</v>
      </c>
      <c r="N1916" s="1" t="s">
        <v>797</v>
      </c>
      <c r="P1916" s="1" t="s">
        <v>1273</v>
      </c>
      <c r="Q1916" s="3">
        <v>0</v>
      </c>
      <c r="R1916" s="22" t="s">
        <v>2769</v>
      </c>
      <c r="S1916" s="22" t="s">
        <v>5097</v>
      </c>
      <c r="T1916" s="51">
        <v>32</v>
      </c>
      <c r="U1916" s="3" t="s">
        <v>5498</v>
      </c>
      <c r="V1916" s="41" t="str">
        <f>HYPERLINK("http://ictvonline.org/taxonomy/p/taxonomy-history?taxnode_id=20185000","ICTVonline=20185000")</f>
        <v>ICTVonline=20185000</v>
      </c>
    </row>
    <row r="1917" spans="1:22">
      <c r="A1917" s="3">
        <v>1916</v>
      </c>
      <c r="J1917" s="1" t="s">
        <v>5491</v>
      </c>
      <c r="L1917" s="1" t="s">
        <v>360</v>
      </c>
      <c r="M1917" s="1" t="s">
        <v>361</v>
      </c>
      <c r="N1917" s="1" t="s">
        <v>797</v>
      </c>
      <c r="P1917" s="1" t="s">
        <v>801</v>
      </c>
      <c r="Q1917" s="3">
        <v>0</v>
      </c>
      <c r="R1917" s="22" t="s">
        <v>2769</v>
      </c>
      <c r="S1917" s="22" t="s">
        <v>5097</v>
      </c>
      <c r="T1917" s="51">
        <v>32</v>
      </c>
      <c r="U1917" s="3" t="s">
        <v>5498</v>
      </c>
      <c r="V1917" s="41" t="str">
        <f>HYPERLINK("http://ictvonline.org/taxonomy/p/taxonomy-history?taxnode_id=20185001","ICTVonline=20185001")</f>
        <v>ICTVonline=20185001</v>
      </c>
    </row>
    <row r="1918" spans="1:22">
      <c r="A1918" s="3">
        <v>1917</v>
      </c>
      <c r="J1918" s="1" t="s">
        <v>5491</v>
      </c>
      <c r="L1918" s="1" t="s">
        <v>360</v>
      </c>
      <c r="M1918" s="1" t="s">
        <v>361</v>
      </c>
      <c r="N1918" s="1" t="s">
        <v>802</v>
      </c>
      <c r="P1918" s="1" t="s">
        <v>803</v>
      </c>
      <c r="Q1918" s="3">
        <v>1</v>
      </c>
      <c r="R1918" s="22" t="s">
        <v>2769</v>
      </c>
      <c r="S1918" s="22" t="s">
        <v>5097</v>
      </c>
      <c r="T1918" s="51">
        <v>32</v>
      </c>
      <c r="U1918" s="3" t="s">
        <v>5498</v>
      </c>
      <c r="V1918" s="41" t="str">
        <f>HYPERLINK("http://ictvonline.org/taxonomy/p/taxonomy-history?taxnode_id=20185003","ICTVonline=20185003")</f>
        <v>ICTVonline=20185003</v>
      </c>
    </row>
    <row r="1919" spans="1:22">
      <c r="A1919" s="3">
        <v>1918</v>
      </c>
      <c r="J1919" s="1" t="s">
        <v>5491</v>
      </c>
      <c r="L1919" s="1" t="s">
        <v>360</v>
      </c>
      <c r="M1919" s="1" t="s">
        <v>361</v>
      </c>
      <c r="N1919" s="1" t="s">
        <v>802</v>
      </c>
      <c r="P1919" s="1" t="s">
        <v>804</v>
      </c>
      <c r="Q1919" s="3">
        <v>0</v>
      </c>
      <c r="R1919" s="22" t="s">
        <v>2769</v>
      </c>
      <c r="S1919" s="22" t="s">
        <v>5097</v>
      </c>
      <c r="T1919" s="51">
        <v>32</v>
      </c>
      <c r="U1919" s="3" t="s">
        <v>5498</v>
      </c>
      <c r="V1919" s="41" t="str">
        <f>HYPERLINK("http://ictvonline.org/taxonomy/p/taxonomy-history?taxnode_id=20185004","ICTVonline=20185004")</f>
        <v>ICTVonline=20185004</v>
      </c>
    </row>
    <row r="1920" spans="1:22">
      <c r="A1920" s="3">
        <v>1919</v>
      </c>
      <c r="J1920" s="1" t="s">
        <v>5491</v>
      </c>
      <c r="L1920" s="1" t="s">
        <v>360</v>
      </c>
      <c r="M1920" s="1" t="s">
        <v>361</v>
      </c>
      <c r="N1920" s="1" t="s">
        <v>802</v>
      </c>
      <c r="P1920" s="1" t="s">
        <v>805</v>
      </c>
      <c r="Q1920" s="3">
        <v>0</v>
      </c>
      <c r="R1920" s="22" t="s">
        <v>2769</v>
      </c>
      <c r="S1920" s="22" t="s">
        <v>5097</v>
      </c>
      <c r="T1920" s="51">
        <v>32</v>
      </c>
      <c r="U1920" s="3" t="s">
        <v>5498</v>
      </c>
      <c r="V1920" s="41" t="str">
        <f>HYPERLINK("http://ictvonline.org/taxonomy/p/taxonomy-history?taxnode_id=20185005","ICTVonline=20185005")</f>
        <v>ICTVonline=20185005</v>
      </c>
    </row>
    <row r="1921" spans="1:22">
      <c r="A1921" s="3">
        <v>1920</v>
      </c>
      <c r="J1921" s="1" t="s">
        <v>5491</v>
      </c>
      <c r="L1921" s="1" t="s">
        <v>360</v>
      </c>
      <c r="M1921" s="1" t="s">
        <v>361</v>
      </c>
      <c r="N1921" s="1" t="s">
        <v>806</v>
      </c>
      <c r="P1921" s="1" t="s">
        <v>807</v>
      </c>
      <c r="Q1921" s="3">
        <v>0</v>
      </c>
      <c r="R1921" s="22" t="s">
        <v>2769</v>
      </c>
      <c r="S1921" s="22" t="s">
        <v>5097</v>
      </c>
      <c r="T1921" s="51">
        <v>32</v>
      </c>
      <c r="U1921" s="3" t="s">
        <v>5498</v>
      </c>
      <c r="V1921" s="41" t="str">
        <f>HYPERLINK("http://ictvonline.org/taxonomy/p/taxonomy-history?taxnode_id=20185007","ICTVonline=20185007")</f>
        <v>ICTVonline=20185007</v>
      </c>
    </row>
    <row r="1922" spans="1:22">
      <c r="A1922" s="3">
        <v>1921</v>
      </c>
      <c r="J1922" s="1" t="s">
        <v>5491</v>
      </c>
      <c r="L1922" s="1" t="s">
        <v>360</v>
      </c>
      <c r="M1922" s="1" t="s">
        <v>361</v>
      </c>
      <c r="N1922" s="1" t="s">
        <v>806</v>
      </c>
      <c r="P1922" s="1" t="s">
        <v>808</v>
      </c>
      <c r="Q1922" s="3">
        <v>0</v>
      </c>
      <c r="R1922" s="22" t="s">
        <v>2769</v>
      </c>
      <c r="S1922" s="22" t="s">
        <v>5097</v>
      </c>
      <c r="T1922" s="51">
        <v>32</v>
      </c>
      <c r="U1922" s="3" t="s">
        <v>5498</v>
      </c>
      <c r="V1922" s="41" t="str">
        <f>HYPERLINK("http://ictvonline.org/taxonomy/p/taxonomy-history?taxnode_id=20185008","ICTVonline=20185008")</f>
        <v>ICTVonline=20185008</v>
      </c>
    </row>
    <row r="1923" spans="1:22">
      <c r="A1923" s="3">
        <v>1922</v>
      </c>
      <c r="J1923" s="1" t="s">
        <v>5491</v>
      </c>
      <c r="L1923" s="1" t="s">
        <v>360</v>
      </c>
      <c r="M1923" s="1" t="s">
        <v>361</v>
      </c>
      <c r="N1923" s="1" t="s">
        <v>806</v>
      </c>
      <c r="P1923" s="1" t="s">
        <v>809</v>
      </c>
      <c r="Q1923" s="3">
        <v>0</v>
      </c>
      <c r="R1923" s="22" t="s">
        <v>2769</v>
      </c>
      <c r="S1923" s="22" t="s">
        <v>5097</v>
      </c>
      <c r="T1923" s="51">
        <v>32</v>
      </c>
      <c r="U1923" s="3" t="s">
        <v>5498</v>
      </c>
      <c r="V1923" s="41" t="str">
        <f>HYPERLINK("http://ictvonline.org/taxonomy/p/taxonomy-history?taxnode_id=20185009","ICTVonline=20185009")</f>
        <v>ICTVonline=20185009</v>
      </c>
    </row>
    <row r="1924" spans="1:22">
      <c r="A1924" s="3">
        <v>1923</v>
      </c>
      <c r="J1924" s="1" t="s">
        <v>5491</v>
      </c>
      <c r="L1924" s="1" t="s">
        <v>360</v>
      </c>
      <c r="M1924" s="1" t="s">
        <v>361</v>
      </c>
      <c r="N1924" s="1" t="s">
        <v>806</v>
      </c>
      <c r="P1924" s="1" t="s">
        <v>1285</v>
      </c>
      <c r="Q1924" s="3">
        <v>0</v>
      </c>
      <c r="R1924" s="22" t="s">
        <v>2769</v>
      </c>
      <c r="S1924" s="22" t="s">
        <v>5097</v>
      </c>
      <c r="T1924" s="51">
        <v>32</v>
      </c>
      <c r="U1924" s="3" t="s">
        <v>5498</v>
      </c>
      <c r="V1924" s="41" t="str">
        <f>HYPERLINK("http://ictvonline.org/taxonomy/p/taxonomy-history?taxnode_id=20185010","ICTVonline=20185010")</f>
        <v>ICTVonline=20185010</v>
      </c>
    </row>
    <row r="1925" spans="1:22">
      <c r="A1925" s="3">
        <v>1924</v>
      </c>
      <c r="J1925" s="1" t="s">
        <v>5491</v>
      </c>
      <c r="L1925" s="1" t="s">
        <v>360</v>
      </c>
      <c r="M1925" s="1" t="s">
        <v>361</v>
      </c>
      <c r="N1925" s="1" t="s">
        <v>806</v>
      </c>
      <c r="P1925" s="1" t="s">
        <v>1286</v>
      </c>
      <c r="Q1925" s="3">
        <v>0</v>
      </c>
      <c r="R1925" s="22" t="s">
        <v>2769</v>
      </c>
      <c r="S1925" s="22" t="s">
        <v>5097</v>
      </c>
      <c r="T1925" s="51">
        <v>32</v>
      </c>
      <c r="U1925" s="3" t="s">
        <v>5498</v>
      </c>
      <c r="V1925" s="41" t="str">
        <f>HYPERLINK("http://ictvonline.org/taxonomy/p/taxonomy-history?taxnode_id=20185011","ICTVonline=20185011")</f>
        <v>ICTVonline=20185011</v>
      </c>
    </row>
    <row r="1926" spans="1:22">
      <c r="A1926" s="3">
        <v>1925</v>
      </c>
      <c r="J1926" s="1" t="s">
        <v>5491</v>
      </c>
      <c r="L1926" s="1" t="s">
        <v>360</v>
      </c>
      <c r="M1926" s="1" t="s">
        <v>361</v>
      </c>
      <c r="N1926" s="1" t="s">
        <v>806</v>
      </c>
      <c r="P1926" s="1" t="s">
        <v>1287</v>
      </c>
      <c r="Q1926" s="3">
        <v>0</v>
      </c>
      <c r="R1926" s="22" t="s">
        <v>2769</v>
      </c>
      <c r="S1926" s="22" t="s">
        <v>5097</v>
      </c>
      <c r="T1926" s="51">
        <v>32</v>
      </c>
      <c r="U1926" s="3" t="s">
        <v>5498</v>
      </c>
      <c r="V1926" s="41" t="str">
        <f>HYPERLINK("http://ictvonline.org/taxonomy/p/taxonomy-history?taxnode_id=20185012","ICTVonline=20185012")</f>
        <v>ICTVonline=20185012</v>
      </c>
    </row>
    <row r="1927" spans="1:22">
      <c r="A1927" s="3">
        <v>1926</v>
      </c>
      <c r="J1927" s="1" t="s">
        <v>5491</v>
      </c>
      <c r="L1927" s="1" t="s">
        <v>360</v>
      </c>
      <c r="M1927" s="1" t="s">
        <v>361</v>
      </c>
      <c r="N1927" s="1" t="s">
        <v>806</v>
      </c>
      <c r="P1927" s="1" t="s">
        <v>1288</v>
      </c>
      <c r="Q1927" s="3">
        <v>0</v>
      </c>
      <c r="R1927" s="22" t="s">
        <v>2769</v>
      </c>
      <c r="S1927" s="22" t="s">
        <v>5097</v>
      </c>
      <c r="T1927" s="51">
        <v>32</v>
      </c>
      <c r="U1927" s="3" t="s">
        <v>5498</v>
      </c>
      <c r="V1927" s="41" t="str">
        <f>HYPERLINK("http://ictvonline.org/taxonomy/p/taxonomy-history?taxnode_id=20185013","ICTVonline=20185013")</f>
        <v>ICTVonline=20185013</v>
      </c>
    </row>
    <row r="1928" spans="1:22">
      <c r="A1928" s="3">
        <v>1927</v>
      </c>
      <c r="J1928" s="1" t="s">
        <v>5491</v>
      </c>
      <c r="L1928" s="1" t="s">
        <v>360</v>
      </c>
      <c r="M1928" s="1" t="s">
        <v>361</v>
      </c>
      <c r="N1928" s="1" t="s">
        <v>806</v>
      </c>
      <c r="P1928" s="1" t="s">
        <v>1289</v>
      </c>
      <c r="Q1928" s="3">
        <v>0</v>
      </c>
      <c r="R1928" s="22" t="s">
        <v>2769</v>
      </c>
      <c r="S1928" s="22" t="s">
        <v>5097</v>
      </c>
      <c r="T1928" s="51">
        <v>32</v>
      </c>
      <c r="U1928" s="3" t="s">
        <v>5498</v>
      </c>
      <c r="V1928" s="41" t="str">
        <f>HYPERLINK("http://ictvonline.org/taxonomy/p/taxonomy-history?taxnode_id=20185014","ICTVonline=20185014")</f>
        <v>ICTVonline=20185014</v>
      </c>
    </row>
    <row r="1929" spans="1:22">
      <c r="A1929" s="3">
        <v>1928</v>
      </c>
      <c r="J1929" s="1" t="s">
        <v>5491</v>
      </c>
      <c r="L1929" s="1" t="s">
        <v>360</v>
      </c>
      <c r="M1929" s="1" t="s">
        <v>361</v>
      </c>
      <c r="N1929" s="1" t="s">
        <v>806</v>
      </c>
      <c r="P1929" s="1" t="s">
        <v>740</v>
      </c>
      <c r="Q1929" s="3">
        <v>0</v>
      </c>
      <c r="R1929" s="22" t="s">
        <v>2769</v>
      </c>
      <c r="S1929" s="22" t="s">
        <v>5097</v>
      </c>
      <c r="T1929" s="51">
        <v>32</v>
      </c>
      <c r="U1929" s="3" t="s">
        <v>5498</v>
      </c>
      <c r="V1929" s="41" t="str">
        <f>HYPERLINK("http://ictvonline.org/taxonomy/p/taxonomy-history?taxnode_id=20185015","ICTVonline=20185015")</f>
        <v>ICTVonline=20185015</v>
      </c>
    </row>
    <row r="1930" spans="1:22">
      <c r="A1930" s="3">
        <v>1929</v>
      </c>
      <c r="J1930" s="1" t="s">
        <v>5491</v>
      </c>
      <c r="L1930" s="1" t="s">
        <v>360</v>
      </c>
      <c r="M1930" s="1" t="s">
        <v>361</v>
      </c>
      <c r="N1930" s="1" t="s">
        <v>806</v>
      </c>
      <c r="P1930" s="1" t="s">
        <v>5003</v>
      </c>
      <c r="Q1930" s="3">
        <v>0</v>
      </c>
      <c r="R1930" s="22" t="s">
        <v>2769</v>
      </c>
      <c r="S1930" s="22" t="s">
        <v>5097</v>
      </c>
      <c r="T1930" s="51">
        <v>32</v>
      </c>
      <c r="U1930" s="3" t="s">
        <v>5498</v>
      </c>
      <c r="V1930" s="41" t="str">
        <f>HYPERLINK("http://ictvonline.org/taxonomy/p/taxonomy-history?taxnode_id=20185016","ICTVonline=20185016")</f>
        <v>ICTVonline=20185016</v>
      </c>
    </row>
    <row r="1931" spans="1:22">
      <c r="A1931" s="3">
        <v>1930</v>
      </c>
      <c r="J1931" s="1" t="s">
        <v>5491</v>
      </c>
      <c r="L1931" s="1" t="s">
        <v>360</v>
      </c>
      <c r="M1931" s="1" t="s">
        <v>361</v>
      </c>
      <c r="N1931" s="1" t="s">
        <v>806</v>
      </c>
      <c r="P1931" s="1" t="s">
        <v>1202</v>
      </c>
      <c r="Q1931" s="3">
        <v>0</v>
      </c>
      <c r="R1931" s="22" t="s">
        <v>2769</v>
      </c>
      <c r="S1931" s="22" t="s">
        <v>5097</v>
      </c>
      <c r="T1931" s="51">
        <v>32</v>
      </c>
      <c r="U1931" s="3" t="s">
        <v>5498</v>
      </c>
      <c r="V1931" s="41" t="str">
        <f>HYPERLINK("http://ictvonline.org/taxonomy/p/taxonomy-history?taxnode_id=20185017","ICTVonline=20185017")</f>
        <v>ICTVonline=20185017</v>
      </c>
    </row>
    <row r="1932" spans="1:22">
      <c r="A1932" s="3">
        <v>1931</v>
      </c>
      <c r="J1932" s="1" t="s">
        <v>5491</v>
      </c>
      <c r="L1932" s="1" t="s">
        <v>360</v>
      </c>
      <c r="M1932" s="1" t="s">
        <v>361</v>
      </c>
      <c r="N1932" s="1" t="s">
        <v>806</v>
      </c>
      <c r="P1932" s="1" t="s">
        <v>1203</v>
      </c>
      <c r="Q1932" s="3">
        <v>1</v>
      </c>
      <c r="R1932" s="22" t="s">
        <v>2769</v>
      </c>
      <c r="S1932" s="22" t="s">
        <v>5097</v>
      </c>
      <c r="T1932" s="51">
        <v>32</v>
      </c>
      <c r="U1932" s="3" t="s">
        <v>5498</v>
      </c>
      <c r="V1932" s="41" t="str">
        <f>HYPERLINK("http://ictvonline.org/taxonomy/p/taxonomy-history?taxnode_id=20185018","ICTVonline=20185018")</f>
        <v>ICTVonline=20185018</v>
      </c>
    </row>
    <row r="1933" spans="1:22">
      <c r="A1933" s="3">
        <v>1932</v>
      </c>
      <c r="J1933" s="1" t="s">
        <v>5491</v>
      </c>
      <c r="L1933" s="1" t="s">
        <v>360</v>
      </c>
      <c r="M1933" s="1" t="s">
        <v>361</v>
      </c>
      <c r="N1933" s="1" t="s">
        <v>806</v>
      </c>
      <c r="P1933" s="1" t="s">
        <v>1204</v>
      </c>
      <c r="Q1933" s="3">
        <v>0</v>
      </c>
      <c r="R1933" s="22" t="s">
        <v>2769</v>
      </c>
      <c r="S1933" s="22" t="s">
        <v>5097</v>
      </c>
      <c r="T1933" s="51">
        <v>32</v>
      </c>
      <c r="U1933" s="3" t="s">
        <v>5498</v>
      </c>
      <c r="V1933" s="41" t="str">
        <f>HYPERLINK("http://ictvonline.org/taxonomy/p/taxonomy-history?taxnode_id=20185019","ICTVonline=20185019")</f>
        <v>ICTVonline=20185019</v>
      </c>
    </row>
    <row r="1934" spans="1:22">
      <c r="A1934" s="3">
        <v>1933</v>
      </c>
      <c r="J1934" s="1" t="s">
        <v>5491</v>
      </c>
      <c r="L1934" s="1" t="s">
        <v>360</v>
      </c>
      <c r="M1934" s="1" t="s">
        <v>361</v>
      </c>
      <c r="N1934" s="1" t="s">
        <v>806</v>
      </c>
      <c r="P1934" s="1" t="s">
        <v>1205</v>
      </c>
      <c r="Q1934" s="3">
        <v>0</v>
      </c>
      <c r="R1934" s="22" t="s">
        <v>2769</v>
      </c>
      <c r="S1934" s="22" t="s">
        <v>5097</v>
      </c>
      <c r="T1934" s="51">
        <v>32</v>
      </c>
      <c r="U1934" s="3" t="s">
        <v>5498</v>
      </c>
      <c r="V1934" s="41" t="str">
        <f>HYPERLINK("http://ictvonline.org/taxonomy/p/taxonomy-history?taxnode_id=20185020","ICTVonline=20185020")</f>
        <v>ICTVonline=20185020</v>
      </c>
    </row>
    <row r="1935" spans="1:22">
      <c r="A1935" s="3">
        <v>1934</v>
      </c>
      <c r="J1935" s="1" t="s">
        <v>5491</v>
      </c>
      <c r="L1935" s="1" t="s">
        <v>360</v>
      </c>
      <c r="M1935" s="1" t="s">
        <v>361</v>
      </c>
      <c r="N1935" s="1" t="s">
        <v>806</v>
      </c>
      <c r="P1935" s="1" t="s">
        <v>1434</v>
      </c>
      <c r="Q1935" s="3">
        <v>0</v>
      </c>
      <c r="R1935" s="22" t="s">
        <v>2769</v>
      </c>
      <c r="S1935" s="22" t="s">
        <v>5097</v>
      </c>
      <c r="T1935" s="51">
        <v>32</v>
      </c>
      <c r="U1935" s="3" t="s">
        <v>5498</v>
      </c>
      <c r="V1935" s="41" t="str">
        <f>HYPERLINK("http://ictvonline.org/taxonomy/p/taxonomy-history?taxnode_id=20185021","ICTVonline=20185021")</f>
        <v>ICTVonline=20185021</v>
      </c>
    </row>
    <row r="1936" spans="1:22">
      <c r="A1936" s="3">
        <v>1935</v>
      </c>
      <c r="J1936" s="1" t="s">
        <v>5491</v>
      </c>
      <c r="L1936" s="1" t="s">
        <v>360</v>
      </c>
      <c r="M1936" s="1" t="s">
        <v>361</v>
      </c>
      <c r="N1936" s="1" t="s">
        <v>806</v>
      </c>
      <c r="P1936" s="1" t="s">
        <v>1435</v>
      </c>
      <c r="Q1936" s="3">
        <v>0</v>
      </c>
      <c r="R1936" s="22" t="s">
        <v>2769</v>
      </c>
      <c r="S1936" s="22" t="s">
        <v>5097</v>
      </c>
      <c r="T1936" s="51">
        <v>32</v>
      </c>
      <c r="U1936" s="3" t="s">
        <v>5498</v>
      </c>
      <c r="V1936" s="41" t="str">
        <f>HYPERLINK("http://ictvonline.org/taxonomy/p/taxonomy-history?taxnode_id=20185022","ICTVonline=20185022")</f>
        <v>ICTVonline=20185022</v>
      </c>
    </row>
    <row r="1937" spans="1:22">
      <c r="A1937" s="3">
        <v>1936</v>
      </c>
      <c r="J1937" s="1" t="s">
        <v>5491</v>
      </c>
      <c r="L1937" s="1" t="s">
        <v>360</v>
      </c>
      <c r="M1937" s="1" t="s">
        <v>361</v>
      </c>
      <c r="N1937" s="1" t="s">
        <v>806</v>
      </c>
      <c r="P1937" s="1" t="s">
        <v>1436</v>
      </c>
      <c r="Q1937" s="3">
        <v>0</v>
      </c>
      <c r="R1937" s="22" t="s">
        <v>2769</v>
      </c>
      <c r="S1937" s="22" t="s">
        <v>5097</v>
      </c>
      <c r="T1937" s="51">
        <v>32</v>
      </c>
      <c r="U1937" s="3" t="s">
        <v>5498</v>
      </c>
      <c r="V1937" s="41" t="str">
        <f>HYPERLINK("http://ictvonline.org/taxonomy/p/taxonomy-history?taxnode_id=20185023","ICTVonline=20185023")</f>
        <v>ICTVonline=20185023</v>
      </c>
    </row>
    <row r="1938" spans="1:22">
      <c r="A1938" s="3">
        <v>1937</v>
      </c>
      <c r="J1938" s="1" t="s">
        <v>5491</v>
      </c>
      <c r="L1938" s="1" t="s">
        <v>360</v>
      </c>
      <c r="M1938" s="1" t="s">
        <v>361</v>
      </c>
      <c r="N1938" s="1" t="s">
        <v>806</v>
      </c>
      <c r="P1938" s="1" t="s">
        <v>1437</v>
      </c>
      <c r="Q1938" s="3">
        <v>0</v>
      </c>
      <c r="R1938" s="22" t="s">
        <v>2769</v>
      </c>
      <c r="S1938" s="22" t="s">
        <v>5097</v>
      </c>
      <c r="T1938" s="51">
        <v>32</v>
      </c>
      <c r="U1938" s="3" t="s">
        <v>5498</v>
      </c>
      <c r="V1938" s="41" t="str">
        <f>HYPERLINK("http://ictvonline.org/taxonomy/p/taxonomy-history?taxnode_id=20185024","ICTVonline=20185024")</f>
        <v>ICTVonline=20185024</v>
      </c>
    </row>
    <row r="1939" spans="1:22">
      <c r="A1939" s="3">
        <v>1938</v>
      </c>
      <c r="J1939" s="1" t="s">
        <v>5491</v>
      </c>
      <c r="L1939" s="1" t="s">
        <v>360</v>
      </c>
      <c r="M1939" s="1" t="s">
        <v>361</v>
      </c>
      <c r="N1939" s="1" t="s">
        <v>1438</v>
      </c>
      <c r="P1939" s="1" t="s">
        <v>1375</v>
      </c>
      <c r="Q1939" s="3">
        <v>0</v>
      </c>
      <c r="R1939" s="22" t="s">
        <v>2769</v>
      </c>
      <c r="S1939" s="22" t="s">
        <v>5097</v>
      </c>
      <c r="T1939" s="51">
        <v>32</v>
      </c>
      <c r="U1939" s="3" t="s">
        <v>5498</v>
      </c>
      <c r="V1939" s="41" t="str">
        <f>HYPERLINK("http://ictvonline.org/taxonomy/p/taxonomy-history?taxnode_id=20185026","ICTVonline=20185026")</f>
        <v>ICTVonline=20185026</v>
      </c>
    </row>
    <row r="1940" spans="1:22">
      <c r="A1940" s="3">
        <v>1939</v>
      </c>
      <c r="J1940" s="1" t="s">
        <v>5491</v>
      </c>
      <c r="L1940" s="1" t="s">
        <v>360</v>
      </c>
      <c r="M1940" s="1" t="s">
        <v>361</v>
      </c>
      <c r="N1940" s="1" t="s">
        <v>1438</v>
      </c>
      <c r="P1940" s="1" t="s">
        <v>1212</v>
      </c>
      <c r="Q1940" s="3">
        <v>0</v>
      </c>
      <c r="R1940" s="22" t="s">
        <v>2769</v>
      </c>
      <c r="S1940" s="22" t="s">
        <v>5097</v>
      </c>
      <c r="T1940" s="51">
        <v>32</v>
      </c>
      <c r="U1940" s="3" t="s">
        <v>5498</v>
      </c>
      <c r="V1940" s="41" t="str">
        <f>HYPERLINK("http://ictvonline.org/taxonomy/p/taxonomy-history?taxnode_id=20185027","ICTVonline=20185027")</f>
        <v>ICTVonline=20185027</v>
      </c>
    </row>
    <row r="1941" spans="1:22">
      <c r="A1941" s="3">
        <v>1940</v>
      </c>
      <c r="J1941" s="1" t="s">
        <v>5491</v>
      </c>
      <c r="L1941" s="1" t="s">
        <v>360</v>
      </c>
      <c r="M1941" s="1" t="s">
        <v>361</v>
      </c>
      <c r="N1941" s="1" t="s">
        <v>1438</v>
      </c>
      <c r="P1941" s="1" t="s">
        <v>1213</v>
      </c>
      <c r="Q1941" s="3">
        <v>0</v>
      </c>
      <c r="R1941" s="22" t="s">
        <v>2769</v>
      </c>
      <c r="S1941" s="22" t="s">
        <v>5097</v>
      </c>
      <c r="T1941" s="51">
        <v>32</v>
      </c>
      <c r="U1941" s="3" t="s">
        <v>5498</v>
      </c>
      <c r="V1941" s="41" t="str">
        <f>HYPERLINK("http://ictvonline.org/taxonomy/p/taxonomy-history?taxnode_id=20185028","ICTVonline=20185028")</f>
        <v>ICTVonline=20185028</v>
      </c>
    </row>
    <row r="1942" spans="1:22">
      <c r="A1942" s="3">
        <v>1941</v>
      </c>
      <c r="J1942" s="1" t="s">
        <v>5491</v>
      </c>
      <c r="L1942" s="1" t="s">
        <v>360</v>
      </c>
      <c r="M1942" s="1" t="s">
        <v>361</v>
      </c>
      <c r="N1942" s="1" t="s">
        <v>1438</v>
      </c>
      <c r="P1942" s="1" t="s">
        <v>1214</v>
      </c>
      <c r="Q1942" s="3">
        <v>0</v>
      </c>
      <c r="R1942" s="22" t="s">
        <v>2769</v>
      </c>
      <c r="S1942" s="22" t="s">
        <v>5097</v>
      </c>
      <c r="T1942" s="51">
        <v>32</v>
      </c>
      <c r="U1942" s="3" t="s">
        <v>5498</v>
      </c>
      <c r="V1942" s="41" t="str">
        <f>HYPERLINK("http://ictvonline.org/taxonomy/p/taxonomy-history?taxnode_id=20185029","ICTVonline=20185029")</f>
        <v>ICTVonline=20185029</v>
      </c>
    </row>
    <row r="1943" spans="1:22">
      <c r="A1943" s="3">
        <v>1942</v>
      </c>
      <c r="J1943" s="1" t="s">
        <v>5491</v>
      </c>
      <c r="L1943" s="1" t="s">
        <v>360</v>
      </c>
      <c r="M1943" s="1" t="s">
        <v>361</v>
      </c>
      <c r="N1943" s="1" t="s">
        <v>1438</v>
      </c>
      <c r="P1943" s="1" t="s">
        <v>1215</v>
      </c>
      <c r="Q1943" s="3">
        <v>1</v>
      </c>
      <c r="R1943" s="22" t="s">
        <v>2769</v>
      </c>
      <c r="S1943" s="22" t="s">
        <v>5097</v>
      </c>
      <c r="T1943" s="51">
        <v>32</v>
      </c>
      <c r="U1943" s="3" t="s">
        <v>5498</v>
      </c>
      <c r="V1943" s="41" t="str">
        <f>HYPERLINK("http://ictvonline.org/taxonomy/p/taxonomy-history?taxnode_id=20185030","ICTVonline=20185030")</f>
        <v>ICTVonline=20185030</v>
      </c>
    </row>
    <row r="1944" spans="1:22">
      <c r="A1944" s="3">
        <v>1943</v>
      </c>
      <c r="J1944" s="1" t="s">
        <v>5491</v>
      </c>
      <c r="L1944" s="1" t="s">
        <v>360</v>
      </c>
      <c r="M1944" s="1" t="s">
        <v>361</v>
      </c>
      <c r="N1944" s="1" t="s">
        <v>1438</v>
      </c>
      <c r="P1944" s="1" t="s">
        <v>1216</v>
      </c>
      <c r="Q1944" s="3">
        <v>0</v>
      </c>
      <c r="R1944" s="22" t="s">
        <v>2769</v>
      </c>
      <c r="S1944" s="22" t="s">
        <v>5097</v>
      </c>
      <c r="T1944" s="51">
        <v>32</v>
      </c>
      <c r="U1944" s="3" t="s">
        <v>5498</v>
      </c>
      <c r="V1944" s="41" t="str">
        <f>HYPERLINK("http://ictvonline.org/taxonomy/p/taxonomy-history?taxnode_id=20185031","ICTVonline=20185031")</f>
        <v>ICTVonline=20185031</v>
      </c>
    </row>
    <row r="1945" spans="1:22">
      <c r="A1945" s="3">
        <v>1944</v>
      </c>
      <c r="J1945" s="1" t="s">
        <v>5491</v>
      </c>
      <c r="L1945" s="1" t="s">
        <v>360</v>
      </c>
      <c r="M1945" s="1" t="s">
        <v>361</v>
      </c>
      <c r="N1945" s="1" t="s">
        <v>1438</v>
      </c>
      <c r="P1945" s="1" t="s">
        <v>5004</v>
      </c>
      <c r="Q1945" s="3">
        <v>0</v>
      </c>
      <c r="R1945" s="22" t="s">
        <v>2769</v>
      </c>
      <c r="S1945" s="22" t="s">
        <v>5097</v>
      </c>
      <c r="T1945" s="51">
        <v>32</v>
      </c>
      <c r="U1945" s="3" t="s">
        <v>5498</v>
      </c>
      <c r="V1945" s="41" t="str">
        <f>HYPERLINK("http://ictvonline.org/taxonomy/p/taxonomy-history?taxnode_id=20185032","ICTVonline=20185032")</f>
        <v>ICTVonline=20185032</v>
      </c>
    </row>
    <row r="1946" spans="1:22">
      <c r="A1946" s="3">
        <v>1945</v>
      </c>
      <c r="J1946" s="1" t="s">
        <v>5491</v>
      </c>
      <c r="L1946" s="1" t="s">
        <v>360</v>
      </c>
      <c r="M1946" s="1" t="s">
        <v>361</v>
      </c>
      <c r="N1946" s="1" t="s">
        <v>1438</v>
      </c>
      <c r="P1946" s="1" t="s">
        <v>1217</v>
      </c>
      <c r="Q1946" s="3">
        <v>0</v>
      </c>
      <c r="R1946" s="22" t="s">
        <v>2769</v>
      </c>
      <c r="S1946" s="22" t="s">
        <v>5097</v>
      </c>
      <c r="T1946" s="51">
        <v>32</v>
      </c>
      <c r="U1946" s="3" t="s">
        <v>5498</v>
      </c>
      <c r="V1946" s="41" t="str">
        <f>HYPERLINK("http://ictvonline.org/taxonomy/p/taxonomy-history?taxnode_id=20185033","ICTVonline=20185033")</f>
        <v>ICTVonline=20185033</v>
      </c>
    </row>
    <row r="1947" spans="1:22">
      <c r="A1947" s="3">
        <v>1946</v>
      </c>
      <c r="J1947" s="1" t="s">
        <v>5491</v>
      </c>
      <c r="L1947" s="1" t="s">
        <v>360</v>
      </c>
      <c r="M1947" s="1" t="s">
        <v>361</v>
      </c>
      <c r="N1947" s="1" t="s">
        <v>1438</v>
      </c>
      <c r="P1947" s="1" t="s">
        <v>1218</v>
      </c>
      <c r="Q1947" s="3">
        <v>0</v>
      </c>
      <c r="R1947" s="22" t="s">
        <v>2769</v>
      </c>
      <c r="S1947" s="22" t="s">
        <v>5097</v>
      </c>
      <c r="T1947" s="51">
        <v>32</v>
      </c>
      <c r="U1947" s="3" t="s">
        <v>5498</v>
      </c>
      <c r="V1947" s="41" t="str">
        <f>HYPERLINK("http://ictvonline.org/taxonomy/p/taxonomy-history?taxnode_id=20185034","ICTVonline=20185034")</f>
        <v>ICTVonline=20185034</v>
      </c>
    </row>
    <row r="1948" spans="1:22">
      <c r="A1948" s="3">
        <v>1947</v>
      </c>
      <c r="J1948" s="1" t="s">
        <v>5491</v>
      </c>
      <c r="L1948" s="1" t="s">
        <v>360</v>
      </c>
      <c r="M1948" s="1" t="s">
        <v>361</v>
      </c>
      <c r="N1948" s="1" t="s">
        <v>1438</v>
      </c>
      <c r="P1948" s="1" t="s">
        <v>5513</v>
      </c>
      <c r="Q1948" s="3">
        <v>0</v>
      </c>
      <c r="R1948" s="22" t="s">
        <v>2769</v>
      </c>
      <c r="S1948" s="22" t="s">
        <v>5097</v>
      </c>
      <c r="T1948" s="51">
        <v>32</v>
      </c>
      <c r="U1948" s="3" t="s">
        <v>5498</v>
      </c>
      <c r="V1948" s="41" t="str">
        <f>HYPERLINK("http://ictvonline.org/taxonomy/p/taxonomy-history?taxnode_id=20185035","ICTVonline=20185035")</f>
        <v>ICTVonline=20185035</v>
      </c>
    </row>
    <row r="1949" spans="1:22">
      <c r="A1949" s="3">
        <v>1948</v>
      </c>
      <c r="J1949" s="1" t="s">
        <v>5491</v>
      </c>
      <c r="L1949" s="1" t="s">
        <v>360</v>
      </c>
      <c r="M1949" s="1" t="s">
        <v>1219</v>
      </c>
      <c r="N1949" s="1" t="s">
        <v>5514</v>
      </c>
      <c r="P1949" s="1" t="s">
        <v>1376</v>
      </c>
      <c r="Q1949" s="3">
        <v>1</v>
      </c>
      <c r="R1949" s="22" t="s">
        <v>2769</v>
      </c>
      <c r="S1949" s="22" t="s">
        <v>5097</v>
      </c>
      <c r="T1949" s="51">
        <v>32</v>
      </c>
      <c r="U1949" s="3" t="s">
        <v>5515</v>
      </c>
      <c r="V1949" s="41" t="str">
        <f>HYPERLINK("http://ictvonline.org/taxonomy/p/taxonomy-history?taxnode_id=20185039","ICTVonline=20185039")</f>
        <v>ICTVonline=20185039</v>
      </c>
    </row>
    <row r="1950" spans="1:22">
      <c r="A1950" s="3">
        <v>1949</v>
      </c>
      <c r="J1950" s="1" t="s">
        <v>5491</v>
      </c>
      <c r="L1950" s="1" t="s">
        <v>360</v>
      </c>
      <c r="M1950" s="1" t="s">
        <v>1219</v>
      </c>
      <c r="N1950" s="1" t="s">
        <v>5516</v>
      </c>
      <c r="P1950" s="1" t="s">
        <v>1377</v>
      </c>
      <c r="Q1950" s="3">
        <v>1</v>
      </c>
      <c r="R1950" s="22" t="s">
        <v>2769</v>
      </c>
      <c r="S1950" s="22" t="s">
        <v>5097</v>
      </c>
      <c r="T1950" s="51">
        <v>32</v>
      </c>
      <c r="U1950" s="3" t="s">
        <v>5515</v>
      </c>
      <c r="V1950" s="41" t="str">
        <f>HYPERLINK("http://ictvonline.org/taxonomy/p/taxonomy-history?taxnode_id=20185040","ICTVonline=20185040")</f>
        <v>ICTVonline=20185040</v>
      </c>
    </row>
    <row r="1951" spans="1:22">
      <c r="A1951" s="3">
        <v>1950</v>
      </c>
      <c r="J1951" s="1" t="s">
        <v>5491</v>
      </c>
      <c r="L1951" s="1" t="s">
        <v>360</v>
      </c>
      <c r="M1951" s="1" t="s">
        <v>1219</v>
      </c>
      <c r="N1951" s="1" t="s">
        <v>5517</v>
      </c>
      <c r="P1951" s="1" t="s">
        <v>1378</v>
      </c>
      <c r="Q1951" s="3">
        <v>1</v>
      </c>
      <c r="R1951" s="22" t="s">
        <v>2769</v>
      </c>
      <c r="S1951" s="22" t="s">
        <v>5097</v>
      </c>
      <c r="T1951" s="51">
        <v>32</v>
      </c>
      <c r="U1951" s="3" t="s">
        <v>5515</v>
      </c>
      <c r="V1951" s="41" t="str">
        <f>HYPERLINK("http://ictvonline.org/taxonomy/p/taxonomy-history?taxnode_id=20185041","ICTVonline=20185041")</f>
        <v>ICTVonline=20185041</v>
      </c>
    </row>
    <row r="1952" spans="1:22">
      <c r="A1952" s="3">
        <v>1951</v>
      </c>
      <c r="J1952" s="1" t="s">
        <v>5491</v>
      </c>
      <c r="L1952" s="1" t="s">
        <v>360</v>
      </c>
      <c r="M1952" s="1" t="s">
        <v>1219</v>
      </c>
      <c r="N1952" s="1" t="s">
        <v>5517</v>
      </c>
      <c r="P1952" s="1" t="s">
        <v>5518</v>
      </c>
      <c r="Q1952" s="3">
        <v>0</v>
      </c>
      <c r="R1952" s="22" t="s">
        <v>2769</v>
      </c>
      <c r="S1952" s="22" t="s">
        <v>5097</v>
      </c>
      <c r="T1952" s="51">
        <v>32</v>
      </c>
      <c r="U1952" s="3" t="s">
        <v>5515</v>
      </c>
      <c r="V1952" s="41" t="str">
        <f>HYPERLINK("http://ictvonline.org/taxonomy/p/taxonomy-history?taxnode_id=20185930","ICTVonline=20185930")</f>
        <v>ICTVonline=20185930</v>
      </c>
    </row>
    <row r="1953" spans="1:22">
      <c r="A1953" s="3">
        <v>1952</v>
      </c>
      <c r="J1953" s="1" t="s">
        <v>5491</v>
      </c>
      <c r="L1953" s="1" t="s">
        <v>360</v>
      </c>
      <c r="M1953" s="1" t="s">
        <v>1219</v>
      </c>
      <c r="N1953" s="1" t="s">
        <v>5519</v>
      </c>
      <c r="P1953" s="1" t="s">
        <v>5520</v>
      </c>
      <c r="Q1953" s="3">
        <v>1</v>
      </c>
      <c r="R1953" s="22" t="s">
        <v>2769</v>
      </c>
      <c r="S1953" s="22" t="s">
        <v>5097</v>
      </c>
      <c r="T1953" s="51">
        <v>32</v>
      </c>
      <c r="U1953" s="3" t="s">
        <v>5515</v>
      </c>
      <c r="V1953" s="41" t="str">
        <f>HYPERLINK("http://ictvonline.org/taxonomy/p/taxonomy-history?taxnode_id=20185932","ICTVonline=20185932")</f>
        <v>ICTVonline=20185932</v>
      </c>
    </row>
    <row r="1954" spans="1:22">
      <c r="A1954" s="3">
        <v>1953</v>
      </c>
      <c r="J1954" s="1" t="s">
        <v>5491</v>
      </c>
      <c r="L1954" s="1" t="s">
        <v>360</v>
      </c>
      <c r="M1954" s="1" t="s">
        <v>1219</v>
      </c>
      <c r="N1954" s="1" t="s">
        <v>5521</v>
      </c>
      <c r="P1954" s="1" t="s">
        <v>5522</v>
      </c>
      <c r="Q1954" s="3">
        <v>0</v>
      </c>
      <c r="R1954" s="22" t="s">
        <v>2769</v>
      </c>
      <c r="S1954" s="22" t="s">
        <v>5097</v>
      </c>
      <c r="T1954" s="51">
        <v>32</v>
      </c>
      <c r="U1954" s="3" t="s">
        <v>5515</v>
      </c>
      <c r="V1954" s="41" t="str">
        <f>HYPERLINK("http://ictvonline.org/taxonomy/p/taxonomy-history?taxnode_id=20185934","ICTVonline=20185934")</f>
        <v>ICTVonline=20185934</v>
      </c>
    </row>
    <row r="1955" spans="1:22">
      <c r="A1955" s="3">
        <v>1954</v>
      </c>
      <c r="J1955" s="1" t="s">
        <v>5491</v>
      </c>
      <c r="L1955" s="1" t="s">
        <v>360</v>
      </c>
      <c r="M1955" s="1" t="s">
        <v>1219</v>
      </c>
      <c r="N1955" s="1" t="s">
        <v>5521</v>
      </c>
      <c r="P1955" s="1" t="s">
        <v>5523</v>
      </c>
      <c r="Q1955" s="3">
        <v>0</v>
      </c>
      <c r="R1955" s="22" t="s">
        <v>2769</v>
      </c>
      <c r="S1955" s="22" t="s">
        <v>5097</v>
      </c>
      <c r="T1955" s="51">
        <v>32</v>
      </c>
      <c r="U1955" s="3" t="s">
        <v>5515</v>
      </c>
      <c r="V1955" s="41" t="str">
        <f>HYPERLINK("http://ictvonline.org/taxonomy/p/taxonomy-history?taxnode_id=20185935","ICTVonline=20185935")</f>
        <v>ICTVonline=20185935</v>
      </c>
    </row>
    <row r="1956" spans="1:22">
      <c r="A1956" s="3">
        <v>1955</v>
      </c>
      <c r="J1956" s="1" t="s">
        <v>5491</v>
      </c>
      <c r="L1956" s="1" t="s">
        <v>360</v>
      </c>
      <c r="M1956" s="1" t="s">
        <v>1219</v>
      </c>
      <c r="N1956" s="1" t="s">
        <v>5521</v>
      </c>
      <c r="P1956" s="1" t="s">
        <v>5524</v>
      </c>
      <c r="Q1956" s="3">
        <v>1</v>
      </c>
      <c r="R1956" s="22" t="s">
        <v>2769</v>
      </c>
      <c r="S1956" s="22" t="s">
        <v>5097</v>
      </c>
      <c r="T1956" s="51">
        <v>32</v>
      </c>
      <c r="U1956" s="3" t="s">
        <v>5498</v>
      </c>
      <c r="V1956" s="41" t="str">
        <f>HYPERLINK("http://ictvonline.org/taxonomy/p/taxonomy-history?taxnode_id=20185043","ICTVonline=20185043")</f>
        <v>ICTVonline=20185043</v>
      </c>
    </row>
    <row r="1957" spans="1:22">
      <c r="A1957" s="3">
        <v>1956</v>
      </c>
      <c r="J1957" s="1" t="s">
        <v>5491</v>
      </c>
      <c r="L1957" s="1" t="s">
        <v>360</v>
      </c>
      <c r="M1957" s="1" t="s">
        <v>1219</v>
      </c>
      <c r="N1957" s="1" t="s">
        <v>5521</v>
      </c>
      <c r="P1957" s="1" t="s">
        <v>5525</v>
      </c>
      <c r="Q1957" s="3">
        <v>0</v>
      </c>
      <c r="R1957" s="22" t="s">
        <v>2769</v>
      </c>
      <c r="S1957" s="22" t="s">
        <v>5097</v>
      </c>
      <c r="T1957" s="51">
        <v>32</v>
      </c>
      <c r="U1957" s="3" t="s">
        <v>5498</v>
      </c>
      <c r="V1957" s="41" t="str">
        <f>HYPERLINK("http://ictvonline.org/taxonomy/p/taxonomy-history?taxnode_id=20185038","ICTVonline=20185038")</f>
        <v>ICTVonline=20185038</v>
      </c>
    </row>
    <row r="1958" spans="1:22">
      <c r="A1958" s="3">
        <v>1957</v>
      </c>
      <c r="J1958" s="1" t="s">
        <v>5491</v>
      </c>
      <c r="L1958" s="1" t="s">
        <v>360</v>
      </c>
      <c r="M1958" s="1" t="s">
        <v>1219</v>
      </c>
      <c r="N1958" s="1" t="s">
        <v>5521</v>
      </c>
      <c r="P1958" s="1" t="s">
        <v>5526</v>
      </c>
      <c r="Q1958" s="3">
        <v>0</v>
      </c>
      <c r="R1958" s="22" t="s">
        <v>2769</v>
      </c>
      <c r="S1958" s="22" t="s">
        <v>5097</v>
      </c>
      <c r="T1958" s="51">
        <v>32</v>
      </c>
      <c r="U1958" s="3" t="s">
        <v>5515</v>
      </c>
      <c r="V1958" s="41" t="str">
        <f>HYPERLINK("http://ictvonline.org/taxonomy/p/taxonomy-history?taxnode_id=20185936","ICTVonline=20185936")</f>
        <v>ICTVonline=20185936</v>
      </c>
    </row>
    <row r="1959" spans="1:22">
      <c r="A1959" s="3">
        <v>1958</v>
      </c>
      <c r="J1959" s="1" t="s">
        <v>5491</v>
      </c>
      <c r="L1959" s="1" t="s">
        <v>360</v>
      </c>
      <c r="M1959" s="1" t="s">
        <v>1219</v>
      </c>
      <c r="N1959" s="1" t="s">
        <v>5521</v>
      </c>
      <c r="P1959" s="1" t="s">
        <v>5527</v>
      </c>
      <c r="Q1959" s="3">
        <v>0</v>
      </c>
      <c r="R1959" s="22" t="s">
        <v>2769</v>
      </c>
      <c r="S1959" s="22" t="s">
        <v>5097</v>
      </c>
      <c r="T1959" s="51">
        <v>32</v>
      </c>
      <c r="U1959" s="3" t="s">
        <v>5515</v>
      </c>
      <c r="V1959" s="41" t="str">
        <f>HYPERLINK("http://ictvonline.org/taxonomy/p/taxonomy-history?taxnode_id=20185937","ICTVonline=20185937")</f>
        <v>ICTVonline=20185937</v>
      </c>
    </row>
    <row r="1960" spans="1:22">
      <c r="A1960" s="3">
        <v>1959</v>
      </c>
      <c r="J1960" s="1" t="s">
        <v>5491</v>
      </c>
      <c r="L1960" s="1" t="s">
        <v>360</v>
      </c>
      <c r="M1960" s="1" t="s">
        <v>1219</v>
      </c>
      <c r="N1960" s="1" t="s">
        <v>5521</v>
      </c>
      <c r="P1960" s="1" t="s">
        <v>5528</v>
      </c>
      <c r="Q1960" s="3">
        <v>0</v>
      </c>
      <c r="R1960" s="22" t="s">
        <v>2769</v>
      </c>
      <c r="S1960" s="22" t="s">
        <v>5097</v>
      </c>
      <c r="T1960" s="51">
        <v>32</v>
      </c>
      <c r="U1960" s="3" t="s">
        <v>5515</v>
      </c>
      <c r="V1960" s="41" t="str">
        <f>HYPERLINK("http://ictvonline.org/taxonomy/p/taxonomy-history?taxnode_id=20185938","ICTVonline=20185938")</f>
        <v>ICTVonline=20185938</v>
      </c>
    </row>
    <row r="1961" spans="1:22">
      <c r="A1961" s="3">
        <v>1960</v>
      </c>
      <c r="J1961" s="1" t="s">
        <v>5491</v>
      </c>
      <c r="L1961" s="1" t="s">
        <v>360</v>
      </c>
      <c r="M1961" s="1" t="s">
        <v>1219</v>
      </c>
      <c r="N1961" s="1" t="s">
        <v>5521</v>
      </c>
      <c r="P1961" s="1" t="s">
        <v>5529</v>
      </c>
      <c r="Q1961" s="3">
        <v>0</v>
      </c>
      <c r="R1961" s="22" t="s">
        <v>2769</v>
      </c>
      <c r="S1961" s="22" t="s">
        <v>5097</v>
      </c>
      <c r="T1961" s="51">
        <v>32</v>
      </c>
      <c r="U1961" s="3" t="s">
        <v>5515</v>
      </c>
      <c r="V1961" s="41" t="str">
        <f>HYPERLINK("http://ictvonline.org/taxonomy/p/taxonomy-history?taxnode_id=20185939","ICTVonline=20185939")</f>
        <v>ICTVonline=20185939</v>
      </c>
    </row>
    <row r="1962" spans="1:22">
      <c r="A1962" s="3">
        <v>1961</v>
      </c>
      <c r="J1962" s="1" t="s">
        <v>5491</v>
      </c>
      <c r="L1962" s="1" t="s">
        <v>360</v>
      </c>
      <c r="M1962" s="1" t="s">
        <v>1219</v>
      </c>
      <c r="N1962" s="1" t="s">
        <v>5521</v>
      </c>
      <c r="P1962" s="1" t="s">
        <v>5530</v>
      </c>
      <c r="Q1962" s="3">
        <v>0</v>
      </c>
      <c r="R1962" s="22" t="s">
        <v>2769</v>
      </c>
      <c r="S1962" s="22" t="s">
        <v>5097</v>
      </c>
      <c r="T1962" s="51">
        <v>32</v>
      </c>
      <c r="U1962" s="3" t="s">
        <v>5515</v>
      </c>
      <c r="V1962" s="41" t="str">
        <f>HYPERLINK("http://ictvonline.org/taxonomy/p/taxonomy-history?taxnode_id=20185940","ICTVonline=20185940")</f>
        <v>ICTVonline=20185940</v>
      </c>
    </row>
    <row r="1963" spans="1:22">
      <c r="A1963" s="3">
        <v>1962</v>
      </c>
      <c r="J1963" s="1" t="s">
        <v>5491</v>
      </c>
      <c r="L1963" s="1" t="s">
        <v>360</v>
      </c>
      <c r="M1963" s="1" t="s">
        <v>1219</v>
      </c>
      <c r="N1963" s="1" t="s">
        <v>5521</v>
      </c>
      <c r="P1963" s="1" t="s">
        <v>5531</v>
      </c>
      <c r="Q1963" s="3">
        <v>0</v>
      </c>
      <c r="R1963" s="22" t="s">
        <v>2769</v>
      </c>
      <c r="S1963" s="22" t="s">
        <v>5097</v>
      </c>
      <c r="T1963" s="51">
        <v>32</v>
      </c>
      <c r="U1963" s="3" t="s">
        <v>5498</v>
      </c>
      <c r="V1963" s="41" t="str">
        <f>HYPERLINK("http://ictvonline.org/taxonomy/p/taxonomy-history?taxnode_id=20185042","ICTVonline=20185042")</f>
        <v>ICTVonline=20185042</v>
      </c>
    </row>
    <row r="1964" spans="1:22">
      <c r="A1964" s="3">
        <v>1963</v>
      </c>
      <c r="J1964" s="1" t="s">
        <v>5491</v>
      </c>
      <c r="L1964" s="1" t="s">
        <v>360</v>
      </c>
      <c r="M1964" s="1" t="s">
        <v>1219</v>
      </c>
      <c r="N1964" s="1" t="s">
        <v>5521</v>
      </c>
      <c r="P1964" s="1" t="s">
        <v>5532</v>
      </c>
      <c r="Q1964" s="3">
        <v>0</v>
      </c>
      <c r="R1964" s="22" t="s">
        <v>2769</v>
      </c>
      <c r="S1964" s="22" t="s">
        <v>5097</v>
      </c>
      <c r="T1964" s="51">
        <v>32</v>
      </c>
      <c r="U1964" s="3" t="s">
        <v>5515</v>
      </c>
      <c r="V1964" s="41" t="str">
        <f>HYPERLINK("http://ictvonline.org/taxonomy/p/taxonomy-history?taxnode_id=20185941","ICTVonline=20185941")</f>
        <v>ICTVonline=20185941</v>
      </c>
    </row>
    <row r="1965" spans="1:22">
      <c r="A1965" s="3">
        <v>1964</v>
      </c>
      <c r="J1965" s="1" t="s">
        <v>5491</v>
      </c>
      <c r="L1965" s="1" t="s">
        <v>360</v>
      </c>
      <c r="M1965" s="1" t="s">
        <v>1219</v>
      </c>
      <c r="N1965" s="1" t="s">
        <v>5521</v>
      </c>
      <c r="P1965" s="1" t="s">
        <v>5533</v>
      </c>
      <c r="Q1965" s="3">
        <v>0</v>
      </c>
      <c r="R1965" s="22" t="s">
        <v>2769</v>
      </c>
      <c r="S1965" s="22" t="s">
        <v>5097</v>
      </c>
      <c r="T1965" s="51">
        <v>32</v>
      </c>
      <c r="U1965" s="3" t="s">
        <v>5515</v>
      </c>
      <c r="V1965" s="41" t="str">
        <f>HYPERLINK("http://ictvonline.org/taxonomy/p/taxonomy-history?taxnode_id=20185942","ICTVonline=20185942")</f>
        <v>ICTVonline=20185942</v>
      </c>
    </row>
    <row r="1966" spans="1:22">
      <c r="A1966" s="3">
        <v>1965</v>
      </c>
      <c r="J1966" s="1" t="s">
        <v>5491</v>
      </c>
      <c r="L1966" s="1" t="s">
        <v>360</v>
      </c>
      <c r="M1966" s="1" t="s">
        <v>1219</v>
      </c>
      <c r="N1966" s="1" t="s">
        <v>5521</v>
      </c>
      <c r="P1966" s="1" t="s">
        <v>5534</v>
      </c>
      <c r="Q1966" s="3">
        <v>0</v>
      </c>
      <c r="R1966" s="22" t="s">
        <v>2769</v>
      </c>
      <c r="S1966" s="22" t="s">
        <v>5097</v>
      </c>
      <c r="T1966" s="51">
        <v>32</v>
      </c>
      <c r="U1966" s="3" t="s">
        <v>5515</v>
      </c>
      <c r="V1966" s="41" t="str">
        <f>HYPERLINK("http://ictvonline.org/taxonomy/p/taxonomy-history?taxnode_id=20185943","ICTVonline=20185943")</f>
        <v>ICTVonline=20185943</v>
      </c>
    </row>
    <row r="1967" spans="1:22">
      <c r="A1967" s="3">
        <v>1966</v>
      </c>
      <c r="J1967" s="1" t="s">
        <v>5491</v>
      </c>
      <c r="L1967" s="1" t="s">
        <v>360</v>
      </c>
      <c r="M1967" s="1" t="s">
        <v>1219</v>
      </c>
      <c r="N1967" s="1" t="s">
        <v>5521</v>
      </c>
      <c r="P1967" s="1" t="s">
        <v>5535</v>
      </c>
      <c r="Q1967" s="3">
        <v>0</v>
      </c>
      <c r="R1967" s="22" t="s">
        <v>2769</v>
      </c>
      <c r="S1967" s="22" t="s">
        <v>5097</v>
      </c>
      <c r="T1967" s="51">
        <v>32</v>
      </c>
      <c r="U1967" s="3" t="s">
        <v>5515</v>
      </c>
      <c r="V1967" s="41" t="str">
        <f>HYPERLINK("http://ictvonline.org/taxonomy/p/taxonomy-history?taxnode_id=20185944","ICTVonline=20185944")</f>
        <v>ICTVonline=20185944</v>
      </c>
    </row>
    <row r="1968" spans="1:22">
      <c r="A1968" s="3">
        <v>1967</v>
      </c>
      <c r="J1968" s="1" t="s">
        <v>1078</v>
      </c>
      <c r="L1968" s="1" t="s">
        <v>1039</v>
      </c>
      <c r="N1968" s="1" t="s">
        <v>1367</v>
      </c>
      <c r="P1968" s="1" t="s">
        <v>1036</v>
      </c>
      <c r="Q1968" s="3">
        <v>1</v>
      </c>
      <c r="R1968" s="22" t="s">
        <v>2766</v>
      </c>
      <c r="S1968" s="22" t="s">
        <v>5103</v>
      </c>
      <c r="T1968" s="51">
        <v>25</v>
      </c>
      <c r="U1968" s="3" t="s">
        <v>5536</v>
      </c>
      <c r="V1968" s="41" t="str">
        <f>HYPERLINK("http://ictvonline.org/taxonomy/p/taxonomy-history?taxnode_id=20181914","ICTVonline=20181914")</f>
        <v>ICTVonline=20181914</v>
      </c>
    </row>
    <row r="1969" spans="1:22">
      <c r="A1969" s="3">
        <v>1968</v>
      </c>
      <c r="J1969" s="1" t="s">
        <v>1078</v>
      </c>
      <c r="L1969" s="1" t="s">
        <v>1039</v>
      </c>
      <c r="N1969" s="1" t="s">
        <v>1367</v>
      </c>
      <c r="P1969" s="1" t="s">
        <v>1368</v>
      </c>
      <c r="Q1969" s="3">
        <v>0</v>
      </c>
      <c r="R1969" s="22" t="s">
        <v>2766</v>
      </c>
      <c r="S1969" s="22" t="s">
        <v>5097</v>
      </c>
      <c r="T1969" s="51">
        <v>25</v>
      </c>
      <c r="U1969" s="3" t="s">
        <v>5536</v>
      </c>
      <c r="V1969" s="41" t="str">
        <f>HYPERLINK("http://ictvonline.org/taxonomy/p/taxonomy-history?taxnode_id=20181915","ICTVonline=20181915")</f>
        <v>ICTVonline=20181915</v>
      </c>
    </row>
    <row r="1970" spans="1:22">
      <c r="A1970" s="3">
        <v>1969</v>
      </c>
      <c r="J1970" s="1" t="s">
        <v>1078</v>
      </c>
      <c r="L1970" s="1" t="s">
        <v>1039</v>
      </c>
      <c r="N1970" s="1" t="s">
        <v>1367</v>
      </c>
      <c r="P1970" s="1" t="s">
        <v>1037</v>
      </c>
      <c r="Q1970" s="3">
        <v>0</v>
      </c>
      <c r="R1970" s="22" t="s">
        <v>2766</v>
      </c>
      <c r="S1970" s="22" t="s">
        <v>5099</v>
      </c>
      <c r="T1970" s="51">
        <v>25</v>
      </c>
      <c r="U1970" s="3" t="s">
        <v>5536</v>
      </c>
      <c r="V1970" s="41" t="str">
        <f>HYPERLINK("http://ictvonline.org/taxonomy/p/taxonomy-history?taxnode_id=20181916","ICTVonline=20181916")</f>
        <v>ICTVonline=20181916</v>
      </c>
    </row>
    <row r="1971" spans="1:22">
      <c r="A1971" s="3">
        <v>1970</v>
      </c>
      <c r="J1971" s="1" t="s">
        <v>1078</v>
      </c>
      <c r="L1971" s="1" t="s">
        <v>1039</v>
      </c>
      <c r="N1971" s="1" t="s">
        <v>1367</v>
      </c>
      <c r="P1971" s="1" t="s">
        <v>2</v>
      </c>
      <c r="Q1971" s="3">
        <v>0</v>
      </c>
      <c r="R1971" s="22" t="s">
        <v>2766</v>
      </c>
      <c r="S1971" s="22" t="s">
        <v>5097</v>
      </c>
      <c r="T1971" s="51">
        <v>26</v>
      </c>
      <c r="U1971" s="3" t="s">
        <v>5537</v>
      </c>
      <c r="V1971" s="41" t="str">
        <f>HYPERLINK("http://ictvonline.org/taxonomy/p/taxonomy-history?taxnode_id=20181917","ICTVonline=20181917")</f>
        <v>ICTVonline=20181917</v>
      </c>
    </row>
    <row r="1972" spans="1:22">
      <c r="A1972" s="3">
        <v>1971</v>
      </c>
      <c r="J1972" s="1" t="s">
        <v>1078</v>
      </c>
      <c r="L1972" s="1" t="s">
        <v>1039</v>
      </c>
      <c r="N1972" s="1" t="s">
        <v>1367</v>
      </c>
      <c r="P1972" s="1" t="s">
        <v>5538</v>
      </c>
      <c r="Q1972" s="3">
        <v>0</v>
      </c>
      <c r="R1972" s="22" t="s">
        <v>2766</v>
      </c>
      <c r="S1972" s="22" t="s">
        <v>5099</v>
      </c>
      <c r="T1972" s="51">
        <v>25</v>
      </c>
      <c r="U1972" s="3" t="s">
        <v>5536</v>
      </c>
      <c r="V1972" s="41" t="str">
        <f>HYPERLINK("http://ictvonline.org/taxonomy/p/taxonomy-history?taxnode_id=20181918","ICTVonline=20181918")</f>
        <v>ICTVonline=20181918</v>
      </c>
    </row>
    <row r="1973" spans="1:22">
      <c r="A1973" s="3">
        <v>1972</v>
      </c>
      <c r="J1973" s="1" t="s">
        <v>1078</v>
      </c>
      <c r="L1973" s="1" t="s">
        <v>1039</v>
      </c>
      <c r="N1973" s="1" t="s">
        <v>1367</v>
      </c>
      <c r="P1973" s="1" t="s">
        <v>1038</v>
      </c>
      <c r="Q1973" s="3">
        <v>0</v>
      </c>
      <c r="R1973" s="22" t="s">
        <v>2766</v>
      </c>
      <c r="S1973" s="22" t="s">
        <v>5099</v>
      </c>
      <c r="T1973" s="51">
        <v>25</v>
      </c>
      <c r="U1973" s="3" t="s">
        <v>5536</v>
      </c>
      <c r="V1973" s="41" t="str">
        <f>HYPERLINK("http://ictvonline.org/taxonomy/p/taxonomy-history?taxnode_id=20181919","ICTVonline=20181919")</f>
        <v>ICTVonline=20181919</v>
      </c>
    </row>
    <row r="1974" spans="1:22">
      <c r="A1974" s="3">
        <v>1973</v>
      </c>
      <c r="J1974" s="1" t="s">
        <v>1078</v>
      </c>
      <c r="L1974" s="1" t="s">
        <v>1039</v>
      </c>
      <c r="N1974" s="1" t="s">
        <v>1040</v>
      </c>
      <c r="P1974" s="1" t="s">
        <v>1041</v>
      </c>
      <c r="Q1974" s="3">
        <v>0</v>
      </c>
      <c r="R1974" s="22" t="s">
        <v>2766</v>
      </c>
      <c r="S1974" s="22" t="s">
        <v>5099</v>
      </c>
      <c r="T1974" s="51">
        <v>24</v>
      </c>
      <c r="U1974" s="3" t="s">
        <v>5539</v>
      </c>
      <c r="V1974" s="41" t="str">
        <f>HYPERLINK("http://ictvonline.org/taxonomy/p/taxonomy-history?taxnode_id=20181921","ICTVonline=20181921")</f>
        <v>ICTVonline=20181921</v>
      </c>
    </row>
    <row r="1975" spans="1:22">
      <c r="A1975" s="3">
        <v>1974</v>
      </c>
      <c r="J1975" s="1" t="s">
        <v>1078</v>
      </c>
      <c r="L1975" s="1" t="s">
        <v>1039</v>
      </c>
      <c r="N1975" s="1" t="s">
        <v>1040</v>
      </c>
      <c r="P1975" s="1" t="s">
        <v>1043</v>
      </c>
      <c r="Q1975" s="3">
        <v>1</v>
      </c>
      <c r="R1975" s="22" t="s">
        <v>2766</v>
      </c>
      <c r="S1975" s="22" t="s">
        <v>5099</v>
      </c>
      <c r="T1975" s="51">
        <v>24</v>
      </c>
      <c r="U1975" s="3" t="s">
        <v>5539</v>
      </c>
      <c r="V1975" s="41" t="str">
        <f>HYPERLINK("http://ictvonline.org/taxonomy/p/taxonomy-history?taxnode_id=20181922","ICTVonline=20181922")</f>
        <v>ICTVonline=20181922</v>
      </c>
    </row>
    <row r="1976" spans="1:22">
      <c r="A1976" s="3">
        <v>1975</v>
      </c>
      <c r="J1976" s="1" t="s">
        <v>1078</v>
      </c>
      <c r="L1976" s="1" t="s">
        <v>1039</v>
      </c>
      <c r="N1976" s="1" t="s">
        <v>1040</v>
      </c>
      <c r="P1976" s="1" t="s">
        <v>1044</v>
      </c>
      <c r="Q1976" s="3">
        <v>0</v>
      </c>
      <c r="R1976" s="22" t="s">
        <v>2766</v>
      </c>
      <c r="S1976" s="22" t="s">
        <v>5099</v>
      </c>
      <c r="T1976" s="51">
        <v>24</v>
      </c>
      <c r="U1976" s="3" t="s">
        <v>5539</v>
      </c>
      <c r="V1976" s="41" t="str">
        <f>HYPERLINK("http://ictvonline.org/taxonomy/p/taxonomy-history?taxnode_id=20181923","ICTVonline=20181923")</f>
        <v>ICTVonline=20181923</v>
      </c>
    </row>
    <row r="1977" spans="1:22">
      <c r="A1977" s="3">
        <v>1976</v>
      </c>
      <c r="J1977" s="1" t="s">
        <v>1078</v>
      </c>
      <c r="L1977" s="1" t="s">
        <v>1039</v>
      </c>
      <c r="N1977" s="1" t="s">
        <v>1040</v>
      </c>
      <c r="P1977" s="1" t="s">
        <v>1046</v>
      </c>
      <c r="Q1977" s="3">
        <v>0</v>
      </c>
      <c r="R1977" s="22" t="s">
        <v>2766</v>
      </c>
      <c r="S1977" s="22" t="s">
        <v>5099</v>
      </c>
      <c r="T1977" s="51">
        <v>24</v>
      </c>
      <c r="U1977" s="3" t="s">
        <v>5539</v>
      </c>
      <c r="V1977" s="41" t="str">
        <f>HYPERLINK("http://ictvonline.org/taxonomy/p/taxonomy-history?taxnode_id=20181924","ICTVonline=20181924")</f>
        <v>ICTVonline=20181924</v>
      </c>
    </row>
    <row r="1978" spans="1:22">
      <c r="A1978" s="3">
        <v>1977</v>
      </c>
      <c r="J1978" s="1" t="s">
        <v>1078</v>
      </c>
      <c r="L1978" s="1" t="s">
        <v>1039</v>
      </c>
      <c r="N1978" s="1" t="s">
        <v>3751</v>
      </c>
      <c r="P1978" s="1" t="s">
        <v>1042</v>
      </c>
      <c r="Q1978" s="3">
        <v>0</v>
      </c>
      <c r="R1978" s="22" t="s">
        <v>2766</v>
      </c>
      <c r="S1978" s="22" t="s">
        <v>5099</v>
      </c>
      <c r="T1978" s="51">
        <v>30</v>
      </c>
      <c r="U1978" s="3" t="s">
        <v>5540</v>
      </c>
      <c r="V1978" s="41" t="str">
        <f>HYPERLINK("http://ictvonline.org/taxonomy/p/taxonomy-history?taxnode_id=20181926","ICTVonline=20181926")</f>
        <v>ICTVonline=20181926</v>
      </c>
    </row>
    <row r="1979" spans="1:22">
      <c r="A1979" s="3">
        <v>1978</v>
      </c>
      <c r="J1979" s="1" t="s">
        <v>1078</v>
      </c>
      <c r="L1979" s="1" t="s">
        <v>1039</v>
      </c>
      <c r="N1979" s="1" t="s">
        <v>3751</v>
      </c>
      <c r="P1979" s="1" t="s">
        <v>1439</v>
      </c>
      <c r="Q1979" s="3">
        <v>0</v>
      </c>
      <c r="R1979" s="22" t="s">
        <v>2766</v>
      </c>
      <c r="S1979" s="22" t="s">
        <v>5099</v>
      </c>
      <c r="T1979" s="51">
        <v>30</v>
      </c>
      <c r="U1979" s="3" t="s">
        <v>5540</v>
      </c>
      <c r="V1979" s="41" t="str">
        <f>HYPERLINK("http://ictvonline.org/taxonomy/p/taxonomy-history?taxnode_id=20181927","ICTVonline=20181927")</f>
        <v>ICTVonline=20181927</v>
      </c>
    </row>
    <row r="1980" spans="1:22">
      <c r="A1980" s="3">
        <v>1979</v>
      </c>
      <c r="J1980" s="1" t="s">
        <v>1078</v>
      </c>
      <c r="L1980" s="1" t="s">
        <v>1039</v>
      </c>
      <c r="N1980" s="1" t="s">
        <v>3751</v>
      </c>
      <c r="P1980" s="1" t="s">
        <v>5541</v>
      </c>
      <c r="Q1980" s="3">
        <v>0</v>
      </c>
      <c r="R1980" s="22" t="s">
        <v>2766</v>
      </c>
      <c r="S1980" s="22" t="s">
        <v>5099</v>
      </c>
      <c r="T1980" s="51">
        <v>30</v>
      </c>
      <c r="U1980" s="3" t="s">
        <v>5540</v>
      </c>
      <c r="V1980" s="41" t="str">
        <f>HYPERLINK("http://ictvonline.org/taxonomy/p/taxonomy-history?taxnode_id=20181928","ICTVonline=20181928")</f>
        <v>ICTVonline=20181928</v>
      </c>
    </row>
    <row r="1981" spans="1:22">
      <c r="A1981" s="3">
        <v>1980</v>
      </c>
      <c r="J1981" s="1" t="s">
        <v>1078</v>
      </c>
      <c r="L1981" s="1" t="s">
        <v>1039</v>
      </c>
      <c r="N1981" s="1" t="s">
        <v>3751</v>
      </c>
      <c r="P1981" s="1" t="s">
        <v>1045</v>
      </c>
      <c r="Q1981" s="3">
        <v>0</v>
      </c>
      <c r="R1981" s="22" t="s">
        <v>2766</v>
      </c>
      <c r="S1981" s="22" t="s">
        <v>5099</v>
      </c>
      <c r="T1981" s="51">
        <v>30</v>
      </c>
      <c r="U1981" s="3" t="s">
        <v>5540</v>
      </c>
      <c r="V1981" s="41" t="str">
        <f>HYPERLINK("http://ictvonline.org/taxonomy/p/taxonomy-history?taxnode_id=20181929","ICTVonline=20181929")</f>
        <v>ICTVonline=20181929</v>
      </c>
    </row>
    <row r="1982" spans="1:22">
      <c r="A1982" s="3">
        <v>1981</v>
      </c>
      <c r="J1982" s="1" t="s">
        <v>1078</v>
      </c>
      <c r="L1982" s="1" t="s">
        <v>1039</v>
      </c>
      <c r="N1982" s="1" t="s">
        <v>3751</v>
      </c>
      <c r="P1982" s="1" t="s">
        <v>1035</v>
      </c>
      <c r="Q1982" s="3">
        <v>1</v>
      </c>
      <c r="R1982" s="22" t="s">
        <v>2766</v>
      </c>
      <c r="S1982" s="22" t="s">
        <v>5099</v>
      </c>
      <c r="T1982" s="51">
        <v>30</v>
      </c>
      <c r="U1982" s="3" t="s">
        <v>5540</v>
      </c>
      <c r="V1982" s="41" t="str">
        <f>HYPERLINK("http://ictvonline.org/taxonomy/p/taxonomy-history?taxnode_id=20181930","ICTVonline=20181930")</f>
        <v>ICTVonline=20181930</v>
      </c>
    </row>
    <row r="1983" spans="1:22">
      <c r="A1983" s="3">
        <v>1982</v>
      </c>
      <c r="J1983" s="1" t="s">
        <v>1078</v>
      </c>
      <c r="L1983" s="1" t="s">
        <v>1115</v>
      </c>
      <c r="N1983" s="1" t="s">
        <v>1116</v>
      </c>
      <c r="P1983" s="1" t="s">
        <v>3752</v>
      </c>
      <c r="Q1983" s="3">
        <v>0</v>
      </c>
      <c r="R1983" s="22" t="s">
        <v>2766</v>
      </c>
      <c r="S1983" s="22" t="s">
        <v>5097</v>
      </c>
      <c r="T1983" s="51">
        <v>30</v>
      </c>
      <c r="U1983" s="3" t="s">
        <v>5542</v>
      </c>
      <c r="V1983" s="41" t="str">
        <f>HYPERLINK("http://ictvonline.org/taxonomy/p/taxonomy-history?taxnode_id=20181934","ICTVonline=20181934")</f>
        <v>ICTVonline=20181934</v>
      </c>
    </row>
    <row r="1984" spans="1:22">
      <c r="A1984" s="3">
        <v>1983</v>
      </c>
      <c r="J1984" s="1" t="s">
        <v>1078</v>
      </c>
      <c r="L1984" s="1" t="s">
        <v>1115</v>
      </c>
      <c r="N1984" s="1" t="s">
        <v>1116</v>
      </c>
      <c r="P1984" s="1" t="s">
        <v>4748</v>
      </c>
      <c r="Q1984" s="3">
        <v>0</v>
      </c>
      <c r="R1984" s="22" t="s">
        <v>2766</v>
      </c>
      <c r="S1984" s="22" t="s">
        <v>5097</v>
      </c>
      <c r="T1984" s="51">
        <v>31</v>
      </c>
      <c r="U1984" s="3" t="s">
        <v>5543</v>
      </c>
      <c r="V1984" s="41" t="str">
        <f>HYPERLINK("http://ictvonline.org/taxonomy/p/taxonomy-history?taxnode_id=20181935","ICTVonline=20181935")</f>
        <v>ICTVonline=20181935</v>
      </c>
    </row>
    <row r="1985" spans="1:22">
      <c r="A1985" s="3">
        <v>1984</v>
      </c>
      <c r="J1985" s="1" t="s">
        <v>1078</v>
      </c>
      <c r="L1985" s="1" t="s">
        <v>1115</v>
      </c>
      <c r="N1985" s="1" t="s">
        <v>1116</v>
      </c>
      <c r="P1985" s="1" t="s">
        <v>1117</v>
      </c>
      <c r="Q1985" s="3">
        <v>0</v>
      </c>
      <c r="R1985" s="22" t="s">
        <v>2766</v>
      </c>
      <c r="S1985" s="22" t="s">
        <v>5097</v>
      </c>
      <c r="T1985" s="51">
        <v>24</v>
      </c>
      <c r="U1985" s="3" t="s">
        <v>5544</v>
      </c>
      <c r="V1985" s="41" t="str">
        <f>HYPERLINK("http://ictvonline.org/taxonomy/p/taxonomy-history?taxnode_id=20181936","ICTVonline=20181936")</f>
        <v>ICTVonline=20181936</v>
      </c>
    </row>
    <row r="1986" spans="1:22">
      <c r="A1986" s="3">
        <v>1985</v>
      </c>
      <c r="J1986" s="1" t="s">
        <v>1078</v>
      </c>
      <c r="L1986" s="1" t="s">
        <v>1115</v>
      </c>
      <c r="N1986" s="1" t="s">
        <v>1116</v>
      </c>
      <c r="P1986" s="1" t="s">
        <v>3753</v>
      </c>
      <c r="Q1986" s="3">
        <v>0</v>
      </c>
      <c r="R1986" s="22" t="s">
        <v>2766</v>
      </c>
      <c r="S1986" s="22" t="s">
        <v>5097</v>
      </c>
      <c r="T1986" s="51">
        <v>30</v>
      </c>
      <c r="U1986" s="3" t="s">
        <v>5545</v>
      </c>
      <c r="V1986" s="41" t="str">
        <f>HYPERLINK("http://ictvonline.org/taxonomy/p/taxonomy-history?taxnode_id=20181937","ICTVonline=20181937")</f>
        <v>ICTVonline=20181937</v>
      </c>
    </row>
    <row r="1987" spans="1:22">
      <c r="A1987" s="3">
        <v>1986</v>
      </c>
      <c r="J1987" s="1" t="s">
        <v>1078</v>
      </c>
      <c r="L1987" s="1" t="s">
        <v>1115</v>
      </c>
      <c r="N1987" s="1" t="s">
        <v>1116</v>
      </c>
      <c r="P1987" s="1" t="s">
        <v>1118</v>
      </c>
      <c r="Q1987" s="3">
        <v>0</v>
      </c>
      <c r="R1987" s="22" t="s">
        <v>2766</v>
      </c>
      <c r="S1987" s="22" t="s">
        <v>5097</v>
      </c>
      <c r="T1987" s="51">
        <v>24</v>
      </c>
      <c r="U1987" s="3" t="s">
        <v>5544</v>
      </c>
      <c r="V1987" s="41" t="str">
        <f>HYPERLINK("http://ictvonline.org/taxonomy/p/taxonomy-history?taxnode_id=20181938","ICTVonline=20181938")</f>
        <v>ICTVonline=20181938</v>
      </c>
    </row>
    <row r="1988" spans="1:22">
      <c r="A1988" s="3">
        <v>1987</v>
      </c>
      <c r="J1988" s="1" t="s">
        <v>1078</v>
      </c>
      <c r="L1988" s="1" t="s">
        <v>1115</v>
      </c>
      <c r="N1988" s="1" t="s">
        <v>1116</v>
      </c>
      <c r="P1988" s="1" t="s">
        <v>1119</v>
      </c>
      <c r="Q1988" s="3">
        <v>1</v>
      </c>
      <c r="R1988" s="22" t="s">
        <v>2766</v>
      </c>
      <c r="S1988" s="22" t="s">
        <v>5099</v>
      </c>
      <c r="T1988" s="51">
        <v>24</v>
      </c>
      <c r="U1988" s="3" t="s">
        <v>5546</v>
      </c>
      <c r="V1988" s="41" t="str">
        <f>HYPERLINK("http://ictvonline.org/taxonomy/p/taxonomy-history?taxnode_id=20181939","ICTVonline=20181939")</f>
        <v>ICTVonline=20181939</v>
      </c>
    </row>
    <row r="1989" spans="1:22">
      <c r="A1989" s="3">
        <v>1988</v>
      </c>
      <c r="J1989" s="1" t="s">
        <v>1078</v>
      </c>
      <c r="L1989" s="1" t="s">
        <v>1115</v>
      </c>
      <c r="N1989" s="1" t="s">
        <v>1116</v>
      </c>
      <c r="P1989" s="1" t="s">
        <v>2314</v>
      </c>
      <c r="Q1989" s="3">
        <v>0</v>
      </c>
      <c r="R1989" s="22" t="s">
        <v>2766</v>
      </c>
      <c r="S1989" s="22" t="s">
        <v>5097</v>
      </c>
      <c r="T1989" s="51">
        <v>28</v>
      </c>
      <c r="U1989" s="3" t="s">
        <v>5547</v>
      </c>
      <c r="V1989" s="41" t="str">
        <f>HYPERLINK("http://ictvonline.org/taxonomy/p/taxonomy-history?taxnode_id=20181940","ICTVonline=20181940")</f>
        <v>ICTVonline=20181940</v>
      </c>
    </row>
    <row r="1990" spans="1:22">
      <c r="A1990" s="3">
        <v>1989</v>
      </c>
      <c r="J1990" s="1" t="s">
        <v>1078</v>
      </c>
      <c r="L1990" s="1" t="s">
        <v>1115</v>
      </c>
      <c r="N1990" s="1" t="s">
        <v>1116</v>
      </c>
      <c r="P1990" s="1" t="s">
        <v>3754</v>
      </c>
      <c r="Q1990" s="3">
        <v>0</v>
      </c>
      <c r="R1990" s="22" t="s">
        <v>2766</v>
      </c>
      <c r="S1990" s="22" t="s">
        <v>5097</v>
      </c>
      <c r="T1990" s="51">
        <v>30</v>
      </c>
      <c r="U1990" s="3" t="s">
        <v>5548</v>
      </c>
      <c r="V1990" s="41" t="str">
        <f>HYPERLINK("http://ictvonline.org/taxonomy/p/taxonomy-history?taxnode_id=20181941","ICTVonline=20181941")</f>
        <v>ICTVonline=20181941</v>
      </c>
    </row>
    <row r="1991" spans="1:22">
      <c r="A1991" s="3">
        <v>1990</v>
      </c>
      <c r="J1991" s="1" t="s">
        <v>1078</v>
      </c>
      <c r="L1991" s="1" t="s">
        <v>1115</v>
      </c>
      <c r="N1991" s="1" t="s">
        <v>1116</v>
      </c>
      <c r="P1991" s="1" t="s">
        <v>2315</v>
      </c>
      <c r="Q1991" s="3">
        <v>0</v>
      </c>
      <c r="R1991" s="22" t="s">
        <v>2766</v>
      </c>
      <c r="S1991" s="22" t="s">
        <v>5097</v>
      </c>
      <c r="T1991" s="51">
        <v>28</v>
      </c>
      <c r="U1991" s="3" t="s">
        <v>5547</v>
      </c>
      <c r="V1991" s="41" t="str">
        <f>HYPERLINK("http://ictvonline.org/taxonomy/p/taxonomy-history?taxnode_id=20181942","ICTVonline=20181942")</f>
        <v>ICTVonline=20181942</v>
      </c>
    </row>
    <row r="1992" spans="1:22">
      <c r="A1992" s="3">
        <v>1991</v>
      </c>
      <c r="J1992" s="1" t="s">
        <v>1078</v>
      </c>
      <c r="L1992" s="1" t="s">
        <v>1115</v>
      </c>
      <c r="N1992" s="1" t="s">
        <v>1116</v>
      </c>
      <c r="P1992" s="1" t="s">
        <v>1120</v>
      </c>
      <c r="Q1992" s="3">
        <v>0</v>
      </c>
      <c r="R1992" s="22" t="s">
        <v>2766</v>
      </c>
      <c r="S1992" s="22" t="s">
        <v>5099</v>
      </c>
      <c r="T1992" s="51">
        <v>24</v>
      </c>
      <c r="U1992" s="3" t="s">
        <v>5546</v>
      </c>
      <c r="V1992" s="41" t="str">
        <f>HYPERLINK("http://ictvonline.org/taxonomy/p/taxonomy-history?taxnode_id=20181943","ICTVonline=20181943")</f>
        <v>ICTVonline=20181943</v>
      </c>
    </row>
    <row r="1993" spans="1:22">
      <c r="A1993" s="3">
        <v>1992</v>
      </c>
      <c r="J1993" s="1" t="s">
        <v>1078</v>
      </c>
      <c r="L1993" s="1" t="s">
        <v>1115</v>
      </c>
      <c r="N1993" s="1" t="s">
        <v>1116</v>
      </c>
      <c r="P1993" s="1" t="s">
        <v>1121</v>
      </c>
      <c r="Q1993" s="3">
        <v>0</v>
      </c>
      <c r="R1993" s="22" t="s">
        <v>2766</v>
      </c>
      <c r="S1993" s="22" t="s">
        <v>5099</v>
      </c>
      <c r="T1993" s="51">
        <v>24</v>
      </c>
      <c r="U1993" s="3" t="s">
        <v>5546</v>
      </c>
      <c r="V1993" s="41" t="str">
        <f>HYPERLINK("http://ictvonline.org/taxonomy/p/taxonomy-history?taxnode_id=20181944","ICTVonline=20181944")</f>
        <v>ICTVonline=20181944</v>
      </c>
    </row>
    <row r="1994" spans="1:22">
      <c r="A1994" s="3">
        <v>1993</v>
      </c>
      <c r="J1994" s="1" t="s">
        <v>1078</v>
      </c>
      <c r="L1994" s="1" t="s">
        <v>1115</v>
      </c>
      <c r="N1994" s="1" t="s">
        <v>1116</v>
      </c>
      <c r="P1994" s="1" t="s">
        <v>3</v>
      </c>
      <c r="Q1994" s="3">
        <v>0</v>
      </c>
      <c r="R1994" s="22" t="s">
        <v>2766</v>
      </c>
      <c r="S1994" s="22" t="s">
        <v>5097</v>
      </c>
      <c r="T1994" s="51">
        <v>26</v>
      </c>
      <c r="U1994" s="3" t="s">
        <v>5549</v>
      </c>
      <c r="V1994" s="41" t="str">
        <f>HYPERLINK("http://ictvonline.org/taxonomy/p/taxonomy-history?taxnode_id=20181945","ICTVonline=20181945")</f>
        <v>ICTVonline=20181945</v>
      </c>
    </row>
    <row r="1995" spans="1:22">
      <c r="A1995" s="3">
        <v>1994</v>
      </c>
      <c r="J1995" s="1" t="s">
        <v>1078</v>
      </c>
      <c r="L1995" s="1" t="s">
        <v>1115</v>
      </c>
      <c r="N1995" s="1" t="s">
        <v>1116</v>
      </c>
      <c r="P1995" s="1" t="s">
        <v>3755</v>
      </c>
      <c r="Q1995" s="3">
        <v>0</v>
      </c>
      <c r="R1995" s="22" t="s">
        <v>2766</v>
      </c>
      <c r="S1995" s="22" t="s">
        <v>5097</v>
      </c>
      <c r="T1995" s="51">
        <v>30</v>
      </c>
      <c r="U1995" s="3" t="s">
        <v>5550</v>
      </c>
      <c r="V1995" s="41" t="str">
        <f>HYPERLINK("http://ictvonline.org/taxonomy/p/taxonomy-history?taxnode_id=20181946","ICTVonline=20181946")</f>
        <v>ICTVonline=20181946</v>
      </c>
    </row>
    <row r="1996" spans="1:22">
      <c r="A1996" s="3">
        <v>1995</v>
      </c>
      <c r="J1996" s="1" t="s">
        <v>1078</v>
      </c>
      <c r="L1996" s="1" t="s">
        <v>1115</v>
      </c>
      <c r="N1996" s="1" t="s">
        <v>1116</v>
      </c>
      <c r="P1996" s="1" t="s">
        <v>3756</v>
      </c>
      <c r="Q1996" s="3">
        <v>0</v>
      </c>
      <c r="R1996" s="22" t="s">
        <v>2766</v>
      </c>
      <c r="S1996" s="22" t="s">
        <v>5097</v>
      </c>
      <c r="T1996" s="51">
        <v>30</v>
      </c>
      <c r="U1996" s="3" t="s">
        <v>5551</v>
      </c>
      <c r="V1996" s="41" t="str">
        <f>HYPERLINK("http://ictvonline.org/taxonomy/p/taxonomy-history?taxnode_id=20181947","ICTVonline=20181947")</f>
        <v>ICTVonline=20181947</v>
      </c>
    </row>
    <row r="1997" spans="1:22">
      <c r="A1997" s="3">
        <v>1996</v>
      </c>
      <c r="J1997" s="1" t="s">
        <v>1078</v>
      </c>
      <c r="L1997" s="1" t="s">
        <v>1115</v>
      </c>
      <c r="N1997" s="1" t="s">
        <v>1116</v>
      </c>
      <c r="P1997" s="1" t="s">
        <v>5552</v>
      </c>
      <c r="Q1997" s="3">
        <v>0</v>
      </c>
      <c r="R1997" s="22" t="s">
        <v>2766</v>
      </c>
      <c r="S1997" s="22" t="s">
        <v>5097</v>
      </c>
      <c r="T1997" s="51">
        <v>24</v>
      </c>
      <c r="U1997" s="3" t="s">
        <v>5544</v>
      </c>
      <c r="V1997" s="41" t="str">
        <f>HYPERLINK("http://ictvonline.org/taxonomy/p/taxonomy-history?taxnode_id=20181948","ICTVonline=20181948")</f>
        <v>ICTVonline=20181948</v>
      </c>
    </row>
    <row r="1998" spans="1:22">
      <c r="A1998" s="3">
        <v>1997</v>
      </c>
      <c r="J1998" s="1" t="s">
        <v>1078</v>
      </c>
      <c r="L1998" s="1" t="s">
        <v>1122</v>
      </c>
      <c r="N1998" s="1" t="s">
        <v>1123</v>
      </c>
      <c r="P1998" s="1" t="s">
        <v>1124</v>
      </c>
      <c r="Q1998" s="3">
        <v>1</v>
      </c>
      <c r="R1998" s="22" t="s">
        <v>2766</v>
      </c>
      <c r="S1998" s="22" t="s">
        <v>5099</v>
      </c>
      <c r="T1998" s="51">
        <v>24</v>
      </c>
      <c r="U1998" s="3" t="s">
        <v>5539</v>
      </c>
      <c r="V1998" s="41" t="str">
        <f>HYPERLINK("http://ictvonline.org/taxonomy/p/taxonomy-history?taxnode_id=20181952","ICTVonline=20181952")</f>
        <v>ICTVonline=20181952</v>
      </c>
    </row>
    <row r="1999" spans="1:22">
      <c r="A1999" s="3">
        <v>1998</v>
      </c>
      <c r="J1999" s="1" t="s">
        <v>1078</v>
      </c>
      <c r="L1999" s="1" t="s">
        <v>1125</v>
      </c>
      <c r="N1999" s="1" t="s">
        <v>5553</v>
      </c>
      <c r="P1999" s="1" t="s">
        <v>5554</v>
      </c>
      <c r="Q1999" s="3">
        <v>1</v>
      </c>
      <c r="R1999" s="22" t="s">
        <v>2766</v>
      </c>
      <c r="S1999" s="22" t="s">
        <v>5097</v>
      </c>
      <c r="T1999" s="51">
        <v>32</v>
      </c>
      <c r="U1999" s="3" t="s">
        <v>5555</v>
      </c>
      <c r="V1999" s="41" t="str">
        <f>HYPERLINK("http://ictvonline.org/taxonomy/p/taxonomy-history?taxnode_id=20185589","ICTVonline=20185589")</f>
        <v>ICTVonline=20185589</v>
      </c>
    </row>
    <row r="2000" spans="1:22">
      <c r="A2000" s="3">
        <v>1999</v>
      </c>
      <c r="J2000" s="1" t="s">
        <v>1078</v>
      </c>
      <c r="L2000" s="1" t="s">
        <v>1125</v>
      </c>
      <c r="N2000" s="1" t="s">
        <v>4749</v>
      </c>
      <c r="P2000" s="1" t="s">
        <v>4750</v>
      </c>
      <c r="Q2000" s="3">
        <v>1</v>
      </c>
      <c r="R2000" s="22" t="s">
        <v>2766</v>
      </c>
      <c r="S2000" s="22" t="s">
        <v>5097</v>
      </c>
      <c r="T2000" s="51">
        <v>31</v>
      </c>
      <c r="U2000" s="3" t="s">
        <v>5556</v>
      </c>
      <c r="V2000" s="41" t="str">
        <f>HYPERLINK("http://ictvonline.org/taxonomy/p/taxonomy-history?taxnode_id=20181956","ICTVonline=20181956")</f>
        <v>ICTVonline=20181956</v>
      </c>
    </row>
    <row r="2001" spans="1:22">
      <c r="A2001" s="3">
        <v>2000</v>
      </c>
      <c r="J2001" s="1" t="s">
        <v>1078</v>
      </c>
      <c r="L2001" s="1" t="s">
        <v>1125</v>
      </c>
      <c r="N2001" s="1" t="s">
        <v>1047</v>
      </c>
      <c r="P2001" s="1" t="s">
        <v>4</v>
      </c>
      <c r="Q2001" s="3">
        <v>0</v>
      </c>
      <c r="R2001" s="22" t="s">
        <v>2766</v>
      </c>
      <c r="S2001" s="22" t="s">
        <v>5097</v>
      </c>
      <c r="T2001" s="51">
        <v>26</v>
      </c>
      <c r="U2001" s="3" t="s">
        <v>5557</v>
      </c>
      <c r="V2001" s="41" t="str">
        <f>HYPERLINK("http://ictvonline.org/taxonomy/p/taxonomy-history?taxnode_id=20181958","ICTVonline=20181958")</f>
        <v>ICTVonline=20181958</v>
      </c>
    </row>
    <row r="2002" spans="1:22">
      <c r="A2002" s="3">
        <v>2001</v>
      </c>
      <c r="J2002" s="1" t="s">
        <v>1078</v>
      </c>
      <c r="L2002" s="1" t="s">
        <v>1125</v>
      </c>
      <c r="N2002" s="1" t="s">
        <v>1047</v>
      </c>
      <c r="P2002" s="1" t="s">
        <v>2142</v>
      </c>
      <c r="Q2002" s="3">
        <v>0</v>
      </c>
      <c r="R2002" s="22" t="s">
        <v>2766</v>
      </c>
      <c r="S2002" s="22" t="s">
        <v>5097</v>
      </c>
      <c r="T2002" s="51">
        <v>25</v>
      </c>
      <c r="U2002" s="3" t="s">
        <v>5558</v>
      </c>
      <c r="V2002" s="41" t="str">
        <f>HYPERLINK("http://ictvonline.org/taxonomy/p/taxonomy-history?taxnode_id=20181959","ICTVonline=20181959")</f>
        <v>ICTVonline=20181959</v>
      </c>
    </row>
    <row r="2003" spans="1:22">
      <c r="A2003" s="3">
        <v>2002</v>
      </c>
      <c r="J2003" s="1" t="s">
        <v>1078</v>
      </c>
      <c r="L2003" s="1" t="s">
        <v>1125</v>
      </c>
      <c r="N2003" s="1" t="s">
        <v>1047</v>
      </c>
      <c r="P2003" s="1" t="s">
        <v>708</v>
      </c>
      <c r="Q2003" s="3">
        <v>0</v>
      </c>
      <c r="R2003" s="22" t="s">
        <v>2766</v>
      </c>
      <c r="S2003" s="22" t="s">
        <v>5100</v>
      </c>
      <c r="T2003" s="51">
        <v>29</v>
      </c>
      <c r="U2003" s="3" t="s">
        <v>5559</v>
      </c>
      <c r="V2003" s="41" t="str">
        <f>HYPERLINK("http://ictvonline.org/taxonomy/p/taxonomy-history?taxnode_id=20181960","ICTVonline=20181960")</f>
        <v>ICTVonline=20181960</v>
      </c>
    </row>
    <row r="2004" spans="1:22">
      <c r="A2004" s="3">
        <v>2003</v>
      </c>
      <c r="J2004" s="1" t="s">
        <v>1078</v>
      </c>
      <c r="L2004" s="1" t="s">
        <v>1125</v>
      </c>
      <c r="N2004" s="1" t="s">
        <v>1047</v>
      </c>
      <c r="P2004" s="1" t="s">
        <v>1764</v>
      </c>
      <c r="Q2004" s="3">
        <v>1</v>
      </c>
      <c r="R2004" s="22" t="s">
        <v>2766</v>
      </c>
      <c r="S2004" s="22" t="s">
        <v>5099</v>
      </c>
      <c r="T2004" s="51">
        <v>24</v>
      </c>
      <c r="U2004" s="3" t="s">
        <v>5539</v>
      </c>
      <c r="V2004" s="41" t="str">
        <f>HYPERLINK("http://ictvonline.org/taxonomy/p/taxonomy-history?taxnode_id=20181961","ICTVonline=20181961")</f>
        <v>ICTVonline=20181961</v>
      </c>
    </row>
    <row r="2005" spans="1:22">
      <c r="A2005" s="3">
        <v>2004</v>
      </c>
      <c r="J2005" s="1" t="s">
        <v>1078</v>
      </c>
      <c r="L2005" s="1" t="s">
        <v>1125</v>
      </c>
      <c r="N2005" s="1" t="s">
        <v>2183</v>
      </c>
      <c r="P2005" s="1" t="s">
        <v>2184</v>
      </c>
      <c r="Q2005" s="3">
        <v>1</v>
      </c>
      <c r="R2005" s="22" t="s">
        <v>2766</v>
      </c>
      <c r="S2005" s="22" t="s">
        <v>5102</v>
      </c>
      <c r="T2005" s="51">
        <v>27</v>
      </c>
      <c r="U2005" s="3" t="s">
        <v>5560</v>
      </c>
      <c r="V2005" s="41" t="str">
        <f>HYPERLINK("http://ictvonline.org/taxonomy/p/taxonomy-history?taxnode_id=20181963","ICTVonline=20181963")</f>
        <v>ICTVonline=20181963</v>
      </c>
    </row>
    <row r="2006" spans="1:22">
      <c r="A2006" s="3">
        <v>2005</v>
      </c>
      <c r="J2006" s="1" t="s">
        <v>1078</v>
      </c>
      <c r="L2006" s="1" t="s">
        <v>1125</v>
      </c>
      <c r="N2006" s="1" t="s">
        <v>1084</v>
      </c>
      <c r="P2006" s="1" t="s">
        <v>2645</v>
      </c>
      <c r="Q2006" s="3">
        <v>1</v>
      </c>
      <c r="R2006" s="22" t="s">
        <v>2766</v>
      </c>
      <c r="S2006" s="22" t="s">
        <v>5100</v>
      </c>
      <c r="T2006" s="51">
        <v>29</v>
      </c>
      <c r="U2006" s="3" t="s">
        <v>5559</v>
      </c>
      <c r="V2006" s="41" t="str">
        <f>HYPERLINK("http://ictvonline.org/taxonomy/p/taxonomy-history?taxnode_id=20181965","ICTVonline=20181965")</f>
        <v>ICTVonline=20181965</v>
      </c>
    </row>
    <row r="2007" spans="1:22">
      <c r="A2007" s="3">
        <v>2006</v>
      </c>
      <c r="J2007" s="1" t="s">
        <v>1078</v>
      </c>
      <c r="L2007" s="1" t="s">
        <v>1125</v>
      </c>
      <c r="N2007" s="1" t="s">
        <v>2316</v>
      </c>
      <c r="P2007" s="1" t="s">
        <v>2317</v>
      </c>
      <c r="Q2007" s="3">
        <v>1</v>
      </c>
      <c r="R2007" s="22" t="s">
        <v>2766</v>
      </c>
      <c r="S2007" s="22" t="s">
        <v>5097</v>
      </c>
      <c r="T2007" s="51">
        <v>28</v>
      </c>
      <c r="U2007" s="3" t="s">
        <v>5561</v>
      </c>
      <c r="V2007" s="41" t="str">
        <f>HYPERLINK("http://ictvonline.org/taxonomy/p/taxonomy-history?taxnode_id=20181967","ICTVonline=20181967")</f>
        <v>ICTVonline=20181967</v>
      </c>
    </row>
    <row r="2008" spans="1:22">
      <c r="A2008" s="3">
        <v>2007</v>
      </c>
      <c r="J2008" s="1" t="s">
        <v>1078</v>
      </c>
      <c r="L2008" s="1" t="s">
        <v>1125</v>
      </c>
      <c r="N2008" s="1" t="s">
        <v>2316</v>
      </c>
      <c r="P2008" s="1" t="s">
        <v>4751</v>
      </c>
      <c r="Q2008" s="3">
        <v>0</v>
      </c>
      <c r="R2008" s="22" t="s">
        <v>2766</v>
      </c>
      <c r="S2008" s="22" t="s">
        <v>5097</v>
      </c>
      <c r="T2008" s="51">
        <v>31</v>
      </c>
      <c r="U2008" s="3" t="s">
        <v>5562</v>
      </c>
      <c r="V2008" s="41" t="str">
        <f>HYPERLINK("http://ictvonline.org/taxonomy/p/taxonomy-history?taxnode_id=20181968","ICTVonline=20181968")</f>
        <v>ICTVonline=20181968</v>
      </c>
    </row>
    <row r="2009" spans="1:22">
      <c r="A2009" s="3">
        <v>2008</v>
      </c>
      <c r="J2009" s="1" t="s">
        <v>1078</v>
      </c>
      <c r="L2009" s="1" t="s">
        <v>1125</v>
      </c>
      <c r="N2009" s="1" t="s">
        <v>2316</v>
      </c>
      <c r="P2009" s="1" t="s">
        <v>4752</v>
      </c>
      <c r="Q2009" s="3">
        <v>0</v>
      </c>
      <c r="R2009" s="22" t="s">
        <v>2766</v>
      </c>
      <c r="S2009" s="22" t="s">
        <v>5097</v>
      </c>
      <c r="T2009" s="51">
        <v>31</v>
      </c>
      <c r="U2009" s="3" t="s">
        <v>5562</v>
      </c>
      <c r="V2009" s="41" t="str">
        <f>HYPERLINK("http://ictvonline.org/taxonomy/p/taxonomy-history?taxnode_id=20181969","ICTVonline=20181969")</f>
        <v>ICTVonline=20181969</v>
      </c>
    </row>
    <row r="2010" spans="1:22">
      <c r="A2010" s="3">
        <v>2009</v>
      </c>
      <c r="J2010" s="1" t="s">
        <v>1078</v>
      </c>
      <c r="L2010" s="1" t="s">
        <v>1125</v>
      </c>
      <c r="N2010" s="1" t="s">
        <v>5563</v>
      </c>
      <c r="P2010" s="1" t="s">
        <v>5564</v>
      </c>
      <c r="Q2010" s="3">
        <v>1</v>
      </c>
      <c r="R2010" s="22" t="s">
        <v>2766</v>
      </c>
      <c r="S2010" s="22" t="s">
        <v>5097</v>
      </c>
      <c r="T2010" s="51">
        <v>32</v>
      </c>
      <c r="U2010" s="3" t="s">
        <v>5565</v>
      </c>
      <c r="V2010" s="41" t="str">
        <f>HYPERLINK("http://ictvonline.org/taxonomy/p/taxonomy-history?taxnode_id=20185591","ICTVonline=20185591")</f>
        <v>ICTVonline=20185591</v>
      </c>
    </row>
    <row r="2011" spans="1:22">
      <c r="A2011" s="3">
        <v>2010</v>
      </c>
      <c r="J2011" s="1" t="s">
        <v>1078</v>
      </c>
      <c r="L2011" s="1" t="s">
        <v>1125</v>
      </c>
      <c r="N2011" s="1" t="s">
        <v>1765</v>
      </c>
      <c r="P2011" s="1" t="s">
        <v>2646</v>
      </c>
      <c r="Q2011" s="3">
        <v>1</v>
      </c>
      <c r="R2011" s="22" t="s">
        <v>2766</v>
      </c>
      <c r="S2011" s="22" t="s">
        <v>5100</v>
      </c>
      <c r="T2011" s="51">
        <v>29</v>
      </c>
      <c r="U2011" s="3" t="s">
        <v>5559</v>
      </c>
      <c r="V2011" s="41" t="str">
        <f>HYPERLINK("http://ictvonline.org/taxonomy/p/taxonomy-history?taxnode_id=20181971","ICTVonline=20181971")</f>
        <v>ICTVonline=20181971</v>
      </c>
    </row>
    <row r="2012" spans="1:22">
      <c r="A2012" s="3">
        <v>2011</v>
      </c>
      <c r="J2012" s="1" t="s">
        <v>1078</v>
      </c>
      <c r="L2012" s="1" t="s">
        <v>1125</v>
      </c>
      <c r="N2012" s="1" t="s">
        <v>1765</v>
      </c>
      <c r="P2012" s="1" t="s">
        <v>2647</v>
      </c>
      <c r="Q2012" s="3">
        <v>0</v>
      </c>
      <c r="R2012" s="22" t="s">
        <v>2766</v>
      </c>
      <c r="S2012" s="22" t="s">
        <v>5100</v>
      </c>
      <c r="T2012" s="51">
        <v>29</v>
      </c>
      <c r="U2012" s="3" t="s">
        <v>5559</v>
      </c>
      <c r="V2012" s="41" t="str">
        <f>HYPERLINK("http://ictvonline.org/taxonomy/p/taxonomy-history?taxnode_id=20181972","ICTVonline=20181972")</f>
        <v>ICTVonline=20181972</v>
      </c>
    </row>
    <row r="2013" spans="1:22">
      <c r="A2013" s="3">
        <v>2012</v>
      </c>
      <c r="J2013" s="1" t="s">
        <v>1078</v>
      </c>
      <c r="L2013" s="1" t="s">
        <v>1125</v>
      </c>
      <c r="N2013" s="1" t="s">
        <v>1765</v>
      </c>
      <c r="P2013" s="1" t="s">
        <v>2648</v>
      </c>
      <c r="Q2013" s="3">
        <v>0</v>
      </c>
      <c r="R2013" s="22" t="s">
        <v>2766</v>
      </c>
      <c r="S2013" s="22" t="s">
        <v>5097</v>
      </c>
      <c r="T2013" s="51">
        <v>29</v>
      </c>
      <c r="U2013" s="3" t="s">
        <v>5566</v>
      </c>
      <c r="V2013" s="41" t="str">
        <f>HYPERLINK("http://ictvonline.org/taxonomy/p/taxonomy-history?taxnode_id=20181973","ICTVonline=20181973")</f>
        <v>ICTVonline=20181973</v>
      </c>
    </row>
    <row r="2014" spans="1:22">
      <c r="A2014" s="3">
        <v>2013</v>
      </c>
      <c r="J2014" s="1" t="s">
        <v>1078</v>
      </c>
      <c r="L2014" s="1" t="s">
        <v>1125</v>
      </c>
      <c r="N2014" s="1" t="s">
        <v>2185</v>
      </c>
      <c r="P2014" s="1" t="s">
        <v>2186</v>
      </c>
      <c r="Q2014" s="3">
        <v>1</v>
      </c>
      <c r="R2014" s="22" t="s">
        <v>2766</v>
      </c>
      <c r="S2014" s="22" t="s">
        <v>5102</v>
      </c>
      <c r="T2014" s="51">
        <v>27</v>
      </c>
      <c r="U2014" s="3" t="s">
        <v>5567</v>
      </c>
      <c r="V2014" s="41" t="str">
        <f>HYPERLINK("http://ictvonline.org/taxonomy/p/taxonomy-history?taxnode_id=20181975","ICTVonline=20181975")</f>
        <v>ICTVonline=20181975</v>
      </c>
    </row>
    <row r="2015" spans="1:22">
      <c r="A2015" s="3">
        <v>2014</v>
      </c>
      <c r="J2015" s="1" t="s">
        <v>1078</v>
      </c>
      <c r="L2015" s="1" t="s">
        <v>1125</v>
      </c>
      <c r="N2015" s="1" t="s">
        <v>2185</v>
      </c>
      <c r="P2015" s="1" t="s">
        <v>4753</v>
      </c>
      <c r="Q2015" s="3">
        <v>0</v>
      </c>
      <c r="R2015" s="22" t="s">
        <v>2766</v>
      </c>
      <c r="S2015" s="22" t="s">
        <v>5097</v>
      </c>
      <c r="T2015" s="51">
        <v>31</v>
      </c>
      <c r="U2015" s="3" t="s">
        <v>5568</v>
      </c>
      <c r="V2015" s="41" t="str">
        <f>HYPERLINK("http://ictvonline.org/taxonomy/p/taxonomy-history?taxnode_id=20181976","ICTVonline=20181976")</f>
        <v>ICTVonline=20181976</v>
      </c>
    </row>
    <row r="2016" spans="1:22">
      <c r="A2016" s="3">
        <v>2015</v>
      </c>
      <c r="J2016" s="1" t="s">
        <v>1078</v>
      </c>
      <c r="L2016" s="1" t="s">
        <v>1125</v>
      </c>
      <c r="N2016" s="1" t="s">
        <v>2185</v>
      </c>
      <c r="P2016" s="1" t="s">
        <v>4754</v>
      </c>
      <c r="Q2016" s="3">
        <v>0</v>
      </c>
      <c r="R2016" s="22" t="s">
        <v>2766</v>
      </c>
      <c r="S2016" s="22" t="s">
        <v>5097</v>
      </c>
      <c r="T2016" s="51">
        <v>31</v>
      </c>
      <c r="U2016" s="3" t="s">
        <v>5568</v>
      </c>
      <c r="V2016" s="41" t="str">
        <f>HYPERLINK("http://ictvonline.org/taxonomy/p/taxonomy-history?taxnode_id=20181977","ICTVonline=20181977")</f>
        <v>ICTVonline=20181977</v>
      </c>
    </row>
    <row r="2017" spans="1:22">
      <c r="A2017" s="3">
        <v>2016</v>
      </c>
      <c r="J2017" s="1" t="s">
        <v>1078</v>
      </c>
      <c r="L2017" s="1" t="s">
        <v>1125</v>
      </c>
      <c r="N2017" s="1" t="s">
        <v>2185</v>
      </c>
      <c r="P2017" s="1" t="s">
        <v>4755</v>
      </c>
      <c r="Q2017" s="3">
        <v>0</v>
      </c>
      <c r="R2017" s="22" t="s">
        <v>2766</v>
      </c>
      <c r="S2017" s="22" t="s">
        <v>5097</v>
      </c>
      <c r="T2017" s="51">
        <v>31</v>
      </c>
      <c r="U2017" s="3" t="s">
        <v>5568</v>
      </c>
      <c r="V2017" s="41" t="str">
        <f>HYPERLINK("http://ictvonline.org/taxonomy/p/taxonomy-history?taxnode_id=20181978","ICTVonline=20181978")</f>
        <v>ICTVonline=20181978</v>
      </c>
    </row>
    <row r="2018" spans="1:22">
      <c r="A2018" s="3">
        <v>2017</v>
      </c>
      <c r="J2018" s="1" t="s">
        <v>1078</v>
      </c>
      <c r="L2018" s="1" t="s">
        <v>1125</v>
      </c>
      <c r="N2018" s="1" t="s">
        <v>2185</v>
      </c>
      <c r="P2018" s="1" t="s">
        <v>4756</v>
      </c>
      <c r="Q2018" s="3">
        <v>0</v>
      </c>
      <c r="R2018" s="22" t="s">
        <v>2766</v>
      </c>
      <c r="S2018" s="22" t="s">
        <v>5097</v>
      </c>
      <c r="T2018" s="51">
        <v>31</v>
      </c>
      <c r="U2018" s="3" t="s">
        <v>5568</v>
      </c>
      <c r="V2018" s="41" t="str">
        <f>HYPERLINK("http://ictvonline.org/taxonomy/p/taxonomy-history?taxnode_id=20181979","ICTVonline=20181979")</f>
        <v>ICTVonline=20181979</v>
      </c>
    </row>
    <row r="2019" spans="1:22">
      <c r="A2019" s="3">
        <v>2018</v>
      </c>
      <c r="J2019" s="1" t="s">
        <v>1078</v>
      </c>
      <c r="L2019" s="1" t="s">
        <v>1125</v>
      </c>
      <c r="N2019" s="1" t="s">
        <v>5569</v>
      </c>
      <c r="P2019" s="1" t="s">
        <v>5570</v>
      </c>
      <c r="Q2019" s="3">
        <v>0</v>
      </c>
      <c r="R2019" s="22" t="s">
        <v>2766</v>
      </c>
      <c r="S2019" s="22" t="s">
        <v>5097</v>
      </c>
      <c r="T2019" s="51">
        <v>32</v>
      </c>
      <c r="U2019" s="3" t="s">
        <v>5571</v>
      </c>
      <c r="V2019" s="41" t="str">
        <f>HYPERLINK("http://ictvonline.org/taxonomy/p/taxonomy-history?taxnode_id=20185593","ICTVonline=20185593")</f>
        <v>ICTVonline=20185593</v>
      </c>
    </row>
    <row r="2020" spans="1:22">
      <c r="A2020" s="3">
        <v>2019</v>
      </c>
      <c r="J2020" s="1" t="s">
        <v>1078</v>
      </c>
      <c r="L2020" s="1" t="s">
        <v>1125</v>
      </c>
      <c r="N2020" s="1" t="s">
        <v>5569</v>
      </c>
      <c r="P2020" s="1" t="s">
        <v>5572</v>
      </c>
      <c r="Q2020" s="3">
        <v>1</v>
      </c>
      <c r="R2020" s="22" t="s">
        <v>2766</v>
      </c>
      <c r="S2020" s="22" t="s">
        <v>5097</v>
      </c>
      <c r="T2020" s="51">
        <v>32</v>
      </c>
      <c r="U2020" s="3" t="s">
        <v>5571</v>
      </c>
      <c r="V2020" s="41" t="str">
        <f>HYPERLINK("http://ictvonline.org/taxonomy/p/taxonomy-history?taxnode_id=20185594","ICTVonline=20185594")</f>
        <v>ICTVonline=20185594</v>
      </c>
    </row>
    <row r="2021" spans="1:22">
      <c r="A2021" s="3">
        <v>2020</v>
      </c>
      <c r="J2021" s="1" t="s">
        <v>1078</v>
      </c>
      <c r="L2021" s="1" t="s">
        <v>1125</v>
      </c>
      <c r="N2021" s="1" t="s">
        <v>2187</v>
      </c>
      <c r="P2021" s="1" t="s">
        <v>2188</v>
      </c>
      <c r="Q2021" s="3">
        <v>1</v>
      </c>
      <c r="R2021" s="22" t="s">
        <v>2766</v>
      </c>
      <c r="S2021" s="22" t="s">
        <v>5102</v>
      </c>
      <c r="T2021" s="51">
        <v>27</v>
      </c>
      <c r="U2021" s="3" t="s">
        <v>5573</v>
      </c>
      <c r="V2021" s="41" t="str">
        <f>HYPERLINK("http://ictvonline.org/taxonomy/p/taxonomy-history?taxnode_id=20181981","ICTVonline=20181981")</f>
        <v>ICTVonline=20181981</v>
      </c>
    </row>
    <row r="2022" spans="1:22">
      <c r="A2022" s="3">
        <v>2021</v>
      </c>
      <c r="J2022" s="1" t="s">
        <v>1078</v>
      </c>
      <c r="L2022" s="1" t="s">
        <v>1125</v>
      </c>
      <c r="N2022" s="1" t="s">
        <v>625</v>
      </c>
      <c r="P2022" s="1" t="s">
        <v>2189</v>
      </c>
      <c r="Q2022" s="3">
        <v>0</v>
      </c>
      <c r="R2022" s="22" t="s">
        <v>2766</v>
      </c>
      <c r="S2022" s="22" t="s">
        <v>5100</v>
      </c>
      <c r="T2022" s="51">
        <v>27</v>
      </c>
      <c r="U2022" s="3" t="s">
        <v>5574</v>
      </c>
      <c r="V2022" s="41" t="str">
        <f>HYPERLINK("http://ictvonline.org/taxonomy/p/taxonomy-history?taxnode_id=20181983","ICTVonline=20181983")</f>
        <v>ICTVonline=20181983</v>
      </c>
    </row>
    <row r="2023" spans="1:22">
      <c r="A2023" s="3">
        <v>2022</v>
      </c>
      <c r="J2023" s="1" t="s">
        <v>1078</v>
      </c>
      <c r="L2023" s="1" t="s">
        <v>1125</v>
      </c>
      <c r="N2023" s="1" t="s">
        <v>625</v>
      </c>
      <c r="P2023" s="1" t="s">
        <v>2190</v>
      </c>
      <c r="Q2023" s="3">
        <v>0</v>
      </c>
      <c r="R2023" s="22" t="s">
        <v>2766</v>
      </c>
      <c r="S2023" s="22" t="s">
        <v>5100</v>
      </c>
      <c r="T2023" s="51">
        <v>27</v>
      </c>
      <c r="U2023" s="3" t="s">
        <v>5574</v>
      </c>
      <c r="V2023" s="41" t="str">
        <f>HYPERLINK("http://ictvonline.org/taxonomy/p/taxonomy-history?taxnode_id=20181984","ICTVonline=20181984")</f>
        <v>ICTVonline=20181984</v>
      </c>
    </row>
    <row r="2024" spans="1:22">
      <c r="A2024" s="3">
        <v>2023</v>
      </c>
      <c r="J2024" s="1" t="s">
        <v>1078</v>
      </c>
      <c r="L2024" s="1" t="s">
        <v>1125</v>
      </c>
      <c r="N2024" s="1" t="s">
        <v>625</v>
      </c>
      <c r="P2024" s="1" t="s">
        <v>2191</v>
      </c>
      <c r="Q2024" s="3">
        <v>1</v>
      </c>
      <c r="R2024" s="22" t="s">
        <v>2766</v>
      </c>
      <c r="S2024" s="22" t="s">
        <v>5100</v>
      </c>
      <c r="T2024" s="51">
        <v>27</v>
      </c>
      <c r="U2024" s="3" t="s">
        <v>5574</v>
      </c>
      <c r="V2024" s="41" t="str">
        <f>HYPERLINK("http://ictvonline.org/taxonomy/p/taxonomy-history?taxnode_id=20181985","ICTVonline=20181985")</f>
        <v>ICTVonline=20181985</v>
      </c>
    </row>
    <row r="2025" spans="1:22">
      <c r="A2025" s="3">
        <v>2024</v>
      </c>
      <c r="J2025" s="1" t="s">
        <v>1078</v>
      </c>
      <c r="L2025" s="1" t="s">
        <v>1125</v>
      </c>
      <c r="N2025" s="1" t="s">
        <v>625</v>
      </c>
      <c r="P2025" s="1" t="s">
        <v>2192</v>
      </c>
      <c r="Q2025" s="3">
        <v>0</v>
      </c>
      <c r="R2025" s="22" t="s">
        <v>2766</v>
      </c>
      <c r="S2025" s="22" t="s">
        <v>5100</v>
      </c>
      <c r="T2025" s="51">
        <v>27</v>
      </c>
      <c r="U2025" s="3" t="s">
        <v>5574</v>
      </c>
      <c r="V2025" s="41" t="str">
        <f>HYPERLINK("http://ictvonline.org/taxonomy/p/taxonomy-history?taxnode_id=20181986","ICTVonline=20181986")</f>
        <v>ICTVonline=20181986</v>
      </c>
    </row>
    <row r="2026" spans="1:22">
      <c r="A2026" s="3">
        <v>2025</v>
      </c>
      <c r="J2026" s="1" t="s">
        <v>1078</v>
      </c>
      <c r="L2026" s="1" t="s">
        <v>1125</v>
      </c>
      <c r="N2026" s="1" t="s">
        <v>625</v>
      </c>
      <c r="P2026" s="1" t="s">
        <v>2193</v>
      </c>
      <c r="Q2026" s="3">
        <v>0</v>
      </c>
      <c r="R2026" s="22" t="s">
        <v>2766</v>
      </c>
      <c r="S2026" s="22" t="s">
        <v>5100</v>
      </c>
      <c r="T2026" s="51">
        <v>27</v>
      </c>
      <c r="U2026" s="3" t="s">
        <v>5574</v>
      </c>
      <c r="V2026" s="41" t="str">
        <f>HYPERLINK("http://ictvonline.org/taxonomy/p/taxonomy-history?taxnode_id=20181987","ICTVonline=20181987")</f>
        <v>ICTVonline=20181987</v>
      </c>
    </row>
    <row r="2027" spans="1:22">
      <c r="A2027" s="3">
        <v>2026</v>
      </c>
      <c r="J2027" s="1" t="s">
        <v>1078</v>
      </c>
      <c r="L2027" s="1" t="s">
        <v>1125</v>
      </c>
      <c r="N2027" s="1" t="s">
        <v>625</v>
      </c>
      <c r="P2027" s="1" t="s">
        <v>2194</v>
      </c>
      <c r="Q2027" s="3">
        <v>0</v>
      </c>
      <c r="R2027" s="22" t="s">
        <v>2766</v>
      </c>
      <c r="S2027" s="22" t="s">
        <v>5097</v>
      </c>
      <c r="T2027" s="51">
        <v>27</v>
      </c>
      <c r="U2027" s="3" t="s">
        <v>5574</v>
      </c>
      <c r="V2027" s="41" t="str">
        <f>HYPERLINK("http://ictvonline.org/taxonomy/p/taxonomy-history?taxnode_id=20181988","ICTVonline=20181988")</f>
        <v>ICTVonline=20181988</v>
      </c>
    </row>
    <row r="2028" spans="1:22">
      <c r="A2028" s="3">
        <v>2027</v>
      </c>
      <c r="J2028" s="1" t="s">
        <v>1078</v>
      </c>
      <c r="L2028" s="1" t="s">
        <v>1125</v>
      </c>
      <c r="N2028" s="1" t="s">
        <v>625</v>
      </c>
      <c r="P2028" s="1" t="s">
        <v>2195</v>
      </c>
      <c r="Q2028" s="3">
        <v>0</v>
      </c>
      <c r="R2028" s="22" t="s">
        <v>2766</v>
      </c>
      <c r="S2028" s="22" t="s">
        <v>5100</v>
      </c>
      <c r="T2028" s="51">
        <v>27</v>
      </c>
      <c r="U2028" s="3" t="s">
        <v>5574</v>
      </c>
      <c r="V2028" s="41" t="str">
        <f>HYPERLINK("http://ictvonline.org/taxonomy/p/taxonomy-history?taxnode_id=20181989","ICTVonline=20181989")</f>
        <v>ICTVonline=20181989</v>
      </c>
    </row>
    <row r="2029" spans="1:22">
      <c r="A2029" s="3">
        <v>2028</v>
      </c>
      <c r="J2029" s="1" t="s">
        <v>1078</v>
      </c>
      <c r="L2029" s="1" t="s">
        <v>1125</v>
      </c>
      <c r="N2029" s="1" t="s">
        <v>625</v>
      </c>
      <c r="P2029" s="1" t="s">
        <v>2196</v>
      </c>
      <c r="Q2029" s="3">
        <v>0</v>
      </c>
      <c r="R2029" s="22" t="s">
        <v>2766</v>
      </c>
      <c r="S2029" s="22" t="s">
        <v>5100</v>
      </c>
      <c r="T2029" s="51">
        <v>27</v>
      </c>
      <c r="U2029" s="3" t="s">
        <v>5574</v>
      </c>
      <c r="V2029" s="41" t="str">
        <f>HYPERLINK("http://ictvonline.org/taxonomy/p/taxonomy-history?taxnode_id=20181990","ICTVonline=20181990")</f>
        <v>ICTVonline=20181990</v>
      </c>
    </row>
    <row r="2030" spans="1:22">
      <c r="A2030" s="3">
        <v>2029</v>
      </c>
      <c r="J2030" s="1" t="s">
        <v>1078</v>
      </c>
      <c r="L2030" s="1" t="s">
        <v>1125</v>
      </c>
      <c r="N2030" s="1" t="s">
        <v>625</v>
      </c>
      <c r="P2030" s="1" t="s">
        <v>4757</v>
      </c>
      <c r="Q2030" s="3">
        <v>0</v>
      </c>
      <c r="R2030" s="22" t="s">
        <v>2766</v>
      </c>
      <c r="S2030" s="22" t="s">
        <v>5097</v>
      </c>
      <c r="T2030" s="51">
        <v>31</v>
      </c>
      <c r="U2030" s="3" t="s">
        <v>5575</v>
      </c>
      <c r="V2030" s="41" t="str">
        <f>HYPERLINK("http://ictvonline.org/taxonomy/p/taxonomy-history?taxnode_id=20181991","ICTVonline=20181991")</f>
        <v>ICTVonline=20181991</v>
      </c>
    </row>
    <row r="2031" spans="1:22">
      <c r="A2031" s="3">
        <v>2030</v>
      </c>
      <c r="J2031" s="1" t="s">
        <v>1078</v>
      </c>
      <c r="L2031" s="1" t="s">
        <v>1125</v>
      </c>
      <c r="N2031" s="1" t="s">
        <v>625</v>
      </c>
      <c r="P2031" s="1" t="s">
        <v>2197</v>
      </c>
      <c r="Q2031" s="3">
        <v>0</v>
      </c>
      <c r="R2031" s="22" t="s">
        <v>2766</v>
      </c>
      <c r="S2031" s="22" t="s">
        <v>5097</v>
      </c>
      <c r="T2031" s="51">
        <v>27</v>
      </c>
      <c r="U2031" s="3" t="s">
        <v>5574</v>
      </c>
      <c r="V2031" s="41" t="str">
        <f>HYPERLINK("http://ictvonline.org/taxonomy/p/taxonomy-history?taxnode_id=20181992","ICTVonline=20181992")</f>
        <v>ICTVonline=20181992</v>
      </c>
    </row>
    <row r="2032" spans="1:22">
      <c r="A2032" s="3">
        <v>2031</v>
      </c>
      <c r="J2032" s="1" t="s">
        <v>1078</v>
      </c>
      <c r="L2032" s="1" t="s">
        <v>1125</v>
      </c>
      <c r="N2032" s="1" t="s">
        <v>625</v>
      </c>
      <c r="P2032" s="1" t="s">
        <v>5576</v>
      </c>
      <c r="Q2032" s="3">
        <v>0</v>
      </c>
      <c r="R2032" s="22" t="s">
        <v>2766</v>
      </c>
      <c r="S2032" s="22" t="s">
        <v>5097</v>
      </c>
      <c r="T2032" s="51">
        <v>32</v>
      </c>
      <c r="U2032" s="3" t="s">
        <v>5577</v>
      </c>
      <c r="V2032" s="41" t="str">
        <f>HYPERLINK("http://ictvonline.org/taxonomy/p/taxonomy-history?taxnode_id=20185596","ICTVonline=20185596")</f>
        <v>ICTVonline=20185596</v>
      </c>
    </row>
    <row r="2033" spans="1:22">
      <c r="A2033" s="3">
        <v>2032</v>
      </c>
      <c r="J2033" s="1" t="s">
        <v>1078</v>
      </c>
      <c r="L2033" s="1" t="s">
        <v>1125</v>
      </c>
      <c r="N2033" s="1" t="s">
        <v>625</v>
      </c>
      <c r="P2033" s="1" t="s">
        <v>5578</v>
      </c>
      <c r="Q2033" s="3">
        <v>0</v>
      </c>
      <c r="R2033" s="22" t="s">
        <v>2766</v>
      </c>
      <c r="S2033" s="22" t="s">
        <v>5097</v>
      </c>
      <c r="T2033" s="51">
        <v>32</v>
      </c>
      <c r="U2033" s="3" t="s">
        <v>5577</v>
      </c>
      <c r="V2033" s="41" t="str">
        <f>HYPERLINK("http://ictvonline.org/taxonomy/p/taxonomy-history?taxnode_id=20185597","ICTVonline=20185597")</f>
        <v>ICTVonline=20185597</v>
      </c>
    </row>
    <row r="2034" spans="1:22">
      <c r="A2034" s="3">
        <v>2033</v>
      </c>
      <c r="J2034" s="1" t="s">
        <v>1078</v>
      </c>
      <c r="L2034" s="1" t="s">
        <v>1125</v>
      </c>
      <c r="N2034" s="1" t="s">
        <v>625</v>
      </c>
      <c r="P2034" s="1" t="s">
        <v>2198</v>
      </c>
      <c r="Q2034" s="3">
        <v>0</v>
      </c>
      <c r="R2034" s="22" t="s">
        <v>2766</v>
      </c>
      <c r="S2034" s="22" t="s">
        <v>5100</v>
      </c>
      <c r="T2034" s="51">
        <v>27</v>
      </c>
      <c r="U2034" s="3" t="s">
        <v>5574</v>
      </c>
      <c r="V2034" s="41" t="str">
        <f>HYPERLINK("http://ictvonline.org/taxonomy/p/taxonomy-history?taxnode_id=20181993","ICTVonline=20181993")</f>
        <v>ICTVonline=20181993</v>
      </c>
    </row>
    <row r="2035" spans="1:22">
      <c r="A2035" s="3">
        <v>2034</v>
      </c>
      <c r="J2035" s="1" t="s">
        <v>1078</v>
      </c>
      <c r="L2035" s="1" t="s">
        <v>1125</v>
      </c>
      <c r="N2035" s="1" t="s">
        <v>625</v>
      </c>
      <c r="P2035" s="1" t="s">
        <v>2199</v>
      </c>
      <c r="Q2035" s="3">
        <v>0</v>
      </c>
      <c r="R2035" s="22" t="s">
        <v>2766</v>
      </c>
      <c r="S2035" s="22" t="s">
        <v>5100</v>
      </c>
      <c r="T2035" s="51">
        <v>27</v>
      </c>
      <c r="U2035" s="3" t="s">
        <v>5574</v>
      </c>
      <c r="V2035" s="41" t="str">
        <f>HYPERLINK("http://ictvonline.org/taxonomy/p/taxonomy-history?taxnode_id=20181994","ICTVonline=20181994")</f>
        <v>ICTVonline=20181994</v>
      </c>
    </row>
    <row r="2036" spans="1:22">
      <c r="A2036" s="3">
        <v>2035</v>
      </c>
      <c r="J2036" s="1" t="s">
        <v>1078</v>
      </c>
      <c r="L2036" s="1" t="s">
        <v>1125</v>
      </c>
      <c r="N2036" s="1" t="s">
        <v>625</v>
      </c>
      <c r="P2036" s="1" t="s">
        <v>2200</v>
      </c>
      <c r="Q2036" s="3">
        <v>0</v>
      </c>
      <c r="R2036" s="22" t="s">
        <v>2766</v>
      </c>
      <c r="S2036" s="22" t="s">
        <v>5100</v>
      </c>
      <c r="T2036" s="51">
        <v>27</v>
      </c>
      <c r="U2036" s="3" t="s">
        <v>5574</v>
      </c>
      <c r="V2036" s="41" t="str">
        <f>HYPERLINK("http://ictvonline.org/taxonomy/p/taxonomy-history?taxnode_id=20181995","ICTVonline=20181995")</f>
        <v>ICTVonline=20181995</v>
      </c>
    </row>
    <row r="2037" spans="1:22">
      <c r="A2037" s="3">
        <v>2036</v>
      </c>
      <c r="J2037" s="1" t="s">
        <v>1078</v>
      </c>
      <c r="L2037" s="1" t="s">
        <v>1125</v>
      </c>
      <c r="N2037" s="1" t="s">
        <v>628</v>
      </c>
      <c r="P2037" s="1" t="s">
        <v>2649</v>
      </c>
      <c r="Q2037" s="3">
        <v>1</v>
      </c>
      <c r="R2037" s="22" t="s">
        <v>2766</v>
      </c>
      <c r="S2037" s="22" t="s">
        <v>5100</v>
      </c>
      <c r="T2037" s="51">
        <v>29</v>
      </c>
      <c r="U2037" s="3" t="s">
        <v>5559</v>
      </c>
      <c r="V2037" s="41" t="str">
        <f>HYPERLINK("http://ictvonline.org/taxonomy/p/taxonomy-history?taxnode_id=20181997","ICTVonline=20181997")</f>
        <v>ICTVonline=20181997</v>
      </c>
    </row>
    <row r="2038" spans="1:22">
      <c r="A2038" s="3">
        <v>2037</v>
      </c>
      <c r="J2038" s="1" t="s">
        <v>1078</v>
      </c>
      <c r="L2038" s="1" t="s">
        <v>1125</v>
      </c>
      <c r="N2038" s="1" t="s">
        <v>2318</v>
      </c>
      <c r="P2038" s="1" t="s">
        <v>2319</v>
      </c>
      <c r="Q2038" s="3">
        <v>1</v>
      </c>
      <c r="R2038" s="22" t="s">
        <v>2766</v>
      </c>
      <c r="S2038" s="22" t="s">
        <v>5097</v>
      </c>
      <c r="T2038" s="51">
        <v>28</v>
      </c>
      <c r="U2038" s="3" t="s">
        <v>5579</v>
      </c>
      <c r="V2038" s="41" t="str">
        <f>HYPERLINK("http://ictvonline.org/taxonomy/p/taxonomy-history?taxnode_id=20181999","ICTVonline=20181999")</f>
        <v>ICTVonline=20181999</v>
      </c>
    </row>
    <row r="2039" spans="1:22">
      <c r="A2039" s="3">
        <v>2038</v>
      </c>
      <c r="J2039" s="1" t="s">
        <v>1078</v>
      </c>
      <c r="L2039" s="1" t="s">
        <v>1125</v>
      </c>
      <c r="N2039" s="1" t="s">
        <v>4758</v>
      </c>
      <c r="P2039" s="1" t="s">
        <v>4759</v>
      </c>
      <c r="Q2039" s="3">
        <v>1</v>
      </c>
      <c r="R2039" s="22" t="s">
        <v>2766</v>
      </c>
      <c r="S2039" s="22" t="s">
        <v>5097</v>
      </c>
      <c r="T2039" s="51">
        <v>31</v>
      </c>
      <c r="U2039" s="3" t="s">
        <v>5580</v>
      </c>
      <c r="V2039" s="41" t="str">
        <f>HYPERLINK("http://ictvonline.org/taxonomy/p/taxonomy-history?taxnode_id=20182001","ICTVonline=20182001")</f>
        <v>ICTVonline=20182001</v>
      </c>
    </row>
    <row r="2040" spans="1:22">
      <c r="A2040" s="3">
        <v>2039</v>
      </c>
      <c r="J2040" s="1" t="s">
        <v>1078</v>
      </c>
      <c r="L2040" s="1" t="s">
        <v>1125</v>
      </c>
      <c r="N2040" s="1" t="s">
        <v>629</v>
      </c>
      <c r="P2040" s="1" t="s">
        <v>2650</v>
      </c>
      <c r="Q2040" s="3">
        <v>1</v>
      </c>
      <c r="R2040" s="22" t="s">
        <v>2766</v>
      </c>
      <c r="S2040" s="22" t="s">
        <v>5100</v>
      </c>
      <c r="T2040" s="51">
        <v>29</v>
      </c>
      <c r="U2040" s="3" t="s">
        <v>5559</v>
      </c>
      <c r="V2040" s="41" t="str">
        <f>HYPERLINK("http://ictvonline.org/taxonomy/p/taxonomy-history?taxnode_id=20182003","ICTVonline=20182003")</f>
        <v>ICTVonline=20182003</v>
      </c>
    </row>
    <row r="2041" spans="1:22">
      <c r="A2041" s="3">
        <v>2040</v>
      </c>
      <c r="J2041" s="1" t="s">
        <v>1078</v>
      </c>
      <c r="L2041" s="1" t="s">
        <v>1125</v>
      </c>
      <c r="N2041" s="1" t="s">
        <v>629</v>
      </c>
      <c r="P2041" s="1" t="s">
        <v>4760</v>
      </c>
      <c r="Q2041" s="3">
        <v>0</v>
      </c>
      <c r="R2041" s="22" t="s">
        <v>2766</v>
      </c>
      <c r="S2041" s="22" t="s">
        <v>5097</v>
      </c>
      <c r="T2041" s="51">
        <v>31</v>
      </c>
      <c r="U2041" s="3" t="s">
        <v>5581</v>
      </c>
      <c r="V2041" s="41" t="str">
        <f>HYPERLINK("http://ictvonline.org/taxonomy/p/taxonomy-history?taxnode_id=20182004","ICTVonline=20182004")</f>
        <v>ICTVonline=20182004</v>
      </c>
    </row>
    <row r="2042" spans="1:22">
      <c r="A2042" s="3">
        <v>2041</v>
      </c>
      <c r="J2042" s="1" t="s">
        <v>1078</v>
      </c>
      <c r="L2042" s="1" t="s">
        <v>1125</v>
      </c>
      <c r="N2042" s="1" t="s">
        <v>629</v>
      </c>
      <c r="P2042" s="1" t="s">
        <v>4761</v>
      </c>
      <c r="Q2042" s="3">
        <v>0</v>
      </c>
      <c r="R2042" s="22" t="s">
        <v>2766</v>
      </c>
      <c r="S2042" s="22" t="s">
        <v>5097</v>
      </c>
      <c r="T2042" s="51">
        <v>31</v>
      </c>
      <c r="U2042" s="3" t="s">
        <v>5581</v>
      </c>
      <c r="V2042" s="41" t="str">
        <f>HYPERLINK("http://ictvonline.org/taxonomy/p/taxonomy-history?taxnode_id=20182005","ICTVonline=20182005")</f>
        <v>ICTVonline=20182005</v>
      </c>
    </row>
    <row r="2043" spans="1:22">
      <c r="A2043" s="3">
        <v>2042</v>
      </c>
      <c r="J2043" s="1" t="s">
        <v>1078</v>
      </c>
      <c r="L2043" s="1" t="s">
        <v>1125</v>
      </c>
      <c r="N2043" s="1" t="s">
        <v>629</v>
      </c>
      <c r="P2043" s="1" t="s">
        <v>4762</v>
      </c>
      <c r="Q2043" s="3">
        <v>0</v>
      </c>
      <c r="R2043" s="22" t="s">
        <v>2766</v>
      </c>
      <c r="S2043" s="22" t="s">
        <v>5097</v>
      </c>
      <c r="T2043" s="51">
        <v>31</v>
      </c>
      <c r="U2043" s="3" t="s">
        <v>5581</v>
      </c>
      <c r="V2043" s="41" t="str">
        <f>HYPERLINK("http://ictvonline.org/taxonomy/p/taxonomy-history?taxnode_id=20182006","ICTVonline=20182006")</f>
        <v>ICTVonline=20182006</v>
      </c>
    </row>
    <row r="2044" spans="1:22">
      <c r="A2044" s="3">
        <v>2043</v>
      </c>
      <c r="J2044" s="1" t="s">
        <v>1078</v>
      </c>
      <c r="L2044" s="1" t="s">
        <v>1125</v>
      </c>
      <c r="N2044" s="1" t="s">
        <v>629</v>
      </c>
      <c r="P2044" s="1" t="s">
        <v>4763</v>
      </c>
      <c r="Q2044" s="3">
        <v>0</v>
      </c>
      <c r="R2044" s="22" t="s">
        <v>2766</v>
      </c>
      <c r="S2044" s="22" t="s">
        <v>5097</v>
      </c>
      <c r="T2044" s="51">
        <v>31</v>
      </c>
      <c r="U2044" s="3" t="s">
        <v>5581</v>
      </c>
      <c r="V2044" s="41" t="str">
        <f>HYPERLINK("http://ictvonline.org/taxonomy/p/taxonomy-history?taxnode_id=20182007","ICTVonline=20182007")</f>
        <v>ICTVonline=20182007</v>
      </c>
    </row>
    <row r="2045" spans="1:22">
      <c r="A2045" s="3">
        <v>2044</v>
      </c>
      <c r="J2045" s="1" t="s">
        <v>1078</v>
      </c>
      <c r="L2045" s="1" t="s">
        <v>1125</v>
      </c>
      <c r="N2045" s="1" t="s">
        <v>629</v>
      </c>
      <c r="P2045" s="1" t="s">
        <v>4764</v>
      </c>
      <c r="Q2045" s="3">
        <v>0</v>
      </c>
      <c r="R2045" s="22" t="s">
        <v>2766</v>
      </c>
      <c r="S2045" s="22" t="s">
        <v>5097</v>
      </c>
      <c r="T2045" s="51">
        <v>31</v>
      </c>
      <c r="U2045" s="3" t="s">
        <v>5581</v>
      </c>
      <c r="V2045" s="41" t="str">
        <f>HYPERLINK("http://ictvonline.org/taxonomy/p/taxonomy-history?taxnode_id=20182008","ICTVonline=20182008")</f>
        <v>ICTVonline=20182008</v>
      </c>
    </row>
    <row r="2046" spans="1:22">
      <c r="A2046" s="3">
        <v>2045</v>
      </c>
      <c r="J2046" s="1" t="s">
        <v>1078</v>
      </c>
      <c r="L2046" s="1" t="s">
        <v>1125</v>
      </c>
      <c r="N2046" s="1" t="s">
        <v>629</v>
      </c>
      <c r="P2046" s="1" t="s">
        <v>4765</v>
      </c>
      <c r="Q2046" s="3">
        <v>0</v>
      </c>
      <c r="R2046" s="22" t="s">
        <v>2766</v>
      </c>
      <c r="S2046" s="22" t="s">
        <v>5097</v>
      </c>
      <c r="T2046" s="51">
        <v>31</v>
      </c>
      <c r="U2046" s="3" t="s">
        <v>5581</v>
      </c>
      <c r="V2046" s="41" t="str">
        <f>HYPERLINK("http://ictvonline.org/taxonomy/p/taxonomy-history?taxnode_id=20182009","ICTVonline=20182009")</f>
        <v>ICTVonline=20182009</v>
      </c>
    </row>
    <row r="2047" spans="1:22">
      <c r="A2047" s="3">
        <v>2046</v>
      </c>
      <c r="J2047" s="1" t="s">
        <v>1078</v>
      </c>
      <c r="L2047" s="1" t="s">
        <v>1125</v>
      </c>
      <c r="N2047" s="1" t="s">
        <v>629</v>
      </c>
      <c r="P2047" s="1" t="s">
        <v>4766</v>
      </c>
      <c r="Q2047" s="3">
        <v>0</v>
      </c>
      <c r="R2047" s="22" t="s">
        <v>2766</v>
      </c>
      <c r="S2047" s="22" t="s">
        <v>5097</v>
      </c>
      <c r="T2047" s="51">
        <v>31</v>
      </c>
      <c r="U2047" s="3" t="s">
        <v>5581</v>
      </c>
      <c r="V2047" s="41" t="str">
        <f>HYPERLINK("http://ictvonline.org/taxonomy/p/taxonomy-history?taxnode_id=20182010","ICTVonline=20182010")</f>
        <v>ICTVonline=20182010</v>
      </c>
    </row>
    <row r="2048" spans="1:22">
      <c r="A2048" s="3">
        <v>2047</v>
      </c>
      <c r="J2048" s="1" t="s">
        <v>1078</v>
      </c>
      <c r="L2048" s="1" t="s">
        <v>1125</v>
      </c>
      <c r="N2048" s="1" t="s">
        <v>629</v>
      </c>
      <c r="P2048" s="1" t="s">
        <v>4767</v>
      </c>
      <c r="Q2048" s="3">
        <v>0</v>
      </c>
      <c r="R2048" s="22" t="s">
        <v>2766</v>
      </c>
      <c r="S2048" s="22" t="s">
        <v>5097</v>
      </c>
      <c r="T2048" s="51">
        <v>31</v>
      </c>
      <c r="U2048" s="3" t="s">
        <v>5581</v>
      </c>
      <c r="V2048" s="41" t="str">
        <f>HYPERLINK("http://ictvonline.org/taxonomy/p/taxonomy-history?taxnode_id=20182011","ICTVonline=20182011")</f>
        <v>ICTVonline=20182011</v>
      </c>
    </row>
    <row r="2049" spans="1:22">
      <c r="A2049" s="3">
        <v>2048</v>
      </c>
      <c r="J2049" s="1" t="s">
        <v>1078</v>
      </c>
      <c r="L2049" s="1" t="s">
        <v>1125</v>
      </c>
      <c r="N2049" s="1" t="s">
        <v>2320</v>
      </c>
      <c r="P2049" s="1" t="s">
        <v>2321</v>
      </c>
      <c r="Q2049" s="3">
        <v>1</v>
      </c>
      <c r="R2049" s="22" t="s">
        <v>2766</v>
      </c>
      <c r="S2049" s="22" t="s">
        <v>5097</v>
      </c>
      <c r="T2049" s="51">
        <v>28</v>
      </c>
      <c r="U2049" s="3" t="s">
        <v>5582</v>
      </c>
      <c r="V2049" s="41" t="str">
        <f>HYPERLINK("http://ictvonline.org/taxonomy/p/taxonomy-history?taxnode_id=20182013","ICTVonline=20182013")</f>
        <v>ICTVonline=20182013</v>
      </c>
    </row>
    <row r="2050" spans="1:22">
      <c r="A2050" s="3">
        <v>2049</v>
      </c>
      <c r="J2050" s="1" t="s">
        <v>1078</v>
      </c>
      <c r="L2050" s="1" t="s">
        <v>1125</v>
      </c>
      <c r="N2050" s="1" t="s">
        <v>630</v>
      </c>
      <c r="P2050" s="1" t="s">
        <v>2201</v>
      </c>
      <c r="Q2050" s="3">
        <v>1</v>
      </c>
      <c r="R2050" s="22" t="s">
        <v>2766</v>
      </c>
      <c r="S2050" s="22" t="s">
        <v>5100</v>
      </c>
      <c r="T2050" s="51">
        <v>27</v>
      </c>
      <c r="U2050" s="3" t="s">
        <v>5583</v>
      </c>
      <c r="V2050" s="41" t="str">
        <f>HYPERLINK("http://ictvonline.org/taxonomy/p/taxonomy-history?taxnode_id=20182015","ICTVonline=20182015")</f>
        <v>ICTVonline=20182015</v>
      </c>
    </row>
    <row r="2051" spans="1:22">
      <c r="A2051" s="3">
        <v>2050</v>
      </c>
      <c r="J2051" s="1" t="s">
        <v>1078</v>
      </c>
      <c r="L2051" s="1" t="s">
        <v>1125</v>
      </c>
      <c r="N2051" s="1" t="s">
        <v>630</v>
      </c>
      <c r="P2051" s="1" t="s">
        <v>2202</v>
      </c>
      <c r="Q2051" s="3">
        <v>0</v>
      </c>
      <c r="R2051" s="22" t="s">
        <v>2766</v>
      </c>
      <c r="S2051" s="22" t="s">
        <v>5100</v>
      </c>
      <c r="T2051" s="51">
        <v>27</v>
      </c>
      <c r="U2051" s="3" t="s">
        <v>5583</v>
      </c>
      <c r="V2051" s="41" t="str">
        <f>HYPERLINK("http://ictvonline.org/taxonomy/p/taxonomy-history?taxnode_id=20182016","ICTVonline=20182016")</f>
        <v>ICTVonline=20182016</v>
      </c>
    </row>
    <row r="2052" spans="1:22">
      <c r="A2052" s="3">
        <v>2051</v>
      </c>
      <c r="J2052" s="1" t="s">
        <v>1078</v>
      </c>
      <c r="L2052" s="1" t="s">
        <v>1125</v>
      </c>
      <c r="N2052" s="1" t="s">
        <v>630</v>
      </c>
      <c r="P2052" s="1" t="s">
        <v>2203</v>
      </c>
      <c r="Q2052" s="3">
        <v>0</v>
      </c>
      <c r="R2052" s="22" t="s">
        <v>2766</v>
      </c>
      <c r="S2052" s="22" t="s">
        <v>5097</v>
      </c>
      <c r="T2052" s="51">
        <v>27</v>
      </c>
      <c r="U2052" s="3" t="s">
        <v>5584</v>
      </c>
      <c r="V2052" s="41" t="str">
        <f>HYPERLINK("http://ictvonline.org/taxonomy/p/taxonomy-history?taxnode_id=20182017","ICTVonline=20182017")</f>
        <v>ICTVonline=20182017</v>
      </c>
    </row>
    <row r="2053" spans="1:22">
      <c r="A2053" s="3">
        <v>2052</v>
      </c>
      <c r="J2053" s="1" t="s">
        <v>1078</v>
      </c>
      <c r="L2053" s="1" t="s">
        <v>1125</v>
      </c>
      <c r="N2053" s="1" t="s">
        <v>630</v>
      </c>
      <c r="P2053" s="1" t="s">
        <v>4768</v>
      </c>
      <c r="Q2053" s="3">
        <v>0</v>
      </c>
      <c r="R2053" s="22" t="s">
        <v>2766</v>
      </c>
      <c r="S2053" s="22" t="s">
        <v>5097</v>
      </c>
      <c r="T2053" s="51">
        <v>31</v>
      </c>
      <c r="U2053" s="3" t="s">
        <v>5585</v>
      </c>
      <c r="V2053" s="41" t="str">
        <f>HYPERLINK("http://ictvonline.org/taxonomy/p/taxonomy-history?taxnode_id=20182018","ICTVonline=20182018")</f>
        <v>ICTVonline=20182018</v>
      </c>
    </row>
    <row r="2054" spans="1:22">
      <c r="A2054" s="3">
        <v>2053</v>
      </c>
      <c r="J2054" s="1" t="s">
        <v>1078</v>
      </c>
      <c r="L2054" s="1" t="s">
        <v>1125</v>
      </c>
      <c r="N2054" s="1" t="s">
        <v>630</v>
      </c>
      <c r="P2054" s="1" t="s">
        <v>4769</v>
      </c>
      <c r="Q2054" s="3">
        <v>0</v>
      </c>
      <c r="R2054" s="22" t="s">
        <v>2766</v>
      </c>
      <c r="S2054" s="22" t="s">
        <v>5097</v>
      </c>
      <c r="T2054" s="51">
        <v>31</v>
      </c>
      <c r="U2054" s="3" t="s">
        <v>5585</v>
      </c>
      <c r="V2054" s="41" t="str">
        <f>HYPERLINK("http://ictvonline.org/taxonomy/p/taxonomy-history?taxnode_id=20182019","ICTVonline=20182019")</f>
        <v>ICTVonline=20182019</v>
      </c>
    </row>
    <row r="2055" spans="1:22">
      <c r="A2055" s="3">
        <v>2054</v>
      </c>
      <c r="J2055" s="1" t="s">
        <v>1078</v>
      </c>
      <c r="L2055" s="1" t="s">
        <v>1125</v>
      </c>
      <c r="N2055" s="1" t="s">
        <v>630</v>
      </c>
      <c r="P2055" s="1" t="s">
        <v>4770</v>
      </c>
      <c r="Q2055" s="3">
        <v>0</v>
      </c>
      <c r="R2055" s="22" t="s">
        <v>2766</v>
      </c>
      <c r="S2055" s="22" t="s">
        <v>5097</v>
      </c>
      <c r="T2055" s="51">
        <v>31</v>
      </c>
      <c r="U2055" s="3" t="s">
        <v>5585</v>
      </c>
      <c r="V2055" s="41" t="str">
        <f>HYPERLINK("http://ictvonline.org/taxonomy/p/taxonomy-history?taxnode_id=20182020","ICTVonline=20182020")</f>
        <v>ICTVonline=20182020</v>
      </c>
    </row>
    <row r="2056" spans="1:22">
      <c r="A2056" s="3">
        <v>2055</v>
      </c>
      <c r="J2056" s="1" t="s">
        <v>1078</v>
      </c>
      <c r="L2056" s="1" t="s">
        <v>1125</v>
      </c>
      <c r="N2056" s="1" t="s">
        <v>2651</v>
      </c>
      <c r="P2056" s="1" t="s">
        <v>2652</v>
      </c>
      <c r="Q2056" s="3">
        <v>1</v>
      </c>
      <c r="R2056" s="22" t="s">
        <v>2766</v>
      </c>
      <c r="S2056" s="22" t="s">
        <v>5097</v>
      </c>
      <c r="T2056" s="51">
        <v>29</v>
      </c>
      <c r="U2056" s="3" t="s">
        <v>5586</v>
      </c>
      <c r="V2056" s="41" t="str">
        <f>HYPERLINK("http://ictvonline.org/taxonomy/p/taxonomy-history?taxnode_id=20182022","ICTVonline=20182022")</f>
        <v>ICTVonline=20182022</v>
      </c>
    </row>
    <row r="2057" spans="1:22">
      <c r="A2057" s="3">
        <v>2056</v>
      </c>
      <c r="J2057" s="1" t="s">
        <v>1078</v>
      </c>
      <c r="L2057" s="1" t="s">
        <v>1125</v>
      </c>
      <c r="N2057" s="1" t="s">
        <v>2651</v>
      </c>
      <c r="P2057" s="1" t="s">
        <v>5587</v>
      </c>
      <c r="Q2057" s="3">
        <v>0</v>
      </c>
      <c r="R2057" s="22" t="s">
        <v>2766</v>
      </c>
      <c r="S2057" s="22" t="s">
        <v>5097</v>
      </c>
      <c r="T2057" s="51">
        <v>32</v>
      </c>
      <c r="U2057" s="3" t="s">
        <v>5588</v>
      </c>
      <c r="V2057" s="41" t="str">
        <f>HYPERLINK("http://ictvonline.org/taxonomy/p/taxonomy-history?taxnode_id=20185598","ICTVonline=20185598")</f>
        <v>ICTVonline=20185598</v>
      </c>
    </row>
    <row r="2058" spans="1:22">
      <c r="A2058" s="3">
        <v>2057</v>
      </c>
      <c r="J2058" s="1" t="s">
        <v>1078</v>
      </c>
      <c r="L2058" s="1" t="s">
        <v>1125</v>
      </c>
      <c r="N2058" s="1" t="s">
        <v>2651</v>
      </c>
      <c r="P2058" s="1" t="s">
        <v>5589</v>
      </c>
      <c r="Q2058" s="3">
        <v>0</v>
      </c>
      <c r="R2058" s="22" t="s">
        <v>2766</v>
      </c>
      <c r="S2058" s="22" t="s">
        <v>5097</v>
      </c>
      <c r="T2058" s="51">
        <v>32</v>
      </c>
      <c r="U2058" s="3" t="s">
        <v>5588</v>
      </c>
      <c r="V2058" s="41" t="str">
        <f>HYPERLINK("http://ictvonline.org/taxonomy/p/taxonomy-history?taxnode_id=20185599","ICTVonline=20185599")</f>
        <v>ICTVonline=20185599</v>
      </c>
    </row>
    <row r="2059" spans="1:22">
      <c r="A2059" s="3">
        <v>2058</v>
      </c>
      <c r="J2059" s="1" t="s">
        <v>1078</v>
      </c>
      <c r="L2059" s="1" t="s">
        <v>1125</v>
      </c>
      <c r="N2059" s="1" t="s">
        <v>3757</v>
      </c>
      <c r="P2059" s="1" t="s">
        <v>3758</v>
      </c>
      <c r="Q2059" s="3">
        <v>1</v>
      </c>
      <c r="R2059" s="22" t="s">
        <v>2766</v>
      </c>
      <c r="S2059" s="22" t="s">
        <v>5097</v>
      </c>
      <c r="T2059" s="51">
        <v>30</v>
      </c>
      <c r="U2059" s="3" t="s">
        <v>5590</v>
      </c>
      <c r="V2059" s="41" t="str">
        <f>HYPERLINK("http://ictvonline.org/taxonomy/p/taxonomy-history?taxnode_id=20182024","ICTVonline=20182024")</f>
        <v>ICTVonline=20182024</v>
      </c>
    </row>
    <row r="2060" spans="1:22">
      <c r="A2060" s="3">
        <v>2059</v>
      </c>
      <c r="J2060" s="1" t="s">
        <v>1078</v>
      </c>
      <c r="L2060" s="1" t="s">
        <v>1125</v>
      </c>
      <c r="N2060" s="1" t="s">
        <v>3757</v>
      </c>
      <c r="P2060" s="1" t="s">
        <v>3759</v>
      </c>
      <c r="Q2060" s="3">
        <v>0</v>
      </c>
      <c r="R2060" s="22" t="s">
        <v>2766</v>
      </c>
      <c r="S2060" s="22" t="s">
        <v>5097</v>
      </c>
      <c r="T2060" s="51">
        <v>30</v>
      </c>
      <c r="U2060" s="3" t="s">
        <v>5590</v>
      </c>
      <c r="V2060" s="41" t="str">
        <f>HYPERLINK("http://ictvonline.org/taxonomy/p/taxonomy-history?taxnode_id=20182025","ICTVonline=20182025")</f>
        <v>ICTVonline=20182025</v>
      </c>
    </row>
    <row r="2061" spans="1:22">
      <c r="A2061" s="3">
        <v>2060</v>
      </c>
      <c r="J2061" s="1" t="s">
        <v>1078</v>
      </c>
      <c r="L2061" s="1" t="s">
        <v>1125</v>
      </c>
      <c r="N2061" s="1" t="s">
        <v>3757</v>
      </c>
      <c r="P2061" s="1" t="s">
        <v>3760</v>
      </c>
      <c r="Q2061" s="3">
        <v>0</v>
      </c>
      <c r="R2061" s="22" t="s">
        <v>2766</v>
      </c>
      <c r="S2061" s="22" t="s">
        <v>5097</v>
      </c>
      <c r="T2061" s="51">
        <v>30</v>
      </c>
      <c r="U2061" s="3" t="s">
        <v>5590</v>
      </c>
      <c r="V2061" s="41" t="str">
        <f>HYPERLINK("http://ictvonline.org/taxonomy/p/taxonomy-history?taxnode_id=20182026","ICTVonline=20182026")</f>
        <v>ICTVonline=20182026</v>
      </c>
    </row>
    <row r="2062" spans="1:22">
      <c r="A2062" s="3">
        <v>2061</v>
      </c>
      <c r="J2062" s="1" t="s">
        <v>1078</v>
      </c>
      <c r="L2062" s="1" t="s">
        <v>1125</v>
      </c>
      <c r="N2062" s="1" t="s">
        <v>2204</v>
      </c>
      <c r="P2062" s="1" t="s">
        <v>5591</v>
      </c>
      <c r="Q2062" s="3">
        <v>1</v>
      </c>
      <c r="R2062" s="22" t="s">
        <v>2766</v>
      </c>
      <c r="S2062" s="22" t="s">
        <v>5102</v>
      </c>
      <c r="T2062" s="51">
        <v>27</v>
      </c>
      <c r="U2062" s="3" t="s">
        <v>6696</v>
      </c>
      <c r="V2062" s="41" t="str">
        <f>HYPERLINK("http://ictvonline.org/taxonomy/p/taxonomy-history?taxnode_id=20182028","ICTVonline=20182028")</f>
        <v>ICTVonline=20182028</v>
      </c>
    </row>
    <row r="2063" spans="1:22">
      <c r="A2063" s="3">
        <v>2062</v>
      </c>
      <c r="J2063" s="1" t="s">
        <v>1078</v>
      </c>
      <c r="L2063" s="1" t="s">
        <v>1125</v>
      </c>
      <c r="N2063" s="1" t="s">
        <v>2204</v>
      </c>
      <c r="P2063" s="1" t="s">
        <v>5593</v>
      </c>
      <c r="Q2063" s="3">
        <v>0</v>
      </c>
      <c r="R2063" s="22" t="s">
        <v>2766</v>
      </c>
      <c r="S2063" s="22" t="s">
        <v>5097</v>
      </c>
      <c r="T2063" s="51">
        <v>32</v>
      </c>
      <c r="U2063" s="3" t="s">
        <v>5592</v>
      </c>
      <c r="V2063" s="41" t="str">
        <f>HYPERLINK("http://ictvonline.org/taxonomy/p/taxonomy-history?taxnode_id=20185600","ICTVonline=20185600")</f>
        <v>ICTVonline=20185600</v>
      </c>
    </row>
    <row r="2064" spans="1:22">
      <c r="A2064" s="3">
        <v>2063</v>
      </c>
      <c r="J2064" s="1" t="s">
        <v>1078</v>
      </c>
      <c r="L2064" s="1" t="s">
        <v>1125</v>
      </c>
      <c r="N2064" s="1" t="s">
        <v>2204</v>
      </c>
      <c r="P2064" s="1" t="s">
        <v>5594</v>
      </c>
      <c r="Q2064" s="3">
        <v>0</v>
      </c>
      <c r="R2064" s="22" t="s">
        <v>2766</v>
      </c>
      <c r="S2064" s="22" t="s">
        <v>5097</v>
      </c>
      <c r="T2064" s="51">
        <v>32</v>
      </c>
      <c r="U2064" s="3" t="s">
        <v>5592</v>
      </c>
      <c r="V2064" s="41" t="str">
        <f>HYPERLINK("http://ictvonline.org/taxonomy/p/taxonomy-history?taxnode_id=20185601","ICTVonline=20185601")</f>
        <v>ICTVonline=20185601</v>
      </c>
    </row>
    <row r="2065" spans="1:22">
      <c r="A2065" s="3">
        <v>2064</v>
      </c>
      <c r="J2065" s="1" t="s">
        <v>1078</v>
      </c>
      <c r="L2065" s="1" t="s">
        <v>1125</v>
      </c>
      <c r="N2065" s="1" t="s">
        <v>2204</v>
      </c>
      <c r="P2065" s="1" t="s">
        <v>5595</v>
      </c>
      <c r="Q2065" s="3">
        <v>0</v>
      </c>
      <c r="R2065" s="22" t="s">
        <v>2766</v>
      </c>
      <c r="S2065" s="22" t="s">
        <v>5097</v>
      </c>
      <c r="T2065" s="51">
        <v>32</v>
      </c>
      <c r="U2065" s="3" t="s">
        <v>5592</v>
      </c>
      <c r="V2065" s="41" t="str">
        <f>HYPERLINK("http://ictvonline.org/taxonomy/p/taxonomy-history?taxnode_id=20185602","ICTVonline=20185602")</f>
        <v>ICTVonline=20185602</v>
      </c>
    </row>
    <row r="2066" spans="1:22">
      <c r="A2066" s="3">
        <v>2065</v>
      </c>
      <c r="J2066" s="1" t="s">
        <v>1078</v>
      </c>
      <c r="L2066" s="1" t="s">
        <v>1125</v>
      </c>
      <c r="N2066" s="1" t="s">
        <v>2204</v>
      </c>
      <c r="P2066" s="1" t="s">
        <v>5596</v>
      </c>
      <c r="Q2066" s="3">
        <v>0</v>
      </c>
      <c r="R2066" s="22" t="s">
        <v>2766</v>
      </c>
      <c r="S2066" s="22" t="s">
        <v>5097</v>
      </c>
      <c r="T2066" s="51">
        <v>32</v>
      </c>
      <c r="U2066" s="3" t="s">
        <v>5592</v>
      </c>
      <c r="V2066" s="41" t="str">
        <f>HYPERLINK("http://ictvonline.org/taxonomy/p/taxonomy-history?taxnode_id=20185603","ICTVonline=20185603")</f>
        <v>ICTVonline=20185603</v>
      </c>
    </row>
    <row r="2067" spans="1:22">
      <c r="A2067" s="3">
        <v>2066</v>
      </c>
      <c r="J2067" s="1" t="s">
        <v>1078</v>
      </c>
      <c r="L2067" s="1" t="s">
        <v>1125</v>
      </c>
      <c r="N2067" s="1" t="s">
        <v>2322</v>
      </c>
      <c r="P2067" s="1" t="s">
        <v>2323</v>
      </c>
      <c r="Q2067" s="3">
        <v>1</v>
      </c>
      <c r="R2067" s="22" t="s">
        <v>2766</v>
      </c>
      <c r="S2067" s="22" t="s">
        <v>5097</v>
      </c>
      <c r="T2067" s="51">
        <v>28</v>
      </c>
      <c r="U2067" s="3" t="s">
        <v>5597</v>
      </c>
      <c r="V2067" s="41" t="str">
        <f>HYPERLINK("http://ictvonline.org/taxonomy/p/taxonomy-history?taxnode_id=20182030","ICTVonline=20182030")</f>
        <v>ICTVonline=20182030</v>
      </c>
    </row>
    <row r="2068" spans="1:22">
      <c r="A2068" s="3">
        <v>2067</v>
      </c>
      <c r="J2068" s="1" t="s">
        <v>1078</v>
      </c>
      <c r="L2068" s="1" t="s">
        <v>1125</v>
      </c>
      <c r="N2068" s="1" t="s">
        <v>2322</v>
      </c>
      <c r="P2068" s="1" t="s">
        <v>4771</v>
      </c>
      <c r="Q2068" s="3">
        <v>0</v>
      </c>
      <c r="R2068" s="22" t="s">
        <v>2766</v>
      </c>
      <c r="S2068" s="22" t="s">
        <v>5097</v>
      </c>
      <c r="T2068" s="51">
        <v>31</v>
      </c>
      <c r="U2068" s="3" t="s">
        <v>5598</v>
      </c>
      <c r="V2068" s="41" t="str">
        <f>HYPERLINK("http://ictvonline.org/taxonomy/p/taxonomy-history?taxnode_id=20182031","ICTVonline=20182031")</f>
        <v>ICTVonline=20182031</v>
      </c>
    </row>
    <row r="2069" spans="1:22">
      <c r="A2069" s="3">
        <v>2068</v>
      </c>
      <c r="J2069" s="1" t="s">
        <v>1078</v>
      </c>
      <c r="L2069" s="1" t="s">
        <v>1125</v>
      </c>
      <c r="N2069" s="1" t="s">
        <v>2322</v>
      </c>
      <c r="P2069" s="1" t="s">
        <v>4772</v>
      </c>
      <c r="Q2069" s="3">
        <v>0</v>
      </c>
      <c r="R2069" s="22" t="s">
        <v>2766</v>
      </c>
      <c r="S2069" s="22" t="s">
        <v>5097</v>
      </c>
      <c r="T2069" s="51">
        <v>31</v>
      </c>
      <c r="U2069" s="3" t="s">
        <v>5598</v>
      </c>
      <c r="V2069" s="41" t="str">
        <f>HYPERLINK("http://ictvonline.org/taxonomy/p/taxonomy-history?taxnode_id=20182032","ICTVonline=20182032")</f>
        <v>ICTVonline=20182032</v>
      </c>
    </row>
    <row r="2070" spans="1:22">
      <c r="A2070" s="3">
        <v>2069</v>
      </c>
      <c r="J2070" s="1" t="s">
        <v>1078</v>
      </c>
      <c r="L2070" s="1" t="s">
        <v>1125</v>
      </c>
      <c r="N2070" s="1" t="s">
        <v>2324</v>
      </c>
      <c r="P2070" s="1" t="s">
        <v>2325</v>
      </c>
      <c r="Q2070" s="3">
        <v>1</v>
      </c>
      <c r="R2070" s="22" t="s">
        <v>2766</v>
      </c>
      <c r="S2070" s="22" t="s">
        <v>5097</v>
      </c>
      <c r="T2070" s="51">
        <v>28</v>
      </c>
      <c r="U2070" s="3" t="s">
        <v>5599</v>
      </c>
      <c r="V2070" s="41" t="str">
        <f>HYPERLINK("http://ictvonline.org/taxonomy/p/taxonomy-history?taxnode_id=20182034","ICTVonline=20182034")</f>
        <v>ICTVonline=20182034</v>
      </c>
    </row>
    <row r="2071" spans="1:22">
      <c r="A2071" s="3">
        <v>2070</v>
      </c>
      <c r="J2071" s="1" t="s">
        <v>1078</v>
      </c>
      <c r="L2071" s="1" t="s">
        <v>1125</v>
      </c>
      <c r="N2071" s="1" t="s">
        <v>5600</v>
      </c>
      <c r="P2071" s="1" t="s">
        <v>5601</v>
      </c>
      <c r="Q2071" s="3">
        <v>1</v>
      </c>
      <c r="R2071" s="22" t="s">
        <v>2766</v>
      </c>
      <c r="S2071" s="22" t="s">
        <v>5097</v>
      </c>
      <c r="T2071" s="51">
        <v>32</v>
      </c>
      <c r="U2071" s="3" t="s">
        <v>5602</v>
      </c>
      <c r="V2071" s="41" t="str">
        <f>HYPERLINK("http://ictvonline.org/taxonomy/p/taxonomy-history?taxnode_id=20185604","ICTVonline=20185604")</f>
        <v>ICTVonline=20185604</v>
      </c>
    </row>
    <row r="2072" spans="1:22">
      <c r="A2072" s="3">
        <v>2071</v>
      </c>
      <c r="J2072" s="1" t="s">
        <v>1078</v>
      </c>
      <c r="L2072" s="1" t="s">
        <v>1125</v>
      </c>
      <c r="N2072" s="1" t="s">
        <v>2326</v>
      </c>
      <c r="P2072" s="1" t="s">
        <v>2327</v>
      </c>
      <c r="Q2072" s="3">
        <v>1</v>
      </c>
      <c r="R2072" s="22" t="s">
        <v>2766</v>
      </c>
      <c r="S2072" s="22" t="s">
        <v>5097</v>
      </c>
      <c r="T2072" s="51">
        <v>28</v>
      </c>
      <c r="U2072" s="3" t="s">
        <v>5603</v>
      </c>
      <c r="V2072" s="41" t="str">
        <f>HYPERLINK("http://ictvonline.org/taxonomy/p/taxonomy-history?taxnode_id=20182036","ICTVonline=20182036")</f>
        <v>ICTVonline=20182036</v>
      </c>
    </row>
    <row r="2073" spans="1:22">
      <c r="A2073" s="3">
        <v>2072</v>
      </c>
      <c r="J2073" s="1" t="s">
        <v>1078</v>
      </c>
      <c r="L2073" s="1" t="s">
        <v>1125</v>
      </c>
      <c r="N2073" s="1" t="s">
        <v>971</v>
      </c>
      <c r="P2073" s="1" t="s">
        <v>2653</v>
      </c>
      <c r="Q2073" s="3">
        <v>1</v>
      </c>
      <c r="R2073" s="22" t="s">
        <v>2766</v>
      </c>
      <c r="S2073" s="22" t="s">
        <v>5100</v>
      </c>
      <c r="T2073" s="51">
        <v>29</v>
      </c>
      <c r="U2073" s="3" t="s">
        <v>5559</v>
      </c>
      <c r="V2073" s="41" t="str">
        <f>HYPERLINK("http://ictvonline.org/taxonomy/p/taxonomy-history?taxnode_id=20182038","ICTVonline=20182038")</f>
        <v>ICTVonline=20182038</v>
      </c>
    </row>
    <row r="2074" spans="1:22">
      <c r="A2074" s="3">
        <v>2073</v>
      </c>
      <c r="J2074" s="1" t="s">
        <v>1078</v>
      </c>
      <c r="L2074" s="1" t="s">
        <v>1125</v>
      </c>
      <c r="N2074" s="1" t="s">
        <v>971</v>
      </c>
      <c r="P2074" s="1" t="s">
        <v>2654</v>
      </c>
      <c r="Q2074" s="3">
        <v>0</v>
      </c>
      <c r="R2074" s="22" t="s">
        <v>2766</v>
      </c>
      <c r="S2074" s="22" t="s">
        <v>5100</v>
      </c>
      <c r="T2074" s="51">
        <v>29</v>
      </c>
      <c r="U2074" s="3" t="s">
        <v>5559</v>
      </c>
      <c r="V2074" s="41" t="str">
        <f>HYPERLINK("http://ictvonline.org/taxonomy/p/taxonomy-history?taxnode_id=20182039","ICTVonline=20182039")</f>
        <v>ICTVonline=20182039</v>
      </c>
    </row>
    <row r="2075" spans="1:22">
      <c r="A2075" s="3">
        <v>2074</v>
      </c>
      <c r="J2075" s="1" t="s">
        <v>1078</v>
      </c>
      <c r="L2075" s="1" t="s">
        <v>1125</v>
      </c>
      <c r="N2075" s="1" t="s">
        <v>971</v>
      </c>
      <c r="P2075" s="1" t="s">
        <v>4773</v>
      </c>
      <c r="Q2075" s="3">
        <v>0</v>
      </c>
      <c r="R2075" s="22" t="s">
        <v>2766</v>
      </c>
      <c r="S2075" s="22" t="s">
        <v>5097</v>
      </c>
      <c r="T2075" s="51">
        <v>31</v>
      </c>
      <c r="U2075" s="3" t="s">
        <v>5604</v>
      </c>
      <c r="V2075" s="41" t="str">
        <f>HYPERLINK("http://ictvonline.org/taxonomy/p/taxonomy-history?taxnode_id=20182040","ICTVonline=20182040")</f>
        <v>ICTVonline=20182040</v>
      </c>
    </row>
    <row r="2076" spans="1:22">
      <c r="A2076" s="3">
        <v>2075</v>
      </c>
      <c r="J2076" s="1" t="s">
        <v>1078</v>
      </c>
      <c r="L2076" s="1" t="s">
        <v>1125</v>
      </c>
      <c r="N2076" s="1" t="s">
        <v>971</v>
      </c>
      <c r="P2076" s="1" t="s">
        <v>4774</v>
      </c>
      <c r="Q2076" s="3">
        <v>0</v>
      </c>
      <c r="R2076" s="22" t="s">
        <v>2766</v>
      </c>
      <c r="S2076" s="22" t="s">
        <v>5097</v>
      </c>
      <c r="T2076" s="51">
        <v>31</v>
      </c>
      <c r="U2076" s="3" t="s">
        <v>5604</v>
      </c>
      <c r="V2076" s="41" t="str">
        <f>HYPERLINK("http://ictvonline.org/taxonomy/p/taxonomy-history?taxnode_id=20182041","ICTVonline=20182041")</f>
        <v>ICTVonline=20182041</v>
      </c>
    </row>
    <row r="2077" spans="1:22">
      <c r="A2077" s="3">
        <v>2076</v>
      </c>
      <c r="J2077" s="1" t="s">
        <v>1078</v>
      </c>
      <c r="L2077" s="1" t="s">
        <v>1125</v>
      </c>
      <c r="N2077" s="1" t="s">
        <v>2328</v>
      </c>
      <c r="P2077" s="1" t="s">
        <v>2329</v>
      </c>
      <c r="Q2077" s="3">
        <v>1</v>
      </c>
      <c r="R2077" s="22" t="s">
        <v>2766</v>
      </c>
      <c r="S2077" s="22" t="s">
        <v>5097</v>
      </c>
      <c r="T2077" s="51">
        <v>28</v>
      </c>
      <c r="U2077" s="3" t="s">
        <v>5605</v>
      </c>
      <c r="V2077" s="41" t="str">
        <f>HYPERLINK("http://ictvonline.org/taxonomy/p/taxonomy-history?taxnode_id=20182043","ICTVonline=20182043")</f>
        <v>ICTVonline=20182043</v>
      </c>
    </row>
    <row r="2078" spans="1:22">
      <c r="A2078" s="3">
        <v>2077</v>
      </c>
      <c r="J2078" s="1" t="s">
        <v>1078</v>
      </c>
      <c r="L2078" s="1" t="s">
        <v>1125</v>
      </c>
      <c r="N2078" s="1" t="s">
        <v>2330</v>
      </c>
      <c r="P2078" s="1" t="s">
        <v>2331</v>
      </c>
      <c r="Q2078" s="3">
        <v>1</v>
      </c>
      <c r="R2078" s="22" t="s">
        <v>2766</v>
      </c>
      <c r="S2078" s="22" t="s">
        <v>5097</v>
      </c>
      <c r="T2078" s="51">
        <v>28</v>
      </c>
      <c r="U2078" s="3" t="s">
        <v>5606</v>
      </c>
      <c r="V2078" s="41" t="str">
        <f>HYPERLINK("http://ictvonline.org/taxonomy/p/taxonomy-history?taxnode_id=20182045","ICTVonline=20182045")</f>
        <v>ICTVonline=20182045</v>
      </c>
    </row>
    <row r="2079" spans="1:22">
      <c r="A2079" s="3">
        <v>2078</v>
      </c>
      <c r="J2079" s="1" t="s">
        <v>1078</v>
      </c>
      <c r="L2079" s="1" t="s">
        <v>1125</v>
      </c>
      <c r="N2079" s="1" t="s">
        <v>3761</v>
      </c>
      <c r="P2079" s="1" t="s">
        <v>3762</v>
      </c>
      <c r="Q2079" s="3">
        <v>1</v>
      </c>
      <c r="R2079" s="22" t="s">
        <v>2766</v>
      </c>
      <c r="S2079" s="22" t="s">
        <v>5097</v>
      </c>
      <c r="T2079" s="51">
        <v>30</v>
      </c>
      <c r="U2079" s="3" t="s">
        <v>5607</v>
      </c>
      <c r="V2079" s="41" t="str">
        <f>HYPERLINK("http://ictvonline.org/taxonomy/p/taxonomy-history?taxnode_id=20182047","ICTVonline=20182047")</f>
        <v>ICTVonline=20182047</v>
      </c>
    </row>
    <row r="2080" spans="1:22">
      <c r="A2080" s="3">
        <v>2079</v>
      </c>
      <c r="J2080" s="1" t="s">
        <v>1078</v>
      </c>
      <c r="L2080" s="1" t="s">
        <v>1125</v>
      </c>
      <c r="N2080" s="1" t="s">
        <v>4775</v>
      </c>
      <c r="P2080" s="1" t="s">
        <v>4776</v>
      </c>
      <c r="Q2080" s="3">
        <v>1</v>
      </c>
      <c r="R2080" s="22" t="s">
        <v>2766</v>
      </c>
      <c r="S2080" s="22" t="s">
        <v>5097</v>
      </c>
      <c r="T2080" s="51">
        <v>31</v>
      </c>
      <c r="U2080" s="3" t="s">
        <v>5608</v>
      </c>
      <c r="V2080" s="41" t="str">
        <f>HYPERLINK("http://ictvonline.org/taxonomy/p/taxonomy-history?taxnode_id=20182049","ICTVonline=20182049")</f>
        <v>ICTVonline=20182049</v>
      </c>
    </row>
    <row r="2081" spans="1:22">
      <c r="A2081" s="3">
        <v>2080</v>
      </c>
      <c r="J2081" s="1" t="s">
        <v>1078</v>
      </c>
      <c r="L2081" s="1" t="s">
        <v>1125</v>
      </c>
      <c r="N2081" s="1" t="s">
        <v>2332</v>
      </c>
      <c r="P2081" s="1" t="s">
        <v>2333</v>
      </c>
      <c r="Q2081" s="3">
        <v>1</v>
      </c>
      <c r="R2081" s="22" t="s">
        <v>2766</v>
      </c>
      <c r="S2081" s="22" t="s">
        <v>5097</v>
      </c>
      <c r="T2081" s="51">
        <v>28</v>
      </c>
      <c r="U2081" s="3" t="s">
        <v>5609</v>
      </c>
      <c r="V2081" s="41" t="str">
        <f>HYPERLINK("http://ictvonline.org/taxonomy/p/taxonomy-history?taxnode_id=20182051","ICTVonline=20182051")</f>
        <v>ICTVonline=20182051</v>
      </c>
    </row>
    <row r="2082" spans="1:22">
      <c r="A2082" s="3">
        <v>2081</v>
      </c>
      <c r="J2082" s="1" t="s">
        <v>1078</v>
      </c>
      <c r="L2082" s="1" t="s">
        <v>1125</v>
      </c>
      <c r="N2082" s="1" t="s">
        <v>2655</v>
      </c>
      <c r="P2082" s="1" t="s">
        <v>2656</v>
      </c>
      <c r="Q2082" s="3">
        <v>1</v>
      </c>
      <c r="R2082" s="22" t="s">
        <v>2766</v>
      </c>
      <c r="S2082" s="22" t="s">
        <v>5097</v>
      </c>
      <c r="T2082" s="51">
        <v>29</v>
      </c>
      <c r="U2082" s="3" t="s">
        <v>5610</v>
      </c>
      <c r="V2082" s="41" t="str">
        <f>HYPERLINK("http://ictvonline.org/taxonomy/p/taxonomy-history?taxnode_id=20182053","ICTVonline=20182053")</f>
        <v>ICTVonline=20182053</v>
      </c>
    </row>
    <row r="2083" spans="1:22">
      <c r="A2083" s="3">
        <v>2082</v>
      </c>
      <c r="J2083" s="1" t="s">
        <v>1078</v>
      </c>
      <c r="L2083" s="1" t="s">
        <v>1125</v>
      </c>
      <c r="N2083" s="1" t="s">
        <v>2205</v>
      </c>
      <c r="P2083" s="1" t="s">
        <v>2206</v>
      </c>
      <c r="Q2083" s="3">
        <v>1</v>
      </c>
      <c r="R2083" s="22" t="s">
        <v>2766</v>
      </c>
      <c r="S2083" s="22" t="s">
        <v>5102</v>
      </c>
      <c r="T2083" s="51">
        <v>27</v>
      </c>
      <c r="U2083" s="3" t="s">
        <v>5611</v>
      </c>
      <c r="V2083" s="41" t="str">
        <f>HYPERLINK("http://ictvonline.org/taxonomy/p/taxonomy-history?taxnode_id=20182055","ICTVonline=20182055")</f>
        <v>ICTVonline=20182055</v>
      </c>
    </row>
    <row r="2084" spans="1:22">
      <c r="A2084" s="3">
        <v>2083</v>
      </c>
      <c r="J2084" s="1" t="s">
        <v>1078</v>
      </c>
      <c r="L2084" s="1" t="s">
        <v>1125</v>
      </c>
      <c r="N2084" s="1" t="s">
        <v>1081</v>
      </c>
      <c r="P2084" s="1" t="s">
        <v>1082</v>
      </c>
      <c r="Q2084" s="3">
        <v>0</v>
      </c>
      <c r="R2084" s="22" t="s">
        <v>2766</v>
      </c>
      <c r="S2084" s="22" t="s">
        <v>5097</v>
      </c>
      <c r="T2084" s="51">
        <v>25</v>
      </c>
      <c r="U2084" s="3" t="s">
        <v>5612</v>
      </c>
      <c r="V2084" s="41" t="str">
        <f>HYPERLINK("http://ictvonline.org/taxonomy/p/taxonomy-history?taxnode_id=20182057","ICTVonline=20182057")</f>
        <v>ICTVonline=20182057</v>
      </c>
    </row>
    <row r="2085" spans="1:22">
      <c r="A2085" s="3">
        <v>2084</v>
      </c>
      <c r="J2085" s="1" t="s">
        <v>1078</v>
      </c>
      <c r="L2085" s="1" t="s">
        <v>1125</v>
      </c>
      <c r="N2085" s="1" t="s">
        <v>1081</v>
      </c>
      <c r="P2085" s="1" t="s">
        <v>2657</v>
      </c>
      <c r="Q2085" s="3">
        <v>1</v>
      </c>
      <c r="R2085" s="22" t="s">
        <v>2766</v>
      </c>
      <c r="S2085" s="22" t="s">
        <v>5100</v>
      </c>
      <c r="T2085" s="51">
        <v>29</v>
      </c>
      <c r="U2085" s="3" t="s">
        <v>5559</v>
      </c>
      <c r="V2085" s="41" t="str">
        <f>HYPERLINK("http://ictvonline.org/taxonomy/p/taxonomy-history?taxnode_id=20182058","ICTVonline=20182058")</f>
        <v>ICTVonline=20182058</v>
      </c>
    </row>
    <row r="2086" spans="1:22">
      <c r="A2086" s="3">
        <v>2085</v>
      </c>
      <c r="J2086" s="1" t="s">
        <v>1078</v>
      </c>
      <c r="L2086" s="1" t="s">
        <v>1125</v>
      </c>
      <c r="N2086" s="1" t="s">
        <v>1081</v>
      </c>
      <c r="P2086" s="1" t="s">
        <v>2658</v>
      </c>
      <c r="Q2086" s="3">
        <v>0</v>
      </c>
      <c r="R2086" s="22" t="s">
        <v>2766</v>
      </c>
      <c r="S2086" s="22" t="s">
        <v>5100</v>
      </c>
      <c r="T2086" s="51">
        <v>29</v>
      </c>
      <c r="U2086" s="3" t="s">
        <v>5559</v>
      </c>
      <c r="V2086" s="41" t="str">
        <f>HYPERLINK("http://ictvonline.org/taxonomy/p/taxonomy-history?taxnode_id=20182059","ICTVonline=20182059")</f>
        <v>ICTVonline=20182059</v>
      </c>
    </row>
    <row r="2087" spans="1:22">
      <c r="A2087" s="3">
        <v>2086</v>
      </c>
      <c r="J2087" s="1" t="s">
        <v>1078</v>
      </c>
      <c r="L2087" s="1" t="s">
        <v>1125</v>
      </c>
      <c r="N2087" s="1" t="s">
        <v>1002</v>
      </c>
      <c r="P2087" s="1" t="s">
        <v>2659</v>
      </c>
      <c r="Q2087" s="3">
        <v>1</v>
      </c>
      <c r="R2087" s="22" t="s">
        <v>2766</v>
      </c>
      <c r="S2087" s="22" t="s">
        <v>5100</v>
      </c>
      <c r="T2087" s="51">
        <v>29</v>
      </c>
      <c r="U2087" s="3" t="s">
        <v>5559</v>
      </c>
      <c r="V2087" s="41" t="str">
        <f>HYPERLINK("http://ictvonline.org/taxonomy/p/taxonomy-history?taxnode_id=20182061","ICTVonline=20182061")</f>
        <v>ICTVonline=20182061</v>
      </c>
    </row>
    <row r="2088" spans="1:22">
      <c r="A2088" s="3">
        <v>2087</v>
      </c>
      <c r="J2088" s="1" t="s">
        <v>1078</v>
      </c>
      <c r="L2088" s="1" t="s">
        <v>1125</v>
      </c>
      <c r="N2088" s="1" t="s">
        <v>5613</v>
      </c>
      <c r="P2088" s="1" t="s">
        <v>5614</v>
      </c>
      <c r="Q2088" s="3">
        <v>1</v>
      </c>
      <c r="R2088" s="22" t="s">
        <v>2766</v>
      </c>
      <c r="S2088" s="22" t="s">
        <v>5097</v>
      </c>
      <c r="T2088" s="51">
        <v>32</v>
      </c>
      <c r="U2088" s="3" t="s">
        <v>5615</v>
      </c>
      <c r="V2088" s="41" t="str">
        <f>HYPERLINK("http://ictvonline.org/taxonomy/p/taxonomy-history?taxnode_id=20185606","ICTVonline=20185606")</f>
        <v>ICTVonline=20185606</v>
      </c>
    </row>
    <row r="2089" spans="1:22">
      <c r="A2089" s="3">
        <v>2088</v>
      </c>
      <c r="J2089" s="1" t="s">
        <v>1078</v>
      </c>
      <c r="L2089" s="1" t="s">
        <v>1125</v>
      </c>
      <c r="N2089" s="1" t="s">
        <v>2660</v>
      </c>
      <c r="P2089" s="1" t="s">
        <v>2661</v>
      </c>
      <c r="Q2089" s="3">
        <v>1</v>
      </c>
      <c r="R2089" s="22" t="s">
        <v>2766</v>
      </c>
      <c r="S2089" s="22" t="s">
        <v>5097</v>
      </c>
      <c r="T2089" s="51">
        <v>29</v>
      </c>
      <c r="U2089" s="3" t="s">
        <v>5616</v>
      </c>
      <c r="V2089" s="41" t="str">
        <f>HYPERLINK("http://ictvonline.org/taxonomy/p/taxonomy-history?taxnode_id=20182063","ICTVonline=20182063")</f>
        <v>ICTVonline=20182063</v>
      </c>
    </row>
    <row r="2090" spans="1:22">
      <c r="A2090" s="3">
        <v>2089</v>
      </c>
      <c r="J2090" s="1" t="s">
        <v>1078</v>
      </c>
      <c r="L2090" s="1" t="s">
        <v>1125</v>
      </c>
      <c r="N2090" s="1" t="s">
        <v>972</v>
      </c>
      <c r="P2090" s="1" t="s">
        <v>2662</v>
      </c>
      <c r="Q2090" s="3">
        <v>1</v>
      </c>
      <c r="R2090" s="22" t="s">
        <v>2766</v>
      </c>
      <c r="S2090" s="22" t="s">
        <v>5100</v>
      </c>
      <c r="T2090" s="51">
        <v>29</v>
      </c>
      <c r="U2090" s="3" t="s">
        <v>5559</v>
      </c>
      <c r="V2090" s="41" t="str">
        <f>HYPERLINK("http://ictvonline.org/taxonomy/p/taxonomy-history?taxnode_id=20182065","ICTVonline=20182065")</f>
        <v>ICTVonline=20182065</v>
      </c>
    </row>
    <row r="2091" spans="1:22">
      <c r="A2091" s="3">
        <v>2090</v>
      </c>
      <c r="J2091" s="1" t="s">
        <v>1078</v>
      </c>
      <c r="L2091" s="1" t="s">
        <v>1125</v>
      </c>
      <c r="N2091" s="1" t="s">
        <v>4777</v>
      </c>
      <c r="P2091" s="1" t="s">
        <v>4778</v>
      </c>
      <c r="Q2091" s="3">
        <v>1</v>
      </c>
      <c r="R2091" s="22" t="s">
        <v>2766</v>
      </c>
      <c r="S2091" s="22" t="s">
        <v>5097</v>
      </c>
      <c r="T2091" s="51">
        <v>31</v>
      </c>
      <c r="U2091" s="3" t="s">
        <v>5617</v>
      </c>
      <c r="V2091" s="41" t="str">
        <f>HYPERLINK("http://ictvonline.org/taxonomy/p/taxonomy-history?taxnode_id=20182067","ICTVonline=20182067")</f>
        <v>ICTVonline=20182067</v>
      </c>
    </row>
    <row r="2092" spans="1:22">
      <c r="A2092" s="3">
        <v>2091</v>
      </c>
      <c r="J2092" s="1" t="s">
        <v>1078</v>
      </c>
      <c r="L2092" s="1" t="s">
        <v>1125</v>
      </c>
      <c r="N2092" s="1" t="s">
        <v>1003</v>
      </c>
      <c r="P2092" s="1" t="s">
        <v>2663</v>
      </c>
      <c r="Q2092" s="3">
        <v>1</v>
      </c>
      <c r="R2092" s="22" t="s">
        <v>2766</v>
      </c>
      <c r="S2092" s="22" t="s">
        <v>5100</v>
      </c>
      <c r="T2092" s="51">
        <v>29</v>
      </c>
      <c r="U2092" s="3" t="s">
        <v>5559</v>
      </c>
      <c r="V2092" s="41" t="str">
        <f>HYPERLINK("http://ictvonline.org/taxonomy/p/taxonomy-history?taxnode_id=20182069","ICTVonline=20182069")</f>
        <v>ICTVonline=20182069</v>
      </c>
    </row>
    <row r="2093" spans="1:22">
      <c r="A2093" s="3">
        <v>2092</v>
      </c>
      <c r="J2093" s="1" t="s">
        <v>1078</v>
      </c>
      <c r="L2093" s="1" t="s">
        <v>5618</v>
      </c>
      <c r="N2093" s="1" t="s">
        <v>5619</v>
      </c>
      <c r="P2093" s="1" t="s">
        <v>5620</v>
      </c>
      <c r="Q2093" s="3">
        <v>1</v>
      </c>
      <c r="R2093" s="22" t="s">
        <v>2766</v>
      </c>
      <c r="S2093" s="22" t="s">
        <v>5097</v>
      </c>
      <c r="T2093" s="51">
        <v>32</v>
      </c>
      <c r="U2093" s="3" t="s">
        <v>5621</v>
      </c>
      <c r="V2093" s="41" t="str">
        <f>HYPERLINK("http://ictvonline.org/taxonomy/p/taxonomy-history?taxnode_id=20185608","ICTVonline=20185608")</f>
        <v>ICTVonline=20185608</v>
      </c>
    </row>
    <row r="2094" spans="1:22">
      <c r="A2094" s="3">
        <v>2093</v>
      </c>
      <c r="J2094" s="1" t="s">
        <v>1078</v>
      </c>
      <c r="L2094" s="1" t="s">
        <v>5618</v>
      </c>
      <c r="N2094" s="1" t="s">
        <v>5619</v>
      </c>
      <c r="P2094" s="1" t="s">
        <v>5622</v>
      </c>
      <c r="Q2094" s="3">
        <v>0</v>
      </c>
      <c r="R2094" s="22" t="s">
        <v>2766</v>
      </c>
      <c r="S2094" s="22" t="s">
        <v>5097</v>
      </c>
      <c r="T2094" s="51">
        <v>32</v>
      </c>
      <c r="U2094" s="3" t="s">
        <v>5621</v>
      </c>
      <c r="V2094" s="41" t="str">
        <f>HYPERLINK("http://ictvonline.org/taxonomy/p/taxonomy-history?taxnode_id=20185609","ICTVonline=20185609")</f>
        <v>ICTVonline=20185609</v>
      </c>
    </row>
    <row r="2095" spans="1:22">
      <c r="A2095" s="3">
        <v>2094</v>
      </c>
      <c r="J2095" s="1" t="s">
        <v>1078</v>
      </c>
      <c r="L2095" s="1" t="s">
        <v>5618</v>
      </c>
      <c r="N2095" s="1" t="s">
        <v>5623</v>
      </c>
      <c r="P2095" s="1" t="s">
        <v>5624</v>
      </c>
      <c r="Q2095" s="3">
        <v>1</v>
      </c>
      <c r="R2095" s="22" t="s">
        <v>2766</v>
      </c>
      <c r="S2095" s="22" t="s">
        <v>5097</v>
      </c>
      <c r="T2095" s="51">
        <v>32</v>
      </c>
      <c r="U2095" s="3" t="s">
        <v>5621</v>
      </c>
      <c r="V2095" s="41" t="str">
        <f>HYPERLINK("http://ictvonline.org/taxonomy/p/taxonomy-history?taxnode_id=20185611","ICTVonline=20185611")</f>
        <v>ICTVonline=20185611</v>
      </c>
    </row>
    <row r="2096" spans="1:22">
      <c r="A2096" s="3">
        <v>2095</v>
      </c>
      <c r="J2096" s="1" t="s">
        <v>1078</v>
      </c>
      <c r="L2096" s="1" t="s">
        <v>5618</v>
      </c>
      <c r="N2096" s="1" t="s">
        <v>5625</v>
      </c>
      <c r="P2096" s="1" t="s">
        <v>5626</v>
      </c>
      <c r="Q2096" s="3">
        <v>0</v>
      </c>
      <c r="R2096" s="22" t="s">
        <v>2766</v>
      </c>
      <c r="S2096" s="22" t="s">
        <v>5097</v>
      </c>
      <c r="T2096" s="51">
        <v>32</v>
      </c>
      <c r="U2096" s="3" t="s">
        <v>5621</v>
      </c>
      <c r="V2096" s="41" t="str">
        <f>HYPERLINK("http://ictvonline.org/taxonomy/p/taxonomy-history?taxnode_id=20185613","ICTVonline=20185613")</f>
        <v>ICTVonline=20185613</v>
      </c>
    </row>
    <row r="2097" spans="1:22">
      <c r="A2097" s="3">
        <v>2096</v>
      </c>
      <c r="J2097" s="1" t="s">
        <v>1078</v>
      </c>
      <c r="L2097" s="1" t="s">
        <v>5618</v>
      </c>
      <c r="N2097" s="1" t="s">
        <v>5625</v>
      </c>
      <c r="P2097" s="1" t="s">
        <v>5627</v>
      </c>
      <c r="Q2097" s="3">
        <v>0</v>
      </c>
      <c r="R2097" s="22" t="s">
        <v>2766</v>
      </c>
      <c r="S2097" s="22" t="s">
        <v>5097</v>
      </c>
      <c r="T2097" s="51">
        <v>32</v>
      </c>
      <c r="U2097" s="3" t="s">
        <v>5621</v>
      </c>
      <c r="V2097" s="41" t="str">
        <f>HYPERLINK("http://ictvonline.org/taxonomy/p/taxonomy-history?taxnode_id=20185614","ICTVonline=20185614")</f>
        <v>ICTVonline=20185614</v>
      </c>
    </row>
    <row r="2098" spans="1:22">
      <c r="A2098" s="3">
        <v>2097</v>
      </c>
      <c r="J2098" s="1" t="s">
        <v>1078</v>
      </c>
      <c r="L2098" s="1" t="s">
        <v>5618</v>
      </c>
      <c r="N2098" s="1" t="s">
        <v>5625</v>
      </c>
      <c r="P2098" s="1" t="s">
        <v>5628</v>
      </c>
      <c r="Q2098" s="3">
        <v>0</v>
      </c>
      <c r="R2098" s="22" t="s">
        <v>2766</v>
      </c>
      <c r="S2098" s="22" t="s">
        <v>5097</v>
      </c>
      <c r="T2098" s="51">
        <v>32</v>
      </c>
      <c r="U2098" s="3" t="s">
        <v>5621</v>
      </c>
      <c r="V2098" s="41" t="str">
        <f>HYPERLINK("http://ictvonline.org/taxonomy/p/taxonomy-history?taxnode_id=20185615","ICTVonline=20185615")</f>
        <v>ICTVonline=20185615</v>
      </c>
    </row>
    <row r="2099" spans="1:22">
      <c r="A2099" s="3">
        <v>2098</v>
      </c>
      <c r="J2099" s="1" t="s">
        <v>1078</v>
      </c>
      <c r="L2099" s="1" t="s">
        <v>5618</v>
      </c>
      <c r="N2099" s="1" t="s">
        <v>5625</v>
      </c>
      <c r="P2099" s="1" t="s">
        <v>5629</v>
      </c>
      <c r="Q2099" s="3">
        <v>0</v>
      </c>
      <c r="R2099" s="22" t="s">
        <v>2766</v>
      </c>
      <c r="S2099" s="22" t="s">
        <v>5097</v>
      </c>
      <c r="T2099" s="51">
        <v>32</v>
      </c>
      <c r="U2099" s="3" t="s">
        <v>5621</v>
      </c>
      <c r="V2099" s="41" t="str">
        <f>HYPERLINK("http://ictvonline.org/taxonomy/p/taxonomy-history?taxnode_id=20185616","ICTVonline=20185616")</f>
        <v>ICTVonline=20185616</v>
      </c>
    </row>
    <row r="2100" spans="1:22">
      <c r="A2100" s="3">
        <v>2099</v>
      </c>
      <c r="J2100" s="1" t="s">
        <v>1078</v>
      </c>
      <c r="L2100" s="1" t="s">
        <v>5618</v>
      </c>
      <c r="N2100" s="1" t="s">
        <v>5625</v>
      </c>
      <c r="P2100" s="1" t="s">
        <v>5630</v>
      </c>
      <c r="Q2100" s="3">
        <v>0</v>
      </c>
      <c r="R2100" s="22" t="s">
        <v>2766</v>
      </c>
      <c r="S2100" s="22" t="s">
        <v>5097</v>
      </c>
      <c r="T2100" s="51">
        <v>32</v>
      </c>
      <c r="U2100" s="3" t="s">
        <v>5621</v>
      </c>
      <c r="V2100" s="41" t="str">
        <f>HYPERLINK("http://ictvonline.org/taxonomy/p/taxonomy-history?taxnode_id=20185617","ICTVonline=20185617")</f>
        <v>ICTVonline=20185617</v>
      </c>
    </row>
    <row r="2101" spans="1:22">
      <c r="A2101" s="3">
        <v>2100</v>
      </c>
      <c r="J2101" s="1" t="s">
        <v>1078</v>
      </c>
      <c r="L2101" s="1" t="s">
        <v>5618</v>
      </c>
      <c r="N2101" s="1" t="s">
        <v>5625</v>
      </c>
      <c r="P2101" s="1" t="s">
        <v>5631</v>
      </c>
      <c r="Q2101" s="3">
        <v>0</v>
      </c>
      <c r="R2101" s="22" t="s">
        <v>2766</v>
      </c>
      <c r="S2101" s="22" t="s">
        <v>5097</v>
      </c>
      <c r="T2101" s="51">
        <v>32</v>
      </c>
      <c r="U2101" s="3" t="s">
        <v>5621</v>
      </c>
      <c r="V2101" s="41" t="str">
        <f>HYPERLINK("http://ictvonline.org/taxonomy/p/taxonomy-history?taxnode_id=20185618","ICTVonline=20185618")</f>
        <v>ICTVonline=20185618</v>
      </c>
    </row>
    <row r="2102" spans="1:22">
      <c r="A2102" s="3">
        <v>2101</v>
      </c>
      <c r="J2102" s="1" t="s">
        <v>1078</v>
      </c>
      <c r="L2102" s="1" t="s">
        <v>5618</v>
      </c>
      <c r="N2102" s="1" t="s">
        <v>5625</v>
      </c>
      <c r="P2102" s="1" t="s">
        <v>5632</v>
      </c>
      <c r="Q2102" s="3">
        <v>0</v>
      </c>
      <c r="R2102" s="22" t="s">
        <v>2766</v>
      </c>
      <c r="S2102" s="22" t="s">
        <v>5097</v>
      </c>
      <c r="T2102" s="51">
        <v>32</v>
      </c>
      <c r="U2102" s="3" t="s">
        <v>5621</v>
      </c>
      <c r="V2102" s="41" t="str">
        <f>HYPERLINK("http://ictvonline.org/taxonomy/p/taxonomy-history?taxnode_id=20185619","ICTVonline=20185619")</f>
        <v>ICTVonline=20185619</v>
      </c>
    </row>
    <row r="2103" spans="1:22">
      <c r="A2103" s="3">
        <v>2102</v>
      </c>
      <c r="J2103" s="1" t="s">
        <v>1078</v>
      </c>
      <c r="L2103" s="1" t="s">
        <v>5618</v>
      </c>
      <c r="N2103" s="1" t="s">
        <v>5625</v>
      </c>
      <c r="P2103" s="1" t="s">
        <v>5633</v>
      </c>
      <c r="Q2103" s="3">
        <v>0</v>
      </c>
      <c r="R2103" s="22" t="s">
        <v>2766</v>
      </c>
      <c r="S2103" s="22" t="s">
        <v>5097</v>
      </c>
      <c r="T2103" s="51">
        <v>32</v>
      </c>
      <c r="U2103" s="3" t="s">
        <v>5621</v>
      </c>
      <c r="V2103" s="41" t="str">
        <f>HYPERLINK("http://ictvonline.org/taxonomy/p/taxonomy-history?taxnode_id=20185620","ICTVonline=20185620")</f>
        <v>ICTVonline=20185620</v>
      </c>
    </row>
    <row r="2104" spans="1:22">
      <c r="A2104" s="3">
        <v>2103</v>
      </c>
      <c r="J2104" s="1" t="s">
        <v>1078</v>
      </c>
      <c r="L2104" s="1" t="s">
        <v>5618</v>
      </c>
      <c r="N2104" s="1" t="s">
        <v>5625</v>
      </c>
      <c r="P2104" s="1" t="s">
        <v>5634</v>
      </c>
      <c r="Q2104" s="3">
        <v>0</v>
      </c>
      <c r="R2104" s="22" t="s">
        <v>2766</v>
      </c>
      <c r="S2104" s="22" t="s">
        <v>5097</v>
      </c>
      <c r="T2104" s="51">
        <v>32</v>
      </c>
      <c r="U2104" s="3" t="s">
        <v>5621</v>
      </c>
      <c r="V2104" s="41" t="str">
        <f>HYPERLINK("http://ictvonline.org/taxonomy/p/taxonomy-history?taxnode_id=20185621","ICTVonline=20185621")</f>
        <v>ICTVonline=20185621</v>
      </c>
    </row>
    <row r="2105" spans="1:22">
      <c r="A2105" s="3">
        <v>2104</v>
      </c>
      <c r="J2105" s="1" t="s">
        <v>1078</v>
      </c>
      <c r="L2105" s="1" t="s">
        <v>5618</v>
      </c>
      <c r="N2105" s="1" t="s">
        <v>5625</v>
      </c>
      <c r="P2105" s="1" t="s">
        <v>5635</v>
      </c>
      <c r="Q2105" s="3">
        <v>1</v>
      </c>
      <c r="R2105" s="22" t="s">
        <v>2766</v>
      </c>
      <c r="S2105" s="22" t="s">
        <v>5097</v>
      </c>
      <c r="T2105" s="51">
        <v>32</v>
      </c>
      <c r="U2105" s="3" t="s">
        <v>5621</v>
      </c>
      <c r="V2105" s="41" t="str">
        <f>HYPERLINK("http://ictvonline.org/taxonomy/p/taxonomy-history?taxnode_id=20185622","ICTVonline=20185622")</f>
        <v>ICTVonline=20185622</v>
      </c>
    </row>
    <row r="2106" spans="1:22">
      <c r="A2106" s="3">
        <v>2105</v>
      </c>
      <c r="J2106" s="1" t="s">
        <v>1078</v>
      </c>
      <c r="L2106" s="1" t="s">
        <v>5618</v>
      </c>
      <c r="N2106" s="1" t="s">
        <v>5625</v>
      </c>
      <c r="P2106" s="1" t="s">
        <v>5636</v>
      </c>
      <c r="Q2106" s="3">
        <v>0</v>
      </c>
      <c r="R2106" s="22" t="s">
        <v>2766</v>
      </c>
      <c r="S2106" s="22" t="s">
        <v>5097</v>
      </c>
      <c r="T2106" s="51">
        <v>32</v>
      </c>
      <c r="U2106" s="3" t="s">
        <v>5621</v>
      </c>
      <c r="V2106" s="41" t="str">
        <f>HYPERLINK("http://ictvonline.org/taxonomy/p/taxonomy-history?taxnode_id=20185623","ICTVonline=20185623")</f>
        <v>ICTVonline=20185623</v>
      </c>
    </row>
    <row r="2107" spans="1:22">
      <c r="A2107" s="3">
        <v>2106</v>
      </c>
      <c r="J2107" s="1" t="s">
        <v>1078</v>
      </c>
      <c r="L2107" s="1" t="s">
        <v>2011</v>
      </c>
      <c r="M2107" s="1" t="s">
        <v>1898</v>
      </c>
      <c r="N2107" s="1" t="s">
        <v>1895</v>
      </c>
      <c r="P2107" s="1" t="s">
        <v>688</v>
      </c>
      <c r="Q2107" s="3">
        <v>0</v>
      </c>
      <c r="R2107" s="22" t="s">
        <v>2766</v>
      </c>
      <c r="S2107" s="22" t="s">
        <v>5099</v>
      </c>
      <c r="T2107" s="51">
        <v>25</v>
      </c>
      <c r="U2107" s="3" t="s">
        <v>5637</v>
      </c>
      <c r="V2107" s="41" t="str">
        <f>HYPERLINK("http://ictvonline.org/taxonomy/p/taxonomy-history?taxnode_id=20182073","ICTVonline=20182073")</f>
        <v>ICTVonline=20182073</v>
      </c>
    </row>
    <row r="2108" spans="1:22">
      <c r="A2108" s="3">
        <v>2107</v>
      </c>
      <c r="J2108" s="1" t="s">
        <v>1078</v>
      </c>
      <c r="L2108" s="1" t="s">
        <v>2011</v>
      </c>
      <c r="M2108" s="1" t="s">
        <v>1898</v>
      </c>
      <c r="N2108" s="1" t="s">
        <v>1895</v>
      </c>
      <c r="P2108" s="1" t="s">
        <v>689</v>
      </c>
      <c r="Q2108" s="3">
        <v>0</v>
      </c>
      <c r="R2108" s="22" t="s">
        <v>2766</v>
      </c>
      <c r="S2108" s="22" t="s">
        <v>5099</v>
      </c>
      <c r="T2108" s="51">
        <v>25</v>
      </c>
      <c r="U2108" s="3" t="s">
        <v>5637</v>
      </c>
      <c r="V2108" s="41" t="str">
        <f>HYPERLINK("http://ictvonline.org/taxonomy/p/taxonomy-history?taxnode_id=20182074","ICTVonline=20182074")</f>
        <v>ICTVonline=20182074</v>
      </c>
    </row>
    <row r="2109" spans="1:22">
      <c r="A2109" s="3">
        <v>2108</v>
      </c>
      <c r="J2109" s="1" t="s">
        <v>1078</v>
      </c>
      <c r="L2109" s="1" t="s">
        <v>2011</v>
      </c>
      <c r="M2109" s="1" t="s">
        <v>1898</v>
      </c>
      <c r="N2109" s="1" t="s">
        <v>1895</v>
      </c>
      <c r="P2109" s="1" t="s">
        <v>690</v>
      </c>
      <c r="Q2109" s="3">
        <v>0</v>
      </c>
      <c r="R2109" s="22" t="s">
        <v>2766</v>
      </c>
      <c r="S2109" s="22" t="s">
        <v>5099</v>
      </c>
      <c r="T2109" s="51">
        <v>25</v>
      </c>
      <c r="U2109" s="3" t="s">
        <v>5637</v>
      </c>
      <c r="V2109" s="41" t="str">
        <f>HYPERLINK("http://ictvonline.org/taxonomy/p/taxonomy-history?taxnode_id=20182075","ICTVonline=20182075")</f>
        <v>ICTVonline=20182075</v>
      </c>
    </row>
    <row r="2110" spans="1:22">
      <c r="A2110" s="3">
        <v>2109</v>
      </c>
      <c r="J2110" s="1" t="s">
        <v>1078</v>
      </c>
      <c r="L2110" s="1" t="s">
        <v>2011</v>
      </c>
      <c r="M2110" s="1" t="s">
        <v>1898</v>
      </c>
      <c r="N2110" s="1" t="s">
        <v>1895</v>
      </c>
      <c r="P2110" s="1" t="s">
        <v>691</v>
      </c>
      <c r="Q2110" s="3">
        <v>0</v>
      </c>
      <c r="R2110" s="22" t="s">
        <v>2766</v>
      </c>
      <c r="S2110" s="22" t="s">
        <v>5099</v>
      </c>
      <c r="T2110" s="51">
        <v>25</v>
      </c>
      <c r="U2110" s="3" t="s">
        <v>5637</v>
      </c>
      <c r="V2110" s="41" t="str">
        <f>HYPERLINK("http://ictvonline.org/taxonomy/p/taxonomy-history?taxnode_id=20182076","ICTVonline=20182076")</f>
        <v>ICTVonline=20182076</v>
      </c>
    </row>
    <row r="2111" spans="1:22">
      <c r="A2111" s="3">
        <v>2110</v>
      </c>
      <c r="J2111" s="1" t="s">
        <v>1078</v>
      </c>
      <c r="L2111" s="1" t="s">
        <v>2011</v>
      </c>
      <c r="M2111" s="1" t="s">
        <v>1898</v>
      </c>
      <c r="N2111" s="1" t="s">
        <v>1895</v>
      </c>
      <c r="P2111" s="1" t="s">
        <v>1079</v>
      </c>
      <c r="Q2111" s="3">
        <v>0</v>
      </c>
      <c r="R2111" s="22" t="s">
        <v>2766</v>
      </c>
      <c r="S2111" s="22" t="s">
        <v>5099</v>
      </c>
      <c r="T2111" s="51">
        <v>25</v>
      </c>
      <c r="U2111" s="3" t="s">
        <v>5637</v>
      </c>
      <c r="V2111" s="41" t="str">
        <f>HYPERLINK("http://ictvonline.org/taxonomy/p/taxonomy-history?taxnode_id=20182077","ICTVonline=20182077")</f>
        <v>ICTVonline=20182077</v>
      </c>
    </row>
    <row r="2112" spans="1:22">
      <c r="A2112" s="3">
        <v>2111</v>
      </c>
      <c r="J2112" s="1" t="s">
        <v>1078</v>
      </c>
      <c r="L2112" s="1" t="s">
        <v>2011</v>
      </c>
      <c r="M2112" s="1" t="s">
        <v>1898</v>
      </c>
      <c r="N2112" s="1" t="s">
        <v>1895</v>
      </c>
      <c r="P2112" s="1" t="s">
        <v>1080</v>
      </c>
      <c r="Q2112" s="3">
        <v>1</v>
      </c>
      <c r="R2112" s="22" t="s">
        <v>2766</v>
      </c>
      <c r="S2112" s="22" t="s">
        <v>5099</v>
      </c>
      <c r="T2112" s="51">
        <v>25</v>
      </c>
      <c r="U2112" s="3" t="s">
        <v>5637</v>
      </c>
      <c r="V2112" s="41" t="str">
        <f>HYPERLINK("http://ictvonline.org/taxonomy/p/taxonomy-history?taxnode_id=20182078","ICTVonline=20182078")</f>
        <v>ICTVonline=20182078</v>
      </c>
    </row>
    <row r="2113" spans="1:22">
      <c r="A2113" s="3">
        <v>2112</v>
      </c>
      <c r="J2113" s="1" t="s">
        <v>1078</v>
      </c>
      <c r="L2113" s="1" t="s">
        <v>2011</v>
      </c>
      <c r="M2113" s="1" t="s">
        <v>1898</v>
      </c>
      <c r="N2113" s="1" t="s">
        <v>1895</v>
      </c>
      <c r="P2113" s="1" t="s">
        <v>692</v>
      </c>
      <c r="Q2113" s="3">
        <v>0</v>
      </c>
      <c r="R2113" s="22" t="s">
        <v>2766</v>
      </c>
      <c r="S2113" s="22" t="s">
        <v>5099</v>
      </c>
      <c r="T2113" s="51">
        <v>25</v>
      </c>
      <c r="U2113" s="3" t="s">
        <v>5637</v>
      </c>
      <c r="V2113" s="41" t="str">
        <f>HYPERLINK("http://ictvonline.org/taxonomy/p/taxonomy-history?taxnode_id=20182079","ICTVonline=20182079")</f>
        <v>ICTVonline=20182079</v>
      </c>
    </row>
    <row r="2114" spans="1:22">
      <c r="A2114" s="3">
        <v>2113</v>
      </c>
      <c r="J2114" s="1" t="s">
        <v>1078</v>
      </c>
      <c r="L2114" s="1" t="s">
        <v>2011</v>
      </c>
      <c r="M2114" s="1" t="s">
        <v>1898</v>
      </c>
      <c r="N2114" s="1" t="s">
        <v>1895</v>
      </c>
      <c r="P2114" s="1" t="s">
        <v>1159</v>
      </c>
      <c r="Q2114" s="3">
        <v>0</v>
      </c>
      <c r="R2114" s="22" t="s">
        <v>2766</v>
      </c>
      <c r="S2114" s="22" t="s">
        <v>5099</v>
      </c>
      <c r="T2114" s="51">
        <v>25</v>
      </c>
      <c r="U2114" s="3" t="s">
        <v>5637</v>
      </c>
      <c r="V2114" s="41" t="str">
        <f>HYPERLINK("http://ictvonline.org/taxonomy/p/taxonomy-history?taxnode_id=20182080","ICTVonline=20182080")</f>
        <v>ICTVonline=20182080</v>
      </c>
    </row>
    <row r="2115" spans="1:22">
      <c r="A2115" s="3">
        <v>2114</v>
      </c>
      <c r="J2115" s="1" t="s">
        <v>1078</v>
      </c>
      <c r="L2115" s="1" t="s">
        <v>2011</v>
      </c>
      <c r="M2115" s="1" t="s">
        <v>1898</v>
      </c>
      <c r="N2115" s="1" t="s">
        <v>1895</v>
      </c>
      <c r="P2115" s="1" t="s">
        <v>1160</v>
      </c>
      <c r="Q2115" s="3">
        <v>0</v>
      </c>
      <c r="R2115" s="22" t="s">
        <v>2766</v>
      </c>
      <c r="S2115" s="22" t="s">
        <v>5099</v>
      </c>
      <c r="T2115" s="51">
        <v>25</v>
      </c>
      <c r="U2115" s="3" t="s">
        <v>5637</v>
      </c>
      <c r="V2115" s="41" t="str">
        <f>HYPERLINK("http://ictvonline.org/taxonomy/p/taxonomy-history?taxnode_id=20182081","ICTVonline=20182081")</f>
        <v>ICTVonline=20182081</v>
      </c>
    </row>
    <row r="2116" spans="1:22">
      <c r="A2116" s="3">
        <v>2115</v>
      </c>
      <c r="J2116" s="1" t="s">
        <v>1078</v>
      </c>
      <c r="L2116" s="1" t="s">
        <v>2011</v>
      </c>
      <c r="M2116" s="1" t="s">
        <v>1898</v>
      </c>
      <c r="N2116" s="1" t="s">
        <v>1895</v>
      </c>
      <c r="P2116" s="1" t="s">
        <v>1364</v>
      </c>
      <c r="Q2116" s="3">
        <v>0</v>
      </c>
      <c r="R2116" s="22" t="s">
        <v>2766</v>
      </c>
      <c r="S2116" s="22" t="s">
        <v>5099</v>
      </c>
      <c r="T2116" s="51">
        <v>25</v>
      </c>
      <c r="U2116" s="3" t="s">
        <v>5637</v>
      </c>
      <c r="V2116" s="41" t="str">
        <f>HYPERLINK("http://ictvonline.org/taxonomy/p/taxonomy-history?taxnode_id=20182082","ICTVonline=20182082")</f>
        <v>ICTVonline=20182082</v>
      </c>
    </row>
    <row r="2117" spans="1:22">
      <c r="A2117" s="3">
        <v>2116</v>
      </c>
      <c r="J2117" s="1" t="s">
        <v>1078</v>
      </c>
      <c r="L2117" s="1" t="s">
        <v>2011</v>
      </c>
      <c r="M2117" s="1" t="s">
        <v>1898</v>
      </c>
      <c r="N2117" s="1" t="s">
        <v>1895</v>
      </c>
      <c r="P2117" s="1" t="s">
        <v>912</v>
      </c>
      <c r="Q2117" s="3">
        <v>0</v>
      </c>
      <c r="R2117" s="22" t="s">
        <v>2766</v>
      </c>
      <c r="S2117" s="22" t="s">
        <v>5099</v>
      </c>
      <c r="T2117" s="51">
        <v>25</v>
      </c>
      <c r="U2117" s="3" t="s">
        <v>5637</v>
      </c>
      <c r="V2117" s="41" t="str">
        <f>HYPERLINK("http://ictvonline.org/taxonomy/p/taxonomy-history?taxnode_id=20182083","ICTVonline=20182083")</f>
        <v>ICTVonline=20182083</v>
      </c>
    </row>
    <row r="2118" spans="1:22">
      <c r="A2118" s="3">
        <v>2117</v>
      </c>
      <c r="J2118" s="1" t="s">
        <v>1078</v>
      </c>
      <c r="L2118" s="1" t="s">
        <v>2011</v>
      </c>
      <c r="M2118" s="1" t="s">
        <v>1898</v>
      </c>
      <c r="N2118" s="1" t="s">
        <v>1895</v>
      </c>
      <c r="P2118" s="1" t="s">
        <v>913</v>
      </c>
      <c r="Q2118" s="3">
        <v>0</v>
      </c>
      <c r="R2118" s="22" t="s">
        <v>2766</v>
      </c>
      <c r="S2118" s="22" t="s">
        <v>5099</v>
      </c>
      <c r="T2118" s="51">
        <v>25</v>
      </c>
      <c r="U2118" s="3" t="s">
        <v>5637</v>
      </c>
      <c r="V2118" s="41" t="str">
        <f>HYPERLINK("http://ictvonline.org/taxonomy/p/taxonomy-history?taxnode_id=20182084","ICTVonline=20182084")</f>
        <v>ICTVonline=20182084</v>
      </c>
    </row>
    <row r="2119" spans="1:22">
      <c r="A2119" s="3">
        <v>2118</v>
      </c>
      <c r="J2119" s="1" t="s">
        <v>1078</v>
      </c>
      <c r="L2119" s="1" t="s">
        <v>2011</v>
      </c>
      <c r="M2119" s="1" t="s">
        <v>1898</v>
      </c>
      <c r="N2119" s="1" t="s">
        <v>1895</v>
      </c>
      <c r="P2119" s="1" t="s">
        <v>1366</v>
      </c>
      <c r="Q2119" s="3">
        <v>0</v>
      </c>
      <c r="R2119" s="22" t="s">
        <v>2766</v>
      </c>
      <c r="S2119" s="22" t="s">
        <v>5099</v>
      </c>
      <c r="T2119" s="51">
        <v>25</v>
      </c>
      <c r="U2119" s="3" t="s">
        <v>5637</v>
      </c>
      <c r="V2119" s="41" t="str">
        <f>HYPERLINK("http://ictvonline.org/taxonomy/p/taxonomy-history?taxnode_id=20182085","ICTVonline=20182085")</f>
        <v>ICTVonline=20182085</v>
      </c>
    </row>
    <row r="2120" spans="1:22">
      <c r="A2120" s="3">
        <v>2119</v>
      </c>
      <c r="J2120" s="1" t="s">
        <v>1078</v>
      </c>
      <c r="L2120" s="1" t="s">
        <v>2011</v>
      </c>
      <c r="M2120" s="1" t="s">
        <v>1898</v>
      </c>
      <c r="N2120" s="1" t="s">
        <v>1895</v>
      </c>
      <c r="P2120" s="1" t="s">
        <v>574</v>
      </c>
      <c r="Q2120" s="3">
        <v>0</v>
      </c>
      <c r="R2120" s="22" t="s">
        <v>2766</v>
      </c>
      <c r="S2120" s="22" t="s">
        <v>5099</v>
      </c>
      <c r="T2120" s="51">
        <v>25</v>
      </c>
      <c r="U2120" s="3" t="s">
        <v>5637</v>
      </c>
      <c r="V2120" s="41" t="str">
        <f>HYPERLINK("http://ictvonline.org/taxonomy/p/taxonomy-history?taxnode_id=20182086","ICTVonline=20182086")</f>
        <v>ICTVonline=20182086</v>
      </c>
    </row>
    <row r="2121" spans="1:22">
      <c r="A2121" s="3">
        <v>2120</v>
      </c>
      <c r="J2121" s="1" t="s">
        <v>1078</v>
      </c>
      <c r="L2121" s="1" t="s">
        <v>2011</v>
      </c>
      <c r="M2121" s="1" t="s">
        <v>1898</v>
      </c>
      <c r="N2121" s="1" t="s">
        <v>1895</v>
      </c>
      <c r="P2121" s="1" t="s">
        <v>575</v>
      </c>
      <c r="Q2121" s="3">
        <v>0</v>
      </c>
      <c r="R2121" s="22" t="s">
        <v>2766</v>
      </c>
      <c r="S2121" s="22" t="s">
        <v>5099</v>
      </c>
      <c r="T2121" s="51">
        <v>25</v>
      </c>
      <c r="U2121" s="3" t="s">
        <v>5637</v>
      </c>
      <c r="V2121" s="41" t="str">
        <f>HYPERLINK("http://ictvonline.org/taxonomy/p/taxonomy-history?taxnode_id=20182087","ICTVonline=20182087")</f>
        <v>ICTVonline=20182087</v>
      </c>
    </row>
    <row r="2122" spans="1:22">
      <c r="A2122" s="3">
        <v>2121</v>
      </c>
      <c r="J2122" s="1" t="s">
        <v>1078</v>
      </c>
      <c r="L2122" s="1" t="s">
        <v>2011</v>
      </c>
      <c r="M2122" s="1" t="s">
        <v>1898</v>
      </c>
      <c r="N2122" s="1" t="s">
        <v>1896</v>
      </c>
      <c r="P2122" s="1" t="s">
        <v>576</v>
      </c>
      <c r="Q2122" s="3">
        <v>1</v>
      </c>
      <c r="R2122" s="22" t="s">
        <v>2766</v>
      </c>
      <c r="S2122" s="22" t="s">
        <v>5099</v>
      </c>
      <c r="T2122" s="51">
        <v>25</v>
      </c>
      <c r="U2122" s="3" t="s">
        <v>5637</v>
      </c>
      <c r="V2122" s="41" t="str">
        <f>HYPERLINK("http://ictvonline.org/taxonomy/p/taxonomy-history?taxnode_id=20182089","ICTVonline=20182089")</f>
        <v>ICTVonline=20182089</v>
      </c>
    </row>
    <row r="2123" spans="1:22">
      <c r="A2123" s="3">
        <v>2122</v>
      </c>
      <c r="J2123" s="1" t="s">
        <v>1078</v>
      </c>
      <c r="L2123" s="1" t="s">
        <v>2011</v>
      </c>
      <c r="M2123" s="1" t="s">
        <v>1898</v>
      </c>
      <c r="N2123" s="1" t="s">
        <v>1896</v>
      </c>
      <c r="P2123" s="1" t="s">
        <v>577</v>
      </c>
      <c r="Q2123" s="3">
        <v>0</v>
      </c>
      <c r="R2123" s="22" t="s">
        <v>2766</v>
      </c>
      <c r="S2123" s="22" t="s">
        <v>5099</v>
      </c>
      <c r="T2123" s="51">
        <v>25</v>
      </c>
      <c r="U2123" s="3" t="s">
        <v>5637</v>
      </c>
      <c r="V2123" s="41" t="str">
        <f>HYPERLINK("http://ictvonline.org/taxonomy/p/taxonomy-history?taxnode_id=20182090","ICTVonline=20182090")</f>
        <v>ICTVonline=20182090</v>
      </c>
    </row>
    <row r="2124" spans="1:22">
      <c r="A2124" s="3">
        <v>2123</v>
      </c>
      <c r="J2124" s="1" t="s">
        <v>1078</v>
      </c>
      <c r="L2124" s="1" t="s">
        <v>2011</v>
      </c>
      <c r="M2124" s="1" t="s">
        <v>1898</v>
      </c>
      <c r="N2124" s="1" t="s">
        <v>1896</v>
      </c>
      <c r="P2124" s="1" t="s">
        <v>2207</v>
      </c>
      <c r="Q2124" s="3">
        <v>0</v>
      </c>
      <c r="R2124" s="22" t="s">
        <v>2766</v>
      </c>
      <c r="S2124" s="22" t="s">
        <v>5097</v>
      </c>
      <c r="T2124" s="51">
        <v>27</v>
      </c>
      <c r="U2124" s="3" t="s">
        <v>5638</v>
      </c>
      <c r="V2124" s="41" t="str">
        <f>HYPERLINK("http://ictvonline.org/taxonomy/p/taxonomy-history?taxnode_id=20182091","ICTVonline=20182091")</f>
        <v>ICTVonline=20182091</v>
      </c>
    </row>
    <row r="2125" spans="1:22">
      <c r="A2125" s="3">
        <v>2124</v>
      </c>
      <c r="J2125" s="1" t="s">
        <v>1078</v>
      </c>
      <c r="L2125" s="1" t="s">
        <v>2011</v>
      </c>
      <c r="M2125" s="1" t="s">
        <v>1898</v>
      </c>
      <c r="N2125" s="1" t="s">
        <v>1896</v>
      </c>
      <c r="P2125" s="1" t="s">
        <v>578</v>
      </c>
      <c r="Q2125" s="3">
        <v>0</v>
      </c>
      <c r="R2125" s="22" t="s">
        <v>2766</v>
      </c>
      <c r="S2125" s="22" t="s">
        <v>5099</v>
      </c>
      <c r="T2125" s="51">
        <v>25</v>
      </c>
      <c r="U2125" s="3" t="s">
        <v>5637</v>
      </c>
      <c r="V2125" s="41" t="str">
        <f>HYPERLINK("http://ictvonline.org/taxonomy/p/taxonomy-history?taxnode_id=20182092","ICTVonline=20182092")</f>
        <v>ICTVonline=20182092</v>
      </c>
    </row>
    <row r="2126" spans="1:22">
      <c r="A2126" s="3">
        <v>2125</v>
      </c>
      <c r="J2126" s="1" t="s">
        <v>1078</v>
      </c>
      <c r="L2126" s="1" t="s">
        <v>2011</v>
      </c>
      <c r="M2126" s="1" t="s">
        <v>1898</v>
      </c>
      <c r="N2126" s="1" t="s">
        <v>1896</v>
      </c>
      <c r="P2126" s="1" t="s">
        <v>5639</v>
      </c>
      <c r="Q2126" s="3">
        <v>0</v>
      </c>
      <c r="R2126" s="22" t="s">
        <v>2766</v>
      </c>
      <c r="S2126" s="22" t="s">
        <v>5097</v>
      </c>
      <c r="T2126" s="51">
        <v>32</v>
      </c>
      <c r="U2126" s="3" t="s">
        <v>5640</v>
      </c>
      <c r="V2126" s="41" t="str">
        <f>HYPERLINK("http://ictvonline.org/taxonomy/p/taxonomy-history?taxnode_id=20185626","ICTVonline=20185626")</f>
        <v>ICTVonline=20185626</v>
      </c>
    </row>
    <row r="2127" spans="1:22">
      <c r="A2127" s="3">
        <v>2126</v>
      </c>
      <c r="J2127" s="1" t="s">
        <v>1078</v>
      </c>
      <c r="L2127" s="1" t="s">
        <v>2011</v>
      </c>
      <c r="M2127" s="1" t="s">
        <v>1898</v>
      </c>
      <c r="N2127" s="1" t="s">
        <v>1896</v>
      </c>
      <c r="P2127" s="1" t="s">
        <v>918</v>
      </c>
      <c r="Q2127" s="3">
        <v>0</v>
      </c>
      <c r="R2127" s="22" t="s">
        <v>2766</v>
      </c>
      <c r="S2127" s="22" t="s">
        <v>5099</v>
      </c>
      <c r="T2127" s="51">
        <v>25</v>
      </c>
      <c r="U2127" s="3" t="s">
        <v>5637</v>
      </c>
      <c r="V2127" s="41" t="str">
        <f>HYPERLINK("http://ictvonline.org/taxonomy/p/taxonomy-history?taxnode_id=20182093","ICTVonline=20182093")</f>
        <v>ICTVonline=20182093</v>
      </c>
    </row>
    <row r="2128" spans="1:22">
      <c r="A2128" s="3">
        <v>2127</v>
      </c>
      <c r="J2128" s="1" t="s">
        <v>1078</v>
      </c>
      <c r="L2128" s="1" t="s">
        <v>2011</v>
      </c>
      <c r="M2128" s="1" t="s">
        <v>1898</v>
      </c>
      <c r="N2128" s="1" t="s">
        <v>1896</v>
      </c>
      <c r="P2128" s="1" t="s">
        <v>5641</v>
      </c>
      <c r="Q2128" s="3">
        <v>0</v>
      </c>
      <c r="R2128" s="22" t="s">
        <v>2766</v>
      </c>
      <c r="S2128" s="22" t="s">
        <v>5097</v>
      </c>
      <c r="T2128" s="51">
        <v>32</v>
      </c>
      <c r="U2128" s="3" t="s">
        <v>5640</v>
      </c>
      <c r="V2128" s="41" t="str">
        <f>HYPERLINK("http://ictvonline.org/taxonomy/p/taxonomy-history?taxnode_id=20185627","ICTVonline=20185627")</f>
        <v>ICTVonline=20185627</v>
      </c>
    </row>
    <row r="2129" spans="1:22">
      <c r="A2129" s="3">
        <v>2128</v>
      </c>
      <c r="J2129" s="1" t="s">
        <v>1078</v>
      </c>
      <c r="L2129" s="1" t="s">
        <v>2011</v>
      </c>
      <c r="M2129" s="1" t="s">
        <v>1898</v>
      </c>
      <c r="N2129" s="1" t="s">
        <v>1897</v>
      </c>
      <c r="P2129" s="1" t="s">
        <v>3763</v>
      </c>
      <c r="Q2129" s="3">
        <v>0</v>
      </c>
      <c r="R2129" s="22" t="s">
        <v>2766</v>
      </c>
      <c r="S2129" s="22" t="s">
        <v>5097</v>
      </c>
      <c r="T2129" s="51">
        <v>30</v>
      </c>
      <c r="U2129" s="3" t="s">
        <v>5642</v>
      </c>
      <c r="V2129" s="41" t="str">
        <f>HYPERLINK("http://ictvonline.org/taxonomy/p/taxonomy-history?taxnode_id=20182095","ICTVonline=20182095")</f>
        <v>ICTVonline=20182095</v>
      </c>
    </row>
    <row r="2130" spans="1:22">
      <c r="A2130" s="3">
        <v>2129</v>
      </c>
      <c r="J2130" s="1" t="s">
        <v>1078</v>
      </c>
      <c r="L2130" s="1" t="s">
        <v>2011</v>
      </c>
      <c r="M2130" s="1" t="s">
        <v>1898</v>
      </c>
      <c r="N2130" s="1" t="s">
        <v>1897</v>
      </c>
      <c r="P2130" s="1" t="s">
        <v>919</v>
      </c>
      <c r="Q2130" s="3">
        <v>0</v>
      </c>
      <c r="R2130" s="22" t="s">
        <v>2766</v>
      </c>
      <c r="S2130" s="22" t="s">
        <v>5099</v>
      </c>
      <c r="T2130" s="51">
        <v>25</v>
      </c>
      <c r="U2130" s="3" t="s">
        <v>5637</v>
      </c>
      <c r="V2130" s="41" t="str">
        <f>HYPERLINK("http://ictvonline.org/taxonomy/p/taxonomy-history?taxnode_id=20182096","ICTVonline=20182096")</f>
        <v>ICTVonline=20182096</v>
      </c>
    </row>
    <row r="2131" spans="1:22">
      <c r="A2131" s="3">
        <v>2130</v>
      </c>
      <c r="J2131" s="1" t="s">
        <v>1078</v>
      </c>
      <c r="L2131" s="1" t="s">
        <v>2011</v>
      </c>
      <c r="M2131" s="1" t="s">
        <v>1898</v>
      </c>
      <c r="N2131" s="1" t="s">
        <v>1897</v>
      </c>
      <c r="P2131" s="1" t="s">
        <v>920</v>
      </c>
      <c r="Q2131" s="3">
        <v>0</v>
      </c>
      <c r="R2131" s="22" t="s">
        <v>2766</v>
      </c>
      <c r="S2131" s="22" t="s">
        <v>5099</v>
      </c>
      <c r="T2131" s="51">
        <v>25</v>
      </c>
      <c r="U2131" s="3" t="s">
        <v>5637</v>
      </c>
      <c r="V2131" s="41" t="str">
        <f>HYPERLINK("http://ictvonline.org/taxonomy/p/taxonomy-history?taxnode_id=20182097","ICTVonline=20182097")</f>
        <v>ICTVonline=20182097</v>
      </c>
    </row>
    <row r="2132" spans="1:22">
      <c r="A2132" s="3">
        <v>2131</v>
      </c>
      <c r="J2132" s="1" t="s">
        <v>1078</v>
      </c>
      <c r="L2132" s="1" t="s">
        <v>2011</v>
      </c>
      <c r="M2132" s="1" t="s">
        <v>1898</v>
      </c>
      <c r="N2132" s="1" t="s">
        <v>1897</v>
      </c>
      <c r="P2132" s="1" t="s">
        <v>921</v>
      </c>
      <c r="Q2132" s="3">
        <v>0</v>
      </c>
      <c r="R2132" s="22" t="s">
        <v>2766</v>
      </c>
      <c r="S2132" s="22" t="s">
        <v>5099</v>
      </c>
      <c r="T2132" s="51">
        <v>25</v>
      </c>
      <c r="U2132" s="3" t="s">
        <v>5637</v>
      </c>
      <c r="V2132" s="41" t="str">
        <f>HYPERLINK("http://ictvonline.org/taxonomy/p/taxonomy-history?taxnode_id=20182098","ICTVonline=20182098")</f>
        <v>ICTVonline=20182098</v>
      </c>
    </row>
    <row r="2133" spans="1:22">
      <c r="A2133" s="3">
        <v>2132</v>
      </c>
      <c r="J2133" s="1" t="s">
        <v>1078</v>
      </c>
      <c r="L2133" s="1" t="s">
        <v>2011</v>
      </c>
      <c r="M2133" s="1" t="s">
        <v>1898</v>
      </c>
      <c r="N2133" s="1" t="s">
        <v>1897</v>
      </c>
      <c r="P2133" s="1" t="s">
        <v>580</v>
      </c>
      <c r="Q2133" s="3">
        <v>0</v>
      </c>
      <c r="R2133" s="22" t="s">
        <v>2766</v>
      </c>
      <c r="S2133" s="22" t="s">
        <v>5099</v>
      </c>
      <c r="T2133" s="51">
        <v>25</v>
      </c>
      <c r="U2133" s="3" t="s">
        <v>5637</v>
      </c>
      <c r="V2133" s="41" t="str">
        <f>HYPERLINK("http://ictvonline.org/taxonomy/p/taxonomy-history?taxnode_id=20182099","ICTVonline=20182099")</f>
        <v>ICTVonline=20182099</v>
      </c>
    </row>
    <row r="2134" spans="1:22">
      <c r="A2134" s="3">
        <v>2133</v>
      </c>
      <c r="J2134" s="1" t="s">
        <v>1078</v>
      </c>
      <c r="L2134" s="1" t="s">
        <v>2011</v>
      </c>
      <c r="M2134" s="1" t="s">
        <v>1898</v>
      </c>
      <c r="N2134" s="1" t="s">
        <v>1897</v>
      </c>
      <c r="P2134" s="1" t="s">
        <v>581</v>
      </c>
      <c r="Q2134" s="3">
        <v>0</v>
      </c>
      <c r="R2134" s="22" t="s">
        <v>2766</v>
      </c>
      <c r="S2134" s="22" t="s">
        <v>5099</v>
      </c>
      <c r="T2134" s="51">
        <v>25</v>
      </c>
      <c r="U2134" s="3" t="s">
        <v>5637</v>
      </c>
      <c r="V2134" s="41" t="str">
        <f>HYPERLINK("http://ictvonline.org/taxonomy/p/taxonomy-history?taxnode_id=20182100","ICTVonline=20182100")</f>
        <v>ICTVonline=20182100</v>
      </c>
    </row>
    <row r="2135" spans="1:22">
      <c r="A2135" s="3">
        <v>2134</v>
      </c>
      <c r="J2135" s="1" t="s">
        <v>1078</v>
      </c>
      <c r="L2135" s="1" t="s">
        <v>2011</v>
      </c>
      <c r="M2135" s="1" t="s">
        <v>1898</v>
      </c>
      <c r="N2135" s="1" t="s">
        <v>1897</v>
      </c>
      <c r="P2135" s="1" t="s">
        <v>582</v>
      </c>
      <c r="Q2135" s="3">
        <v>0</v>
      </c>
      <c r="R2135" s="22" t="s">
        <v>2766</v>
      </c>
      <c r="S2135" s="22" t="s">
        <v>5099</v>
      </c>
      <c r="T2135" s="51">
        <v>25</v>
      </c>
      <c r="U2135" s="3" t="s">
        <v>5637</v>
      </c>
      <c r="V2135" s="41" t="str">
        <f>HYPERLINK("http://ictvonline.org/taxonomy/p/taxonomy-history?taxnode_id=20182101","ICTVonline=20182101")</f>
        <v>ICTVonline=20182101</v>
      </c>
    </row>
    <row r="2136" spans="1:22">
      <c r="A2136" s="3">
        <v>2135</v>
      </c>
      <c r="J2136" s="1" t="s">
        <v>1078</v>
      </c>
      <c r="L2136" s="1" t="s">
        <v>2011</v>
      </c>
      <c r="M2136" s="1" t="s">
        <v>1898</v>
      </c>
      <c r="N2136" s="1" t="s">
        <v>1897</v>
      </c>
      <c r="P2136" s="1" t="s">
        <v>583</v>
      </c>
      <c r="Q2136" s="3">
        <v>0</v>
      </c>
      <c r="R2136" s="22" t="s">
        <v>2766</v>
      </c>
      <c r="S2136" s="22" t="s">
        <v>5099</v>
      </c>
      <c r="T2136" s="51">
        <v>25</v>
      </c>
      <c r="U2136" s="3" t="s">
        <v>5637</v>
      </c>
      <c r="V2136" s="41" t="str">
        <f>HYPERLINK("http://ictvonline.org/taxonomy/p/taxonomy-history?taxnode_id=20182102","ICTVonline=20182102")</f>
        <v>ICTVonline=20182102</v>
      </c>
    </row>
    <row r="2137" spans="1:22">
      <c r="A2137" s="3">
        <v>2136</v>
      </c>
      <c r="J2137" s="1" t="s">
        <v>1078</v>
      </c>
      <c r="L2137" s="1" t="s">
        <v>2011</v>
      </c>
      <c r="M2137" s="1" t="s">
        <v>1898</v>
      </c>
      <c r="N2137" s="1" t="s">
        <v>1897</v>
      </c>
      <c r="P2137" s="1" t="s">
        <v>584</v>
      </c>
      <c r="Q2137" s="3">
        <v>0</v>
      </c>
      <c r="R2137" s="22" t="s">
        <v>2766</v>
      </c>
      <c r="S2137" s="22" t="s">
        <v>5099</v>
      </c>
      <c r="T2137" s="51">
        <v>25</v>
      </c>
      <c r="U2137" s="3" t="s">
        <v>5637</v>
      </c>
      <c r="V2137" s="41" t="str">
        <f>HYPERLINK("http://ictvonline.org/taxonomy/p/taxonomy-history?taxnode_id=20182103","ICTVonline=20182103")</f>
        <v>ICTVonline=20182103</v>
      </c>
    </row>
    <row r="2138" spans="1:22">
      <c r="A2138" s="3">
        <v>2137</v>
      </c>
      <c r="J2138" s="1" t="s">
        <v>1078</v>
      </c>
      <c r="L2138" s="1" t="s">
        <v>2011</v>
      </c>
      <c r="M2138" s="1" t="s">
        <v>1898</v>
      </c>
      <c r="N2138" s="1" t="s">
        <v>1897</v>
      </c>
      <c r="P2138" s="1" t="s">
        <v>2208</v>
      </c>
      <c r="Q2138" s="3">
        <v>0</v>
      </c>
      <c r="R2138" s="22" t="s">
        <v>2766</v>
      </c>
      <c r="S2138" s="22" t="s">
        <v>5097</v>
      </c>
      <c r="T2138" s="51">
        <v>27</v>
      </c>
      <c r="U2138" s="3" t="s">
        <v>5643</v>
      </c>
      <c r="V2138" s="41" t="str">
        <f>HYPERLINK("http://ictvonline.org/taxonomy/p/taxonomy-history?taxnode_id=20182104","ICTVonline=20182104")</f>
        <v>ICTVonline=20182104</v>
      </c>
    </row>
    <row r="2139" spans="1:22">
      <c r="A2139" s="3">
        <v>2138</v>
      </c>
      <c r="J2139" s="1" t="s">
        <v>1078</v>
      </c>
      <c r="L2139" s="1" t="s">
        <v>2011</v>
      </c>
      <c r="M2139" s="1" t="s">
        <v>1898</v>
      </c>
      <c r="N2139" s="1" t="s">
        <v>1897</v>
      </c>
      <c r="P2139" s="1" t="s">
        <v>585</v>
      </c>
      <c r="Q2139" s="3">
        <v>0</v>
      </c>
      <c r="R2139" s="22" t="s">
        <v>2766</v>
      </c>
      <c r="S2139" s="22" t="s">
        <v>5099</v>
      </c>
      <c r="T2139" s="51">
        <v>25</v>
      </c>
      <c r="U2139" s="3" t="s">
        <v>5637</v>
      </c>
      <c r="V2139" s="41" t="str">
        <f>HYPERLINK("http://ictvonline.org/taxonomy/p/taxonomy-history?taxnode_id=20182105","ICTVonline=20182105")</f>
        <v>ICTVonline=20182105</v>
      </c>
    </row>
    <row r="2140" spans="1:22">
      <c r="A2140" s="3">
        <v>2139</v>
      </c>
      <c r="J2140" s="1" t="s">
        <v>1078</v>
      </c>
      <c r="L2140" s="1" t="s">
        <v>2011</v>
      </c>
      <c r="M2140" s="1" t="s">
        <v>1898</v>
      </c>
      <c r="N2140" s="1" t="s">
        <v>1897</v>
      </c>
      <c r="P2140" s="1" t="s">
        <v>586</v>
      </c>
      <c r="Q2140" s="3">
        <v>0</v>
      </c>
      <c r="R2140" s="22" t="s">
        <v>2766</v>
      </c>
      <c r="S2140" s="22" t="s">
        <v>5099</v>
      </c>
      <c r="T2140" s="51">
        <v>25</v>
      </c>
      <c r="U2140" s="3" t="s">
        <v>5637</v>
      </c>
      <c r="V2140" s="41" t="str">
        <f>HYPERLINK("http://ictvonline.org/taxonomy/p/taxonomy-history?taxnode_id=20182106","ICTVonline=20182106")</f>
        <v>ICTVonline=20182106</v>
      </c>
    </row>
    <row r="2141" spans="1:22">
      <c r="A2141" s="3">
        <v>2140</v>
      </c>
      <c r="J2141" s="1" t="s">
        <v>1078</v>
      </c>
      <c r="L2141" s="1" t="s">
        <v>2011</v>
      </c>
      <c r="M2141" s="1" t="s">
        <v>1898</v>
      </c>
      <c r="N2141" s="1" t="s">
        <v>1897</v>
      </c>
      <c r="P2141" s="1" t="s">
        <v>587</v>
      </c>
      <c r="Q2141" s="3">
        <v>0</v>
      </c>
      <c r="R2141" s="22" t="s">
        <v>2766</v>
      </c>
      <c r="S2141" s="22" t="s">
        <v>5099</v>
      </c>
      <c r="T2141" s="51">
        <v>25</v>
      </c>
      <c r="U2141" s="3" t="s">
        <v>5637</v>
      </c>
      <c r="V2141" s="41" t="str">
        <f>HYPERLINK("http://ictvonline.org/taxonomy/p/taxonomy-history?taxnode_id=20182107","ICTVonline=20182107")</f>
        <v>ICTVonline=20182107</v>
      </c>
    </row>
    <row r="2142" spans="1:22">
      <c r="A2142" s="3">
        <v>2141</v>
      </c>
      <c r="J2142" s="1" t="s">
        <v>1078</v>
      </c>
      <c r="L2142" s="1" t="s">
        <v>2011</v>
      </c>
      <c r="M2142" s="1" t="s">
        <v>1898</v>
      </c>
      <c r="N2142" s="1" t="s">
        <v>1897</v>
      </c>
      <c r="P2142" s="1" t="s">
        <v>1738</v>
      </c>
      <c r="Q2142" s="3">
        <v>0</v>
      </c>
      <c r="R2142" s="22" t="s">
        <v>2766</v>
      </c>
      <c r="S2142" s="22" t="s">
        <v>5099</v>
      </c>
      <c r="T2142" s="51">
        <v>25</v>
      </c>
      <c r="U2142" s="3" t="s">
        <v>5637</v>
      </c>
      <c r="V2142" s="41" t="str">
        <f>HYPERLINK("http://ictvonline.org/taxonomy/p/taxonomy-history?taxnode_id=20182108","ICTVonline=20182108")</f>
        <v>ICTVonline=20182108</v>
      </c>
    </row>
    <row r="2143" spans="1:22">
      <c r="A2143" s="3">
        <v>2142</v>
      </c>
      <c r="J2143" s="1" t="s">
        <v>1078</v>
      </c>
      <c r="L2143" s="1" t="s">
        <v>2011</v>
      </c>
      <c r="M2143" s="1" t="s">
        <v>1898</v>
      </c>
      <c r="N2143" s="1" t="s">
        <v>1897</v>
      </c>
      <c r="P2143" s="1" t="s">
        <v>1739</v>
      </c>
      <c r="Q2143" s="3">
        <v>0</v>
      </c>
      <c r="R2143" s="22" t="s">
        <v>2766</v>
      </c>
      <c r="S2143" s="22" t="s">
        <v>5099</v>
      </c>
      <c r="T2143" s="51">
        <v>25</v>
      </c>
      <c r="U2143" s="3" t="s">
        <v>5637</v>
      </c>
      <c r="V2143" s="41" t="str">
        <f>HYPERLINK("http://ictvonline.org/taxonomy/p/taxonomy-history?taxnode_id=20182109","ICTVonline=20182109")</f>
        <v>ICTVonline=20182109</v>
      </c>
    </row>
    <row r="2144" spans="1:22">
      <c r="A2144" s="3">
        <v>2143</v>
      </c>
      <c r="J2144" s="1" t="s">
        <v>1078</v>
      </c>
      <c r="L2144" s="1" t="s">
        <v>2011</v>
      </c>
      <c r="M2144" s="1" t="s">
        <v>1898</v>
      </c>
      <c r="N2144" s="1" t="s">
        <v>1897</v>
      </c>
      <c r="P2144" s="1" t="s">
        <v>1740</v>
      </c>
      <c r="Q2144" s="3">
        <v>0</v>
      </c>
      <c r="R2144" s="22" t="s">
        <v>2766</v>
      </c>
      <c r="S2144" s="22" t="s">
        <v>5099</v>
      </c>
      <c r="T2144" s="51">
        <v>25</v>
      </c>
      <c r="U2144" s="3" t="s">
        <v>5637</v>
      </c>
      <c r="V2144" s="41" t="str">
        <f>HYPERLINK("http://ictvonline.org/taxonomy/p/taxonomy-history?taxnode_id=20182110","ICTVonline=20182110")</f>
        <v>ICTVonline=20182110</v>
      </c>
    </row>
    <row r="2145" spans="1:22">
      <c r="A2145" s="3">
        <v>2144</v>
      </c>
      <c r="J2145" s="1" t="s">
        <v>1078</v>
      </c>
      <c r="L2145" s="1" t="s">
        <v>2011</v>
      </c>
      <c r="M2145" s="1" t="s">
        <v>1898</v>
      </c>
      <c r="N2145" s="1" t="s">
        <v>1897</v>
      </c>
      <c r="P2145" s="1" t="s">
        <v>1741</v>
      </c>
      <c r="Q2145" s="3">
        <v>0</v>
      </c>
      <c r="R2145" s="22" t="s">
        <v>2766</v>
      </c>
      <c r="S2145" s="22" t="s">
        <v>5099</v>
      </c>
      <c r="T2145" s="51">
        <v>25</v>
      </c>
      <c r="U2145" s="3" t="s">
        <v>5637</v>
      </c>
      <c r="V2145" s="41" t="str">
        <f>HYPERLINK("http://ictvonline.org/taxonomy/p/taxonomy-history?taxnode_id=20182111","ICTVonline=20182111")</f>
        <v>ICTVonline=20182111</v>
      </c>
    </row>
    <row r="2146" spans="1:22">
      <c r="A2146" s="3">
        <v>2145</v>
      </c>
      <c r="J2146" s="1" t="s">
        <v>1078</v>
      </c>
      <c r="L2146" s="1" t="s">
        <v>2011</v>
      </c>
      <c r="M2146" s="1" t="s">
        <v>1898</v>
      </c>
      <c r="N2146" s="1" t="s">
        <v>1897</v>
      </c>
      <c r="P2146" s="1" t="s">
        <v>1742</v>
      </c>
      <c r="Q2146" s="3">
        <v>0</v>
      </c>
      <c r="R2146" s="22" t="s">
        <v>2766</v>
      </c>
      <c r="S2146" s="22" t="s">
        <v>5099</v>
      </c>
      <c r="T2146" s="51">
        <v>25</v>
      </c>
      <c r="U2146" s="3" t="s">
        <v>5637</v>
      </c>
      <c r="V2146" s="41" t="str">
        <f>HYPERLINK("http://ictvonline.org/taxonomy/p/taxonomy-history?taxnode_id=20182112","ICTVonline=20182112")</f>
        <v>ICTVonline=20182112</v>
      </c>
    </row>
    <row r="2147" spans="1:22">
      <c r="A2147" s="3">
        <v>2146</v>
      </c>
      <c r="J2147" s="1" t="s">
        <v>1078</v>
      </c>
      <c r="L2147" s="1" t="s">
        <v>2011</v>
      </c>
      <c r="M2147" s="1" t="s">
        <v>1898</v>
      </c>
      <c r="N2147" s="1" t="s">
        <v>1897</v>
      </c>
      <c r="P2147" s="1" t="s">
        <v>1743</v>
      </c>
      <c r="Q2147" s="3">
        <v>0</v>
      </c>
      <c r="R2147" s="22" t="s">
        <v>2766</v>
      </c>
      <c r="S2147" s="22" t="s">
        <v>5099</v>
      </c>
      <c r="T2147" s="51">
        <v>25</v>
      </c>
      <c r="U2147" s="3" t="s">
        <v>5637</v>
      </c>
      <c r="V2147" s="41" t="str">
        <f>HYPERLINK("http://ictvonline.org/taxonomy/p/taxonomy-history?taxnode_id=20182113","ICTVonline=20182113")</f>
        <v>ICTVonline=20182113</v>
      </c>
    </row>
    <row r="2148" spans="1:22">
      <c r="A2148" s="3">
        <v>2147</v>
      </c>
      <c r="J2148" s="1" t="s">
        <v>1078</v>
      </c>
      <c r="L2148" s="1" t="s">
        <v>2011</v>
      </c>
      <c r="M2148" s="1" t="s">
        <v>1898</v>
      </c>
      <c r="N2148" s="1" t="s">
        <v>1897</v>
      </c>
      <c r="P2148" s="1" t="s">
        <v>1744</v>
      </c>
      <c r="Q2148" s="3">
        <v>0</v>
      </c>
      <c r="R2148" s="22" t="s">
        <v>2766</v>
      </c>
      <c r="S2148" s="22" t="s">
        <v>5099</v>
      </c>
      <c r="T2148" s="51">
        <v>25</v>
      </c>
      <c r="U2148" s="3" t="s">
        <v>5637</v>
      </c>
      <c r="V2148" s="41" t="str">
        <f>HYPERLINK("http://ictvonline.org/taxonomy/p/taxonomy-history?taxnode_id=20182114","ICTVonline=20182114")</f>
        <v>ICTVonline=20182114</v>
      </c>
    </row>
    <row r="2149" spans="1:22">
      <c r="A2149" s="3">
        <v>2148</v>
      </c>
      <c r="J2149" s="1" t="s">
        <v>1078</v>
      </c>
      <c r="L2149" s="1" t="s">
        <v>2011</v>
      </c>
      <c r="M2149" s="1" t="s">
        <v>1898</v>
      </c>
      <c r="N2149" s="1" t="s">
        <v>1897</v>
      </c>
      <c r="P2149" s="1" t="s">
        <v>1745</v>
      </c>
      <c r="Q2149" s="3">
        <v>0</v>
      </c>
      <c r="R2149" s="22" t="s">
        <v>2766</v>
      </c>
      <c r="S2149" s="22" t="s">
        <v>5099</v>
      </c>
      <c r="T2149" s="51">
        <v>25</v>
      </c>
      <c r="U2149" s="3" t="s">
        <v>5637</v>
      </c>
      <c r="V2149" s="41" t="str">
        <f>HYPERLINK("http://ictvonline.org/taxonomy/p/taxonomy-history?taxnode_id=20182115","ICTVonline=20182115")</f>
        <v>ICTVonline=20182115</v>
      </c>
    </row>
    <row r="2150" spans="1:22">
      <c r="A2150" s="3">
        <v>2149</v>
      </c>
      <c r="J2150" s="1" t="s">
        <v>1078</v>
      </c>
      <c r="L2150" s="1" t="s">
        <v>2011</v>
      </c>
      <c r="M2150" s="1" t="s">
        <v>1898</v>
      </c>
      <c r="N2150" s="1" t="s">
        <v>1897</v>
      </c>
      <c r="P2150" s="1" t="s">
        <v>1746</v>
      </c>
      <c r="Q2150" s="3">
        <v>0</v>
      </c>
      <c r="R2150" s="22" t="s">
        <v>2766</v>
      </c>
      <c r="S2150" s="22" t="s">
        <v>5099</v>
      </c>
      <c r="T2150" s="51">
        <v>25</v>
      </c>
      <c r="U2150" s="3" t="s">
        <v>5637</v>
      </c>
      <c r="V2150" s="41" t="str">
        <f>HYPERLINK("http://ictvonline.org/taxonomy/p/taxonomy-history?taxnode_id=20182116","ICTVonline=20182116")</f>
        <v>ICTVonline=20182116</v>
      </c>
    </row>
    <row r="2151" spans="1:22">
      <c r="A2151" s="3">
        <v>2150</v>
      </c>
      <c r="J2151" s="1" t="s">
        <v>1078</v>
      </c>
      <c r="L2151" s="1" t="s">
        <v>2011</v>
      </c>
      <c r="M2151" s="1" t="s">
        <v>1898</v>
      </c>
      <c r="N2151" s="1" t="s">
        <v>1897</v>
      </c>
      <c r="P2151" s="1" t="s">
        <v>1747</v>
      </c>
      <c r="Q2151" s="3">
        <v>0</v>
      </c>
      <c r="R2151" s="22" t="s">
        <v>2766</v>
      </c>
      <c r="S2151" s="22" t="s">
        <v>5099</v>
      </c>
      <c r="T2151" s="51">
        <v>25</v>
      </c>
      <c r="U2151" s="3" t="s">
        <v>5637</v>
      </c>
      <c r="V2151" s="41" t="str">
        <f>HYPERLINK("http://ictvonline.org/taxonomy/p/taxonomy-history?taxnode_id=20182117","ICTVonline=20182117")</f>
        <v>ICTVonline=20182117</v>
      </c>
    </row>
    <row r="2152" spans="1:22">
      <c r="A2152" s="3">
        <v>2151</v>
      </c>
      <c r="J2152" s="1" t="s">
        <v>1078</v>
      </c>
      <c r="L2152" s="1" t="s">
        <v>2011</v>
      </c>
      <c r="M2152" s="1" t="s">
        <v>1898</v>
      </c>
      <c r="N2152" s="1" t="s">
        <v>1897</v>
      </c>
      <c r="P2152" s="1" t="s">
        <v>1748</v>
      </c>
      <c r="Q2152" s="3">
        <v>0</v>
      </c>
      <c r="R2152" s="22" t="s">
        <v>2766</v>
      </c>
      <c r="S2152" s="22" t="s">
        <v>5099</v>
      </c>
      <c r="T2152" s="51">
        <v>25</v>
      </c>
      <c r="U2152" s="3" t="s">
        <v>5637</v>
      </c>
      <c r="V2152" s="41" t="str">
        <f>HYPERLINK("http://ictvonline.org/taxonomy/p/taxonomy-history?taxnode_id=20182118","ICTVonline=20182118")</f>
        <v>ICTVonline=20182118</v>
      </c>
    </row>
    <row r="2153" spans="1:22">
      <c r="A2153" s="3">
        <v>2152</v>
      </c>
      <c r="J2153" s="1" t="s">
        <v>1078</v>
      </c>
      <c r="L2153" s="1" t="s">
        <v>2011</v>
      </c>
      <c r="M2153" s="1" t="s">
        <v>1898</v>
      </c>
      <c r="N2153" s="1" t="s">
        <v>1897</v>
      </c>
      <c r="P2153" s="1" t="s">
        <v>1749</v>
      </c>
      <c r="Q2153" s="3">
        <v>0</v>
      </c>
      <c r="R2153" s="22" t="s">
        <v>2766</v>
      </c>
      <c r="S2153" s="22" t="s">
        <v>5099</v>
      </c>
      <c r="T2153" s="51">
        <v>25</v>
      </c>
      <c r="U2153" s="3" t="s">
        <v>5637</v>
      </c>
      <c r="V2153" s="41" t="str">
        <f>HYPERLINK("http://ictvonline.org/taxonomy/p/taxonomy-history?taxnode_id=20182119","ICTVonline=20182119")</f>
        <v>ICTVonline=20182119</v>
      </c>
    </row>
    <row r="2154" spans="1:22">
      <c r="A2154" s="3">
        <v>2153</v>
      </c>
      <c r="J2154" s="1" t="s">
        <v>1078</v>
      </c>
      <c r="L2154" s="1" t="s">
        <v>2011</v>
      </c>
      <c r="M2154" s="1" t="s">
        <v>1898</v>
      </c>
      <c r="N2154" s="1" t="s">
        <v>1897</v>
      </c>
      <c r="P2154" s="1" t="s">
        <v>1750</v>
      </c>
      <c r="Q2154" s="3">
        <v>0</v>
      </c>
      <c r="R2154" s="22" t="s">
        <v>2766</v>
      </c>
      <c r="S2154" s="22" t="s">
        <v>5099</v>
      </c>
      <c r="T2154" s="51">
        <v>25</v>
      </c>
      <c r="U2154" s="3" t="s">
        <v>5637</v>
      </c>
      <c r="V2154" s="41" t="str">
        <f>HYPERLINK("http://ictvonline.org/taxonomy/p/taxonomy-history?taxnode_id=20182120","ICTVonline=20182120")</f>
        <v>ICTVonline=20182120</v>
      </c>
    </row>
    <row r="2155" spans="1:22">
      <c r="A2155" s="3">
        <v>2154</v>
      </c>
      <c r="J2155" s="1" t="s">
        <v>1078</v>
      </c>
      <c r="L2155" s="1" t="s">
        <v>2011</v>
      </c>
      <c r="M2155" s="1" t="s">
        <v>1898</v>
      </c>
      <c r="N2155" s="1" t="s">
        <v>1897</v>
      </c>
      <c r="P2155" s="1" t="s">
        <v>5</v>
      </c>
      <c r="Q2155" s="3">
        <v>0</v>
      </c>
      <c r="R2155" s="22" t="s">
        <v>2766</v>
      </c>
      <c r="S2155" s="22" t="s">
        <v>5097</v>
      </c>
      <c r="T2155" s="51">
        <v>26</v>
      </c>
      <c r="U2155" s="3" t="s">
        <v>5644</v>
      </c>
      <c r="V2155" s="41" t="str">
        <f>HYPERLINK("http://ictvonline.org/taxonomy/p/taxonomy-history?taxnode_id=20182121","ICTVonline=20182121")</f>
        <v>ICTVonline=20182121</v>
      </c>
    </row>
    <row r="2156" spans="1:22">
      <c r="A2156" s="3">
        <v>2155</v>
      </c>
      <c r="J2156" s="1" t="s">
        <v>1078</v>
      </c>
      <c r="L2156" s="1" t="s">
        <v>2011</v>
      </c>
      <c r="M2156" s="1" t="s">
        <v>1898</v>
      </c>
      <c r="N2156" s="1" t="s">
        <v>1897</v>
      </c>
      <c r="P2156" s="1" t="s">
        <v>3764</v>
      </c>
      <c r="Q2156" s="3">
        <v>0</v>
      </c>
      <c r="R2156" s="22" t="s">
        <v>2766</v>
      </c>
      <c r="S2156" s="22" t="s">
        <v>5097</v>
      </c>
      <c r="T2156" s="51">
        <v>30</v>
      </c>
      <c r="U2156" s="3" t="s">
        <v>5642</v>
      </c>
      <c r="V2156" s="41" t="str">
        <f>HYPERLINK("http://ictvonline.org/taxonomy/p/taxonomy-history?taxnode_id=20182122","ICTVonline=20182122")</f>
        <v>ICTVonline=20182122</v>
      </c>
    </row>
    <row r="2157" spans="1:22">
      <c r="A2157" s="3">
        <v>2156</v>
      </c>
      <c r="J2157" s="1" t="s">
        <v>1078</v>
      </c>
      <c r="L2157" s="1" t="s">
        <v>2011</v>
      </c>
      <c r="M2157" s="1" t="s">
        <v>1898</v>
      </c>
      <c r="N2157" s="1" t="s">
        <v>1897</v>
      </c>
      <c r="P2157" s="1" t="s">
        <v>1751</v>
      </c>
      <c r="Q2157" s="3">
        <v>0</v>
      </c>
      <c r="R2157" s="22" t="s">
        <v>2766</v>
      </c>
      <c r="S2157" s="22" t="s">
        <v>5099</v>
      </c>
      <c r="T2157" s="51">
        <v>25</v>
      </c>
      <c r="U2157" s="3" t="s">
        <v>5637</v>
      </c>
      <c r="V2157" s="41" t="str">
        <f>HYPERLINK("http://ictvonline.org/taxonomy/p/taxonomy-history?taxnode_id=20182123","ICTVonline=20182123")</f>
        <v>ICTVonline=20182123</v>
      </c>
    </row>
    <row r="2158" spans="1:22">
      <c r="A2158" s="3">
        <v>2157</v>
      </c>
      <c r="J2158" s="1" t="s">
        <v>1078</v>
      </c>
      <c r="L2158" s="1" t="s">
        <v>2011</v>
      </c>
      <c r="M2158" s="1" t="s">
        <v>1898</v>
      </c>
      <c r="N2158" s="1" t="s">
        <v>1897</v>
      </c>
      <c r="P2158" s="1" t="s">
        <v>1752</v>
      </c>
      <c r="Q2158" s="3">
        <v>0</v>
      </c>
      <c r="R2158" s="22" t="s">
        <v>2766</v>
      </c>
      <c r="S2158" s="22" t="s">
        <v>5099</v>
      </c>
      <c r="T2158" s="51">
        <v>25</v>
      </c>
      <c r="U2158" s="3" t="s">
        <v>5637</v>
      </c>
      <c r="V2158" s="41" t="str">
        <f>HYPERLINK("http://ictvonline.org/taxonomy/p/taxonomy-history?taxnode_id=20182124","ICTVonline=20182124")</f>
        <v>ICTVonline=20182124</v>
      </c>
    </row>
    <row r="2159" spans="1:22">
      <c r="A2159" s="3">
        <v>2158</v>
      </c>
      <c r="J2159" s="1" t="s">
        <v>1078</v>
      </c>
      <c r="L2159" s="1" t="s">
        <v>2011</v>
      </c>
      <c r="M2159" s="1" t="s">
        <v>1898</v>
      </c>
      <c r="N2159" s="1" t="s">
        <v>1897</v>
      </c>
      <c r="P2159" s="1" t="s">
        <v>1423</v>
      </c>
      <c r="Q2159" s="3">
        <v>0</v>
      </c>
      <c r="R2159" s="22" t="s">
        <v>2766</v>
      </c>
      <c r="S2159" s="22" t="s">
        <v>5099</v>
      </c>
      <c r="T2159" s="51">
        <v>25</v>
      </c>
      <c r="U2159" s="3" t="s">
        <v>5637</v>
      </c>
      <c r="V2159" s="41" t="str">
        <f>HYPERLINK("http://ictvonline.org/taxonomy/p/taxonomy-history?taxnode_id=20182125","ICTVonline=20182125")</f>
        <v>ICTVonline=20182125</v>
      </c>
    </row>
    <row r="2160" spans="1:22">
      <c r="A2160" s="3">
        <v>2159</v>
      </c>
      <c r="J2160" s="1" t="s">
        <v>1078</v>
      </c>
      <c r="L2160" s="1" t="s">
        <v>2011</v>
      </c>
      <c r="M2160" s="1" t="s">
        <v>1898</v>
      </c>
      <c r="N2160" s="1" t="s">
        <v>1897</v>
      </c>
      <c r="P2160" s="1" t="s">
        <v>1424</v>
      </c>
      <c r="Q2160" s="3">
        <v>0</v>
      </c>
      <c r="R2160" s="22" t="s">
        <v>2766</v>
      </c>
      <c r="S2160" s="22" t="s">
        <v>5099</v>
      </c>
      <c r="T2160" s="51">
        <v>25</v>
      </c>
      <c r="U2160" s="3" t="s">
        <v>5637</v>
      </c>
      <c r="V2160" s="41" t="str">
        <f>HYPERLINK("http://ictvonline.org/taxonomy/p/taxonomy-history?taxnode_id=20182126","ICTVonline=20182126")</f>
        <v>ICTVonline=20182126</v>
      </c>
    </row>
    <row r="2161" spans="1:22">
      <c r="A2161" s="3">
        <v>2160</v>
      </c>
      <c r="J2161" s="1" t="s">
        <v>1078</v>
      </c>
      <c r="L2161" s="1" t="s">
        <v>2011</v>
      </c>
      <c r="M2161" s="1" t="s">
        <v>1898</v>
      </c>
      <c r="N2161" s="1" t="s">
        <v>1897</v>
      </c>
      <c r="P2161" s="1" t="s">
        <v>1425</v>
      </c>
      <c r="Q2161" s="3">
        <v>0</v>
      </c>
      <c r="R2161" s="22" t="s">
        <v>2766</v>
      </c>
      <c r="S2161" s="22" t="s">
        <v>5099</v>
      </c>
      <c r="T2161" s="51">
        <v>25</v>
      </c>
      <c r="U2161" s="3" t="s">
        <v>5637</v>
      </c>
      <c r="V2161" s="41" t="str">
        <f>HYPERLINK("http://ictvonline.org/taxonomy/p/taxonomy-history?taxnode_id=20182127","ICTVonline=20182127")</f>
        <v>ICTVonline=20182127</v>
      </c>
    </row>
    <row r="2162" spans="1:22">
      <c r="A2162" s="3">
        <v>2161</v>
      </c>
      <c r="J2162" s="1" t="s">
        <v>1078</v>
      </c>
      <c r="L2162" s="1" t="s">
        <v>2011</v>
      </c>
      <c r="M2162" s="1" t="s">
        <v>1898</v>
      </c>
      <c r="N2162" s="1" t="s">
        <v>1897</v>
      </c>
      <c r="P2162" s="1" t="s">
        <v>5645</v>
      </c>
      <c r="Q2162" s="3">
        <v>0</v>
      </c>
      <c r="R2162" s="22" t="s">
        <v>2766</v>
      </c>
      <c r="S2162" s="22" t="s">
        <v>5097</v>
      </c>
      <c r="T2162" s="51">
        <v>32</v>
      </c>
      <c r="U2162" s="3" t="s">
        <v>5640</v>
      </c>
      <c r="V2162" s="41" t="str">
        <f>HYPERLINK("http://ictvonline.org/taxonomy/p/taxonomy-history?taxnode_id=20185628","ICTVonline=20185628")</f>
        <v>ICTVonline=20185628</v>
      </c>
    </row>
    <row r="2163" spans="1:22">
      <c r="A2163" s="3">
        <v>2162</v>
      </c>
      <c r="J2163" s="1" t="s">
        <v>1078</v>
      </c>
      <c r="L2163" s="1" t="s">
        <v>2011</v>
      </c>
      <c r="M2163" s="1" t="s">
        <v>1898</v>
      </c>
      <c r="N2163" s="1" t="s">
        <v>1897</v>
      </c>
      <c r="P2163" s="1" t="s">
        <v>1426</v>
      </c>
      <c r="Q2163" s="3">
        <v>0</v>
      </c>
      <c r="R2163" s="22" t="s">
        <v>2766</v>
      </c>
      <c r="S2163" s="22" t="s">
        <v>5099</v>
      </c>
      <c r="T2163" s="51">
        <v>25</v>
      </c>
      <c r="U2163" s="3" t="s">
        <v>5637</v>
      </c>
      <c r="V2163" s="41" t="str">
        <f>HYPERLINK("http://ictvonline.org/taxonomy/p/taxonomy-history?taxnode_id=20182128","ICTVonline=20182128")</f>
        <v>ICTVonline=20182128</v>
      </c>
    </row>
    <row r="2164" spans="1:22">
      <c r="A2164" s="3">
        <v>2163</v>
      </c>
      <c r="J2164" s="1" t="s">
        <v>1078</v>
      </c>
      <c r="L2164" s="1" t="s">
        <v>2011</v>
      </c>
      <c r="M2164" s="1" t="s">
        <v>1898</v>
      </c>
      <c r="N2164" s="1" t="s">
        <v>1897</v>
      </c>
      <c r="P2164" s="1" t="s">
        <v>1427</v>
      </c>
      <c r="Q2164" s="3">
        <v>0</v>
      </c>
      <c r="R2164" s="22" t="s">
        <v>2766</v>
      </c>
      <c r="S2164" s="22" t="s">
        <v>5099</v>
      </c>
      <c r="T2164" s="51">
        <v>25</v>
      </c>
      <c r="U2164" s="3" t="s">
        <v>5637</v>
      </c>
      <c r="V2164" s="41" t="str">
        <f>HYPERLINK("http://ictvonline.org/taxonomy/p/taxonomy-history?taxnode_id=20182129","ICTVonline=20182129")</f>
        <v>ICTVonline=20182129</v>
      </c>
    </row>
    <row r="2165" spans="1:22">
      <c r="A2165" s="3">
        <v>2164</v>
      </c>
      <c r="J2165" s="1" t="s">
        <v>1078</v>
      </c>
      <c r="L2165" s="1" t="s">
        <v>2011</v>
      </c>
      <c r="M2165" s="1" t="s">
        <v>1898</v>
      </c>
      <c r="N2165" s="1" t="s">
        <v>1897</v>
      </c>
      <c r="P2165" s="1" t="s">
        <v>5646</v>
      </c>
      <c r="Q2165" s="3">
        <v>0</v>
      </c>
      <c r="R2165" s="22" t="s">
        <v>2766</v>
      </c>
      <c r="S2165" s="22" t="s">
        <v>5097</v>
      </c>
      <c r="T2165" s="51">
        <v>32</v>
      </c>
      <c r="U2165" s="3" t="s">
        <v>5640</v>
      </c>
      <c r="V2165" s="41" t="str">
        <f>HYPERLINK("http://ictvonline.org/taxonomy/p/taxonomy-history?taxnode_id=20185629","ICTVonline=20185629")</f>
        <v>ICTVonline=20185629</v>
      </c>
    </row>
    <row r="2166" spans="1:22">
      <c r="A2166" s="3">
        <v>2165</v>
      </c>
      <c r="J2166" s="1" t="s">
        <v>1078</v>
      </c>
      <c r="L2166" s="1" t="s">
        <v>2011</v>
      </c>
      <c r="M2166" s="1" t="s">
        <v>1898</v>
      </c>
      <c r="N2166" s="1" t="s">
        <v>1897</v>
      </c>
      <c r="P2166" s="1" t="s">
        <v>1431</v>
      </c>
      <c r="Q2166" s="3">
        <v>1</v>
      </c>
      <c r="R2166" s="22" t="s">
        <v>2766</v>
      </c>
      <c r="S2166" s="22" t="s">
        <v>5099</v>
      </c>
      <c r="T2166" s="51">
        <v>25</v>
      </c>
      <c r="U2166" s="3" t="s">
        <v>5637</v>
      </c>
      <c r="V2166" s="41" t="str">
        <f>HYPERLINK("http://ictvonline.org/taxonomy/p/taxonomy-history?taxnode_id=20182130","ICTVonline=20182130")</f>
        <v>ICTVonline=20182130</v>
      </c>
    </row>
    <row r="2167" spans="1:22">
      <c r="A2167" s="3">
        <v>2166</v>
      </c>
      <c r="J2167" s="1" t="s">
        <v>1078</v>
      </c>
      <c r="L2167" s="1" t="s">
        <v>2011</v>
      </c>
      <c r="M2167" s="1" t="s">
        <v>1898</v>
      </c>
      <c r="N2167" s="1" t="s">
        <v>1897</v>
      </c>
      <c r="P2167" s="1" t="s">
        <v>1432</v>
      </c>
      <c r="Q2167" s="3">
        <v>0</v>
      </c>
      <c r="R2167" s="22" t="s">
        <v>2766</v>
      </c>
      <c r="S2167" s="22" t="s">
        <v>5099</v>
      </c>
      <c r="T2167" s="51">
        <v>25</v>
      </c>
      <c r="U2167" s="3" t="s">
        <v>5637</v>
      </c>
      <c r="V2167" s="41" t="str">
        <f>HYPERLINK("http://ictvonline.org/taxonomy/p/taxonomy-history?taxnode_id=20182131","ICTVonline=20182131")</f>
        <v>ICTVonline=20182131</v>
      </c>
    </row>
    <row r="2168" spans="1:22">
      <c r="A2168" s="3">
        <v>2167</v>
      </c>
      <c r="J2168" s="1" t="s">
        <v>1078</v>
      </c>
      <c r="L2168" s="1" t="s">
        <v>2011</v>
      </c>
      <c r="M2168" s="1" t="s">
        <v>1898</v>
      </c>
      <c r="N2168" s="1" t="s">
        <v>1897</v>
      </c>
      <c r="P2168" s="1" t="s">
        <v>1433</v>
      </c>
      <c r="Q2168" s="3">
        <v>0</v>
      </c>
      <c r="R2168" s="22" t="s">
        <v>2766</v>
      </c>
      <c r="S2168" s="22" t="s">
        <v>5099</v>
      </c>
      <c r="T2168" s="51">
        <v>25</v>
      </c>
      <c r="U2168" s="3" t="s">
        <v>5637</v>
      </c>
      <c r="V2168" s="41" t="str">
        <f>HYPERLINK("http://ictvonline.org/taxonomy/p/taxonomy-history?taxnode_id=20182132","ICTVonline=20182132")</f>
        <v>ICTVonline=20182132</v>
      </c>
    </row>
    <row r="2169" spans="1:22">
      <c r="A2169" s="3">
        <v>2168</v>
      </c>
      <c r="J2169" s="1" t="s">
        <v>1078</v>
      </c>
      <c r="L2169" s="1" t="s">
        <v>2011</v>
      </c>
      <c r="N2169" s="1" t="s">
        <v>638</v>
      </c>
      <c r="P2169" s="1" t="s">
        <v>639</v>
      </c>
      <c r="Q2169" s="3">
        <v>0</v>
      </c>
      <c r="R2169" s="22" t="s">
        <v>2766</v>
      </c>
      <c r="S2169" s="22" t="s">
        <v>5099</v>
      </c>
      <c r="T2169" s="51">
        <v>25</v>
      </c>
      <c r="U2169" s="3" t="s">
        <v>5647</v>
      </c>
      <c r="V2169" s="41" t="str">
        <f>HYPERLINK("http://ictvonline.org/taxonomy/p/taxonomy-history?taxnode_id=20182135","ICTVonline=20182135")</f>
        <v>ICTVonline=20182135</v>
      </c>
    </row>
    <row r="2170" spans="1:22">
      <c r="A2170" s="3">
        <v>2169</v>
      </c>
      <c r="J2170" s="1" t="s">
        <v>1078</v>
      </c>
      <c r="L2170" s="1" t="s">
        <v>2011</v>
      </c>
      <c r="N2170" s="1" t="s">
        <v>638</v>
      </c>
      <c r="P2170" s="1" t="s">
        <v>2334</v>
      </c>
      <c r="Q2170" s="3">
        <v>0</v>
      </c>
      <c r="R2170" s="22" t="s">
        <v>2766</v>
      </c>
      <c r="S2170" s="22" t="s">
        <v>5097</v>
      </c>
      <c r="T2170" s="51">
        <v>28</v>
      </c>
      <c r="U2170" s="3" t="s">
        <v>5648</v>
      </c>
      <c r="V2170" s="41" t="str">
        <f>HYPERLINK("http://ictvonline.org/taxonomy/p/taxonomy-history?taxnode_id=20182136","ICTVonline=20182136")</f>
        <v>ICTVonline=20182136</v>
      </c>
    </row>
    <row r="2171" spans="1:22">
      <c r="A2171" s="3">
        <v>2170</v>
      </c>
      <c r="J2171" s="1" t="s">
        <v>1078</v>
      </c>
      <c r="L2171" s="1" t="s">
        <v>2011</v>
      </c>
      <c r="N2171" s="1" t="s">
        <v>638</v>
      </c>
      <c r="P2171" s="1" t="s">
        <v>640</v>
      </c>
      <c r="Q2171" s="3">
        <v>1</v>
      </c>
      <c r="R2171" s="22" t="s">
        <v>2766</v>
      </c>
      <c r="S2171" s="22" t="s">
        <v>5099</v>
      </c>
      <c r="T2171" s="51">
        <v>25</v>
      </c>
      <c r="U2171" s="3" t="s">
        <v>5647</v>
      </c>
      <c r="V2171" s="41" t="str">
        <f>HYPERLINK("http://ictvonline.org/taxonomy/p/taxonomy-history?taxnode_id=20182137","ICTVonline=20182137")</f>
        <v>ICTVonline=20182137</v>
      </c>
    </row>
    <row r="2172" spans="1:22">
      <c r="A2172" s="3">
        <v>2171</v>
      </c>
      <c r="J2172" s="1" t="s">
        <v>1078</v>
      </c>
      <c r="L2172" s="1" t="s">
        <v>2011</v>
      </c>
      <c r="N2172" s="1" t="s">
        <v>638</v>
      </c>
      <c r="P2172" s="1" t="s">
        <v>4779</v>
      </c>
      <c r="Q2172" s="3">
        <v>0</v>
      </c>
      <c r="R2172" s="22" t="s">
        <v>2766</v>
      </c>
      <c r="S2172" s="22" t="s">
        <v>5097</v>
      </c>
      <c r="T2172" s="51">
        <v>31</v>
      </c>
      <c r="U2172" s="3" t="s">
        <v>5649</v>
      </c>
      <c r="V2172" s="41" t="str">
        <f>HYPERLINK("http://ictvonline.org/taxonomy/p/taxonomy-history?taxnode_id=20182138","ICTVonline=20182138")</f>
        <v>ICTVonline=20182138</v>
      </c>
    </row>
    <row r="2173" spans="1:22">
      <c r="A2173" s="3">
        <v>2172</v>
      </c>
      <c r="J2173" s="1" t="s">
        <v>1078</v>
      </c>
      <c r="L2173" s="1" t="s">
        <v>2011</v>
      </c>
      <c r="N2173" s="1" t="s">
        <v>638</v>
      </c>
      <c r="P2173" s="1" t="s">
        <v>641</v>
      </c>
      <c r="Q2173" s="3">
        <v>0</v>
      </c>
      <c r="R2173" s="22" t="s">
        <v>2766</v>
      </c>
      <c r="S2173" s="22" t="s">
        <v>5099</v>
      </c>
      <c r="T2173" s="51">
        <v>25</v>
      </c>
      <c r="U2173" s="3" t="s">
        <v>5647</v>
      </c>
      <c r="V2173" s="41" t="str">
        <f>HYPERLINK("http://ictvonline.org/taxonomy/p/taxonomy-history?taxnode_id=20182139","ICTVonline=20182139")</f>
        <v>ICTVonline=20182139</v>
      </c>
    </row>
    <row r="2174" spans="1:22">
      <c r="A2174" s="3">
        <v>2173</v>
      </c>
      <c r="J2174" s="1" t="s">
        <v>1078</v>
      </c>
      <c r="L2174" s="1" t="s">
        <v>2011</v>
      </c>
      <c r="N2174" s="1" t="s">
        <v>1788</v>
      </c>
      <c r="P2174" s="1" t="s">
        <v>1789</v>
      </c>
      <c r="Q2174" s="3">
        <v>1</v>
      </c>
      <c r="R2174" s="22" t="s">
        <v>2766</v>
      </c>
      <c r="S2174" s="22" t="s">
        <v>5099</v>
      </c>
      <c r="T2174" s="51">
        <v>25</v>
      </c>
      <c r="U2174" s="3" t="s">
        <v>5647</v>
      </c>
      <c r="V2174" s="41" t="str">
        <f>HYPERLINK("http://ictvonline.org/taxonomy/p/taxonomy-history?taxnode_id=20182141","ICTVonline=20182141")</f>
        <v>ICTVonline=20182141</v>
      </c>
    </row>
    <row r="2175" spans="1:22">
      <c r="A2175" s="3">
        <v>2174</v>
      </c>
      <c r="J2175" s="1" t="s">
        <v>1078</v>
      </c>
      <c r="L2175" s="1" t="s">
        <v>2011</v>
      </c>
      <c r="N2175" s="1" t="s">
        <v>634</v>
      </c>
      <c r="P2175" s="1" t="s">
        <v>2157</v>
      </c>
      <c r="Q2175" s="3">
        <v>0</v>
      </c>
      <c r="R2175" s="22" t="s">
        <v>2766</v>
      </c>
      <c r="S2175" s="22" t="s">
        <v>5097</v>
      </c>
      <c r="T2175" s="51">
        <v>25</v>
      </c>
      <c r="U2175" s="3" t="s">
        <v>5650</v>
      </c>
      <c r="V2175" s="41" t="str">
        <f>HYPERLINK("http://ictvonline.org/taxonomy/p/taxonomy-history?taxnode_id=20182143","ICTVonline=20182143")</f>
        <v>ICTVonline=20182143</v>
      </c>
    </row>
    <row r="2176" spans="1:22">
      <c r="A2176" s="3">
        <v>2175</v>
      </c>
      <c r="J2176" s="1" t="s">
        <v>1078</v>
      </c>
      <c r="L2176" s="1" t="s">
        <v>2011</v>
      </c>
      <c r="N2176" s="1" t="s">
        <v>634</v>
      </c>
      <c r="P2176" s="1" t="s">
        <v>635</v>
      </c>
      <c r="Q2176" s="3">
        <v>0</v>
      </c>
      <c r="R2176" s="22" t="s">
        <v>2766</v>
      </c>
      <c r="S2176" s="22" t="s">
        <v>5099</v>
      </c>
      <c r="T2176" s="51">
        <v>25</v>
      </c>
      <c r="U2176" s="3" t="s">
        <v>5647</v>
      </c>
      <c r="V2176" s="41" t="str">
        <f>HYPERLINK("http://ictvonline.org/taxonomy/p/taxonomy-history?taxnode_id=20182144","ICTVonline=20182144")</f>
        <v>ICTVonline=20182144</v>
      </c>
    </row>
    <row r="2177" spans="1:22">
      <c r="A2177" s="3">
        <v>2176</v>
      </c>
      <c r="J2177" s="1" t="s">
        <v>1078</v>
      </c>
      <c r="L2177" s="1" t="s">
        <v>2011</v>
      </c>
      <c r="N2177" s="1" t="s">
        <v>634</v>
      </c>
      <c r="P2177" s="1" t="s">
        <v>1519</v>
      </c>
      <c r="Q2177" s="3">
        <v>1</v>
      </c>
      <c r="R2177" s="22" t="s">
        <v>2766</v>
      </c>
      <c r="S2177" s="22" t="s">
        <v>5099</v>
      </c>
      <c r="T2177" s="51">
        <v>25</v>
      </c>
      <c r="U2177" s="3" t="s">
        <v>5647</v>
      </c>
      <c r="V2177" s="41" t="str">
        <f>HYPERLINK("http://ictvonline.org/taxonomy/p/taxonomy-history?taxnode_id=20182145","ICTVonline=20182145")</f>
        <v>ICTVonline=20182145</v>
      </c>
    </row>
    <row r="2178" spans="1:22">
      <c r="A2178" s="3">
        <v>2177</v>
      </c>
      <c r="J2178" s="1" t="s">
        <v>1078</v>
      </c>
      <c r="L2178" s="1" t="s">
        <v>2011</v>
      </c>
      <c r="N2178" s="1" t="s">
        <v>2008</v>
      </c>
      <c r="P2178" s="1" t="s">
        <v>3765</v>
      </c>
      <c r="Q2178" s="3">
        <v>0</v>
      </c>
      <c r="R2178" s="22" t="s">
        <v>2766</v>
      </c>
      <c r="S2178" s="22" t="s">
        <v>5097</v>
      </c>
      <c r="T2178" s="51">
        <v>30</v>
      </c>
      <c r="U2178" s="3" t="s">
        <v>5651</v>
      </c>
      <c r="V2178" s="41" t="str">
        <f>HYPERLINK("http://ictvonline.org/taxonomy/p/taxonomy-history?taxnode_id=20182147","ICTVonline=20182147")</f>
        <v>ICTVonline=20182147</v>
      </c>
    </row>
    <row r="2179" spans="1:22">
      <c r="A2179" s="3">
        <v>2178</v>
      </c>
      <c r="J2179" s="1" t="s">
        <v>1078</v>
      </c>
      <c r="L2179" s="1" t="s">
        <v>2011</v>
      </c>
      <c r="N2179" s="1" t="s">
        <v>2008</v>
      </c>
      <c r="P2179" s="1" t="s">
        <v>2664</v>
      </c>
      <c r="Q2179" s="3">
        <v>0</v>
      </c>
      <c r="R2179" s="22" t="s">
        <v>2766</v>
      </c>
      <c r="S2179" s="22" t="s">
        <v>5097</v>
      </c>
      <c r="T2179" s="51">
        <v>29</v>
      </c>
      <c r="U2179" s="3" t="s">
        <v>5652</v>
      </c>
      <c r="V2179" s="41" t="str">
        <f>HYPERLINK("http://ictvonline.org/taxonomy/p/taxonomy-history?taxnode_id=20182148","ICTVonline=20182148")</f>
        <v>ICTVonline=20182148</v>
      </c>
    </row>
    <row r="2180" spans="1:22">
      <c r="A2180" s="3">
        <v>2179</v>
      </c>
      <c r="J2180" s="1" t="s">
        <v>1078</v>
      </c>
      <c r="L2180" s="1" t="s">
        <v>2011</v>
      </c>
      <c r="N2180" s="1" t="s">
        <v>2008</v>
      </c>
      <c r="P2180" s="1" t="s">
        <v>3766</v>
      </c>
      <c r="Q2180" s="3">
        <v>0</v>
      </c>
      <c r="R2180" s="22" t="s">
        <v>2766</v>
      </c>
      <c r="S2180" s="22" t="s">
        <v>5097</v>
      </c>
      <c r="T2180" s="51">
        <v>30</v>
      </c>
      <c r="U2180" s="3" t="s">
        <v>5651</v>
      </c>
      <c r="V2180" s="41" t="str">
        <f>HYPERLINK("http://ictvonline.org/taxonomy/p/taxonomy-history?taxnode_id=20182149","ICTVonline=20182149")</f>
        <v>ICTVonline=20182149</v>
      </c>
    </row>
    <row r="2181" spans="1:22">
      <c r="A2181" s="3">
        <v>2180</v>
      </c>
      <c r="J2181" s="1" t="s">
        <v>1078</v>
      </c>
      <c r="L2181" s="1" t="s">
        <v>2011</v>
      </c>
      <c r="N2181" s="1" t="s">
        <v>2008</v>
      </c>
      <c r="P2181" s="1" t="s">
        <v>4780</v>
      </c>
      <c r="Q2181" s="3">
        <v>0</v>
      </c>
      <c r="R2181" s="22" t="s">
        <v>2766</v>
      </c>
      <c r="S2181" s="22" t="s">
        <v>5097</v>
      </c>
      <c r="T2181" s="51">
        <v>31</v>
      </c>
      <c r="U2181" s="3" t="s">
        <v>5653</v>
      </c>
      <c r="V2181" s="41" t="str">
        <f>HYPERLINK("http://ictvonline.org/taxonomy/p/taxonomy-history?taxnode_id=20182150","ICTVonline=20182150")</f>
        <v>ICTVonline=20182150</v>
      </c>
    </row>
    <row r="2182" spans="1:22">
      <c r="A2182" s="3">
        <v>2181</v>
      </c>
      <c r="J2182" s="1" t="s">
        <v>1078</v>
      </c>
      <c r="L2182" s="1" t="s">
        <v>2011</v>
      </c>
      <c r="N2182" s="1" t="s">
        <v>2008</v>
      </c>
      <c r="P2182" s="1" t="s">
        <v>2010</v>
      </c>
      <c r="Q2182" s="3">
        <v>0</v>
      </c>
      <c r="R2182" s="22" t="s">
        <v>2766</v>
      </c>
      <c r="S2182" s="22" t="s">
        <v>5097</v>
      </c>
      <c r="T2182" s="51">
        <v>25</v>
      </c>
      <c r="U2182" s="3" t="s">
        <v>5654</v>
      </c>
      <c r="V2182" s="41" t="str">
        <f>HYPERLINK("http://ictvonline.org/taxonomy/p/taxonomy-history?taxnode_id=20182151","ICTVonline=20182151")</f>
        <v>ICTVonline=20182151</v>
      </c>
    </row>
    <row r="2183" spans="1:22">
      <c r="A2183" s="3">
        <v>2182</v>
      </c>
      <c r="J2183" s="1" t="s">
        <v>1078</v>
      </c>
      <c r="L2183" s="1" t="s">
        <v>2011</v>
      </c>
      <c r="N2183" s="1" t="s">
        <v>2008</v>
      </c>
      <c r="P2183" s="1" t="s">
        <v>2009</v>
      </c>
      <c r="Q2183" s="3">
        <v>1</v>
      </c>
      <c r="R2183" s="22" t="s">
        <v>2766</v>
      </c>
      <c r="S2183" s="22" t="s">
        <v>5102</v>
      </c>
      <c r="T2183" s="51">
        <v>25</v>
      </c>
      <c r="U2183" s="3" t="s">
        <v>5654</v>
      </c>
      <c r="V2183" s="41" t="str">
        <f>HYPERLINK("http://ictvonline.org/taxonomy/p/taxonomy-history?taxnode_id=20182152","ICTVonline=20182152")</f>
        <v>ICTVonline=20182152</v>
      </c>
    </row>
    <row r="2184" spans="1:22">
      <c r="A2184" s="3">
        <v>2183</v>
      </c>
      <c r="J2184" s="1" t="s">
        <v>1078</v>
      </c>
      <c r="L2184" s="1" t="s">
        <v>2011</v>
      </c>
      <c r="N2184" s="1" t="s">
        <v>1894</v>
      </c>
      <c r="P2184" s="1" t="s">
        <v>636</v>
      </c>
      <c r="Q2184" s="3">
        <v>0</v>
      </c>
      <c r="R2184" s="22" t="s">
        <v>2766</v>
      </c>
      <c r="S2184" s="22" t="s">
        <v>5099</v>
      </c>
      <c r="T2184" s="51">
        <v>25</v>
      </c>
      <c r="U2184" s="3" t="s">
        <v>5647</v>
      </c>
      <c r="V2184" s="41" t="str">
        <f>HYPERLINK("http://ictvonline.org/taxonomy/p/taxonomy-history?taxnode_id=20182159","ICTVonline=20182159")</f>
        <v>ICTVonline=20182159</v>
      </c>
    </row>
    <row r="2185" spans="1:22">
      <c r="A2185" s="3">
        <v>2184</v>
      </c>
      <c r="J2185" s="1" t="s">
        <v>1078</v>
      </c>
      <c r="L2185" s="1" t="s">
        <v>2011</v>
      </c>
      <c r="N2185" s="1" t="s">
        <v>1894</v>
      </c>
      <c r="P2185" s="1" t="s">
        <v>4782</v>
      </c>
      <c r="Q2185" s="3">
        <v>0</v>
      </c>
      <c r="R2185" s="22" t="s">
        <v>2766</v>
      </c>
      <c r="S2185" s="22" t="s">
        <v>5097</v>
      </c>
      <c r="T2185" s="51">
        <v>31</v>
      </c>
      <c r="U2185" s="3" t="s">
        <v>5653</v>
      </c>
      <c r="V2185" s="41" t="str">
        <f>HYPERLINK("http://ictvonline.org/taxonomy/p/taxonomy-history?taxnode_id=20182160","ICTVonline=20182160")</f>
        <v>ICTVonline=20182160</v>
      </c>
    </row>
    <row r="2186" spans="1:22">
      <c r="A2186" s="3">
        <v>2185</v>
      </c>
      <c r="J2186" s="1" t="s">
        <v>1078</v>
      </c>
      <c r="L2186" s="1" t="s">
        <v>2011</v>
      </c>
      <c r="N2186" s="1" t="s">
        <v>1894</v>
      </c>
      <c r="P2186" s="1" t="s">
        <v>637</v>
      </c>
      <c r="Q2186" s="3">
        <v>0</v>
      </c>
      <c r="R2186" s="22" t="s">
        <v>2766</v>
      </c>
      <c r="S2186" s="22" t="s">
        <v>5099</v>
      </c>
      <c r="T2186" s="51">
        <v>25</v>
      </c>
      <c r="U2186" s="3" t="s">
        <v>5647</v>
      </c>
      <c r="V2186" s="41" t="str">
        <f>HYPERLINK("http://ictvonline.org/taxonomy/p/taxonomy-history?taxnode_id=20182161","ICTVonline=20182161")</f>
        <v>ICTVonline=20182161</v>
      </c>
    </row>
    <row r="2187" spans="1:22">
      <c r="A2187" s="3">
        <v>2186</v>
      </c>
      <c r="J2187" s="1" t="s">
        <v>1078</v>
      </c>
      <c r="L2187" s="1" t="s">
        <v>2011</v>
      </c>
      <c r="N2187" s="1" t="s">
        <v>1894</v>
      </c>
      <c r="P2187" s="1" t="s">
        <v>1520</v>
      </c>
      <c r="Q2187" s="3">
        <v>1</v>
      </c>
      <c r="R2187" s="22" t="s">
        <v>2766</v>
      </c>
      <c r="S2187" s="22" t="s">
        <v>5099</v>
      </c>
      <c r="T2187" s="51">
        <v>25</v>
      </c>
      <c r="U2187" s="3" t="s">
        <v>5647</v>
      </c>
      <c r="V2187" s="41" t="str">
        <f>HYPERLINK("http://ictvonline.org/taxonomy/p/taxonomy-history?taxnode_id=20182162","ICTVonline=20182162")</f>
        <v>ICTVonline=20182162</v>
      </c>
    </row>
    <row r="2188" spans="1:22">
      <c r="A2188" s="3">
        <v>2187</v>
      </c>
      <c r="J2188" s="1" t="s">
        <v>1078</v>
      </c>
      <c r="L2188" s="1" t="s">
        <v>2011</v>
      </c>
      <c r="P2188" s="1" t="s">
        <v>2158</v>
      </c>
      <c r="Q2188" s="3">
        <v>0</v>
      </c>
      <c r="R2188" s="22" t="s">
        <v>2766</v>
      </c>
      <c r="S2188" s="22" t="s">
        <v>5097</v>
      </c>
      <c r="T2188" s="51">
        <v>25</v>
      </c>
      <c r="U2188" s="3" t="s">
        <v>5650</v>
      </c>
      <c r="V2188" s="41" t="str">
        <f>HYPERLINK("http://ictvonline.org/taxonomy/p/taxonomy-history?taxnode_id=20182154","ICTVonline=20182154")</f>
        <v>ICTVonline=20182154</v>
      </c>
    </row>
    <row r="2189" spans="1:22">
      <c r="A2189" s="3">
        <v>2188</v>
      </c>
      <c r="J2189" s="1" t="s">
        <v>1078</v>
      </c>
      <c r="L2189" s="1" t="s">
        <v>2011</v>
      </c>
      <c r="P2189" s="1" t="s">
        <v>4781</v>
      </c>
      <c r="Q2189" s="3">
        <v>0</v>
      </c>
      <c r="R2189" s="22" t="s">
        <v>2766</v>
      </c>
      <c r="S2189" s="22" t="s">
        <v>5097</v>
      </c>
      <c r="T2189" s="51">
        <v>31</v>
      </c>
      <c r="U2189" s="3" t="s">
        <v>5653</v>
      </c>
      <c r="V2189" s="41" t="str">
        <f>HYPERLINK("http://ictvonline.org/taxonomy/p/taxonomy-history?taxnode_id=20182155","ICTVonline=20182155")</f>
        <v>ICTVonline=20182155</v>
      </c>
    </row>
    <row r="2190" spans="1:22">
      <c r="A2190" s="3">
        <v>2189</v>
      </c>
      <c r="J2190" s="1" t="s">
        <v>1078</v>
      </c>
      <c r="L2190" s="1" t="s">
        <v>2011</v>
      </c>
      <c r="P2190" s="1" t="s">
        <v>5655</v>
      </c>
      <c r="Q2190" s="3">
        <v>0</v>
      </c>
      <c r="R2190" s="22" t="s">
        <v>2766</v>
      </c>
      <c r="S2190" s="22" t="s">
        <v>5097</v>
      </c>
      <c r="T2190" s="51">
        <v>32</v>
      </c>
      <c r="U2190" s="3" t="s">
        <v>5640</v>
      </c>
      <c r="V2190" s="41" t="str">
        <f>HYPERLINK("http://ictvonline.org/taxonomy/p/taxonomy-history?taxnode_id=20185630","ICTVonline=20185630")</f>
        <v>ICTVonline=20185630</v>
      </c>
    </row>
    <row r="2191" spans="1:22">
      <c r="A2191" s="3">
        <v>2190</v>
      </c>
      <c r="J2191" s="1" t="s">
        <v>1078</v>
      </c>
      <c r="L2191" s="1" t="s">
        <v>2011</v>
      </c>
      <c r="P2191" s="1" t="s">
        <v>1790</v>
      </c>
      <c r="Q2191" s="3">
        <v>0</v>
      </c>
      <c r="R2191" s="22" t="s">
        <v>2766</v>
      </c>
      <c r="S2191" s="22" t="s">
        <v>5099</v>
      </c>
      <c r="T2191" s="51">
        <v>25</v>
      </c>
      <c r="U2191" s="3" t="s">
        <v>5650</v>
      </c>
      <c r="V2191" s="41" t="str">
        <f>HYPERLINK("http://ictvonline.org/taxonomy/p/taxonomy-history?taxnode_id=20182156","ICTVonline=20182156")</f>
        <v>ICTVonline=20182156</v>
      </c>
    </row>
    <row r="2192" spans="1:22">
      <c r="A2192" s="3">
        <v>2191</v>
      </c>
      <c r="J2192" s="1" t="s">
        <v>1078</v>
      </c>
      <c r="L2192" s="1" t="s">
        <v>2011</v>
      </c>
      <c r="P2192" s="1" t="s">
        <v>1791</v>
      </c>
      <c r="Q2192" s="3">
        <v>0</v>
      </c>
      <c r="R2192" s="22" t="s">
        <v>2766</v>
      </c>
      <c r="S2192" s="22" t="s">
        <v>5099</v>
      </c>
      <c r="T2192" s="51">
        <v>25</v>
      </c>
      <c r="U2192" s="3" t="s">
        <v>5650</v>
      </c>
      <c r="V2192" s="41" t="str">
        <f>HYPERLINK("http://ictvonline.org/taxonomy/p/taxonomy-history?taxnode_id=20182157","ICTVonline=20182157")</f>
        <v>ICTVonline=20182157</v>
      </c>
    </row>
    <row r="2193" spans="1:22">
      <c r="A2193" s="3">
        <v>2192</v>
      </c>
      <c r="J2193" s="1" t="s">
        <v>1078</v>
      </c>
      <c r="N2193" s="1" t="s">
        <v>6</v>
      </c>
      <c r="P2193" s="1" t="s">
        <v>5656</v>
      </c>
      <c r="Q2193" s="3">
        <v>0</v>
      </c>
      <c r="R2193" s="22" t="s">
        <v>2766</v>
      </c>
      <c r="S2193" s="22" t="s">
        <v>5097</v>
      </c>
      <c r="T2193" s="51">
        <v>26</v>
      </c>
      <c r="U2193" s="3" t="s">
        <v>5657</v>
      </c>
      <c r="V2193" s="41" t="str">
        <f>HYPERLINK("http://ictvonline.org/taxonomy/p/taxonomy-history?taxnode_id=20182166","ICTVonline=20182166")</f>
        <v>ICTVonline=20182166</v>
      </c>
    </row>
    <row r="2194" spans="1:22">
      <c r="A2194" s="3">
        <v>2193</v>
      </c>
      <c r="J2194" s="1" t="s">
        <v>1078</v>
      </c>
      <c r="N2194" s="1" t="s">
        <v>6</v>
      </c>
      <c r="P2194" s="1" t="s">
        <v>7</v>
      </c>
      <c r="Q2194" s="3">
        <v>0</v>
      </c>
      <c r="R2194" s="22" t="s">
        <v>2766</v>
      </c>
      <c r="S2194" s="22" t="s">
        <v>5097</v>
      </c>
      <c r="T2194" s="51">
        <v>26</v>
      </c>
      <c r="U2194" s="3" t="s">
        <v>5657</v>
      </c>
      <c r="V2194" s="41" t="str">
        <f>HYPERLINK("http://ictvonline.org/taxonomy/p/taxonomy-history?taxnode_id=20182167","ICTVonline=20182167")</f>
        <v>ICTVonline=20182167</v>
      </c>
    </row>
    <row r="2195" spans="1:22">
      <c r="A2195" s="3">
        <v>2194</v>
      </c>
      <c r="J2195" s="1" t="s">
        <v>1078</v>
      </c>
      <c r="N2195" s="1" t="s">
        <v>6</v>
      </c>
      <c r="P2195" s="1" t="s">
        <v>8</v>
      </c>
      <c r="Q2195" s="3">
        <v>1</v>
      </c>
      <c r="R2195" s="22" t="s">
        <v>2766</v>
      </c>
      <c r="S2195" s="22" t="s">
        <v>5102</v>
      </c>
      <c r="T2195" s="51">
        <v>26</v>
      </c>
      <c r="U2195" s="3" t="s">
        <v>5657</v>
      </c>
      <c r="V2195" s="41" t="str">
        <f>HYPERLINK("http://ictvonline.org/taxonomy/p/taxonomy-history?taxnode_id=20182168","ICTVonline=20182168")</f>
        <v>ICTVonline=20182168</v>
      </c>
    </row>
    <row r="2196" spans="1:22">
      <c r="A2196" s="3">
        <v>2195</v>
      </c>
      <c r="J2196" s="1" t="s">
        <v>1078</v>
      </c>
      <c r="N2196" s="1" t="s">
        <v>9</v>
      </c>
      <c r="P2196" s="1" t="s">
        <v>10</v>
      </c>
      <c r="Q2196" s="3">
        <v>1</v>
      </c>
      <c r="R2196" s="22" t="s">
        <v>2766</v>
      </c>
      <c r="S2196" s="22" t="s">
        <v>5102</v>
      </c>
      <c r="T2196" s="51">
        <v>26</v>
      </c>
      <c r="U2196" s="3" t="s">
        <v>5658</v>
      </c>
      <c r="V2196" s="41" t="str">
        <f>HYPERLINK("http://ictvonline.org/taxonomy/p/taxonomy-history?taxnode_id=20182170","ICTVonline=20182170")</f>
        <v>ICTVonline=20182170</v>
      </c>
    </row>
    <row r="2197" spans="1:22">
      <c r="A2197" s="3">
        <v>2196</v>
      </c>
      <c r="J2197" s="1" t="s">
        <v>1174</v>
      </c>
      <c r="L2197" s="1" t="s">
        <v>298</v>
      </c>
      <c r="N2197" s="1" t="s">
        <v>411</v>
      </c>
      <c r="P2197" s="1" t="s">
        <v>5659</v>
      </c>
      <c r="Q2197" s="3">
        <v>0</v>
      </c>
      <c r="R2197" s="22" t="s">
        <v>2766</v>
      </c>
      <c r="S2197" s="22" t="s">
        <v>5097</v>
      </c>
      <c r="T2197" s="51">
        <v>32</v>
      </c>
      <c r="U2197" s="3" t="s">
        <v>5660</v>
      </c>
      <c r="V2197" s="41" t="str">
        <f>HYPERLINK("http://ictvonline.org/taxonomy/p/taxonomy-history?taxnode_id=20185631","ICTVonline=20185631")</f>
        <v>ICTVonline=20185631</v>
      </c>
    </row>
    <row r="2198" spans="1:22">
      <c r="A2198" s="3">
        <v>2197</v>
      </c>
      <c r="J2198" s="1" t="s">
        <v>1174</v>
      </c>
      <c r="L2198" s="1" t="s">
        <v>298</v>
      </c>
      <c r="N2198" s="1" t="s">
        <v>411</v>
      </c>
      <c r="P2198" s="1" t="s">
        <v>5661</v>
      </c>
      <c r="Q2198" s="3">
        <v>0</v>
      </c>
      <c r="R2198" s="22" t="s">
        <v>2766</v>
      </c>
      <c r="S2198" s="22" t="s">
        <v>5097</v>
      </c>
      <c r="T2198" s="51">
        <v>32</v>
      </c>
      <c r="U2198" s="3" t="s">
        <v>5660</v>
      </c>
      <c r="V2198" s="41" t="str">
        <f>HYPERLINK("http://ictvonline.org/taxonomy/p/taxonomy-history?taxnode_id=20185632","ICTVonline=20185632")</f>
        <v>ICTVonline=20185632</v>
      </c>
    </row>
    <row r="2199" spans="1:22">
      <c r="A2199" s="3">
        <v>2198</v>
      </c>
      <c r="J2199" s="1" t="s">
        <v>1174</v>
      </c>
      <c r="L2199" s="1" t="s">
        <v>298</v>
      </c>
      <c r="N2199" s="1" t="s">
        <v>411</v>
      </c>
      <c r="P2199" s="1" t="s">
        <v>2211</v>
      </c>
      <c r="Q2199" s="3">
        <v>0</v>
      </c>
      <c r="R2199" s="22" t="s">
        <v>2766</v>
      </c>
      <c r="S2199" s="22" t="s">
        <v>5097</v>
      </c>
      <c r="T2199" s="51">
        <v>27</v>
      </c>
      <c r="U2199" s="3" t="s">
        <v>5669</v>
      </c>
      <c r="V2199" s="41" t="str">
        <f>HYPERLINK("http://ictvonline.org/taxonomy/p/taxonomy-history?taxnode_id=20182231","ICTVonline=20182231")</f>
        <v>ICTVonline=20182231</v>
      </c>
    </row>
    <row r="2200" spans="1:22">
      <c r="A2200" s="3">
        <v>2199</v>
      </c>
      <c r="J2200" s="1" t="s">
        <v>1174</v>
      </c>
      <c r="L2200" s="1" t="s">
        <v>298</v>
      </c>
      <c r="N2200" s="1" t="s">
        <v>411</v>
      </c>
      <c r="P2200" s="1" t="s">
        <v>412</v>
      </c>
      <c r="Q2200" s="3">
        <v>0</v>
      </c>
      <c r="R2200" s="22" t="s">
        <v>2766</v>
      </c>
      <c r="S2200" s="22" t="s">
        <v>5099</v>
      </c>
      <c r="T2200" s="51">
        <v>25</v>
      </c>
      <c r="U2200" s="3" t="s">
        <v>5662</v>
      </c>
      <c r="V2200" s="41" t="str">
        <f>HYPERLINK("http://ictvonline.org/taxonomy/p/taxonomy-history?taxnode_id=20182175","ICTVonline=20182175")</f>
        <v>ICTVonline=20182175</v>
      </c>
    </row>
    <row r="2201" spans="1:22">
      <c r="A2201" s="3">
        <v>2200</v>
      </c>
      <c r="J2201" s="1" t="s">
        <v>1174</v>
      </c>
      <c r="L2201" s="1" t="s">
        <v>298</v>
      </c>
      <c r="N2201" s="1" t="s">
        <v>411</v>
      </c>
      <c r="P2201" s="1" t="s">
        <v>1515</v>
      </c>
      <c r="Q2201" s="3">
        <v>0</v>
      </c>
      <c r="R2201" s="22" t="s">
        <v>2766</v>
      </c>
      <c r="S2201" s="22" t="s">
        <v>5099</v>
      </c>
      <c r="T2201" s="51">
        <v>25</v>
      </c>
      <c r="U2201" s="3" t="s">
        <v>5662</v>
      </c>
      <c r="V2201" s="41" t="str">
        <f>HYPERLINK("http://ictvonline.org/taxonomy/p/taxonomy-history?taxnode_id=20182176","ICTVonline=20182176")</f>
        <v>ICTVonline=20182176</v>
      </c>
    </row>
    <row r="2202" spans="1:22">
      <c r="A2202" s="3">
        <v>2201</v>
      </c>
      <c r="J2202" s="1" t="s">
        <v>1174</v>
      </c>
      <c r="L2202" s="1" t="s">
        <v>298</v>
      </c>
      <c r="N2202" s="1" t="s">
        <v>411</v>
      </c>
      <c r="P2202" s="1" t="s">
        <v>1516</v>
      </c>
      <c r="Q2202" s="3">
        <v>0</v>
      </c>
      <c r="R2202" s="22" t="s">
        <v>2766</v>
      </c>
      <c r="S2202" s="22" t="s">
        <v>5099</v>
      </c>
      <c r="T2202" s="51">
        <v>25</v>
      </c>
      <c r="U2202" s="3" t="s">
        <v>5662</v>
      </c>
      <c r="V2202" s="41" t="str">
        <f>HYPERLINK("http://ictvonline.org/taxonomy/p/taxonomy-history?taxnode_id=20182177","ICTVonline=20182177")</f>
        <v>ICTVonline=20182177</v>
      </c>
    </row>
    <row r="2203" spans="1:22">
      <c r="A2203" s="3">
        <v>2202</v>
      </c>
      <c r="J2203" s="1" t="s">
        <v>1174</v>
      </c>
      <c r="L2203" s="1" t="s">
        <v>298</v>
      </c>
      <c r="N2203" s="1" t="s">
        <v>411</v>
      </c>
      <c r="P2203" s="1" t="s">
        <v>1517</v>
      </c>
      <c r="Q2203" s="3">
        <v>0</v>
      </c>
      <c r="R2203" s="22" t="s">
        <v>2766</v>
      </c>
      <c r="S2203" s="22" t="s">
        <v>5099</v>
      </c>
      <c r="T2203" s="51">
        <v>25</v>
      </c>
      <c r="U2203" s="3" t="s">
        <v>5662</v>
      </c>
      <c r="V2203" s="41" t="str">
        <f>HYPERLINK("http://ictvonline.org/taxonomy/p/taxonomy-history?taxnode_id=20182178","ICTVonline=20182178")</f>
        <v>ICTVonline=20182178</v>
      </c>
    </row>
    <row r="2204" spans="1:22">
      <c r="A2204" s="3">
        <v>2203</v>
      </c>
      <c r="J2204" s="1" t="s">
        <v>1174</v>
      </c>
      <c r="L2204" s="1" t="s">
        <v>298</v>
      </c>
      <c r="N2204" s="1" t="s">
        <v>411</v>
      </c>
      <c r="P2204" s="1" t="s">
        <v>414</v>
      </c>
      <c r="Q2204" s="3">
        <v>0</v>
      </c>
      <c r="R2204" s="22" t="s">
        <v>2766</v>
      </c>
      <c r="S2204" s="22" t="s">
        <v>5099</v>
      </c>
      <c r="T2204" s="51">
        <v>25</v>
      </c>
      <c r="U2204" s="3" t="s">
        <v>5662</v>
      </c>
      <c r="V2204" s="41" t="str">
        <f>HYPERLINK("http://ictvonline.org/taxonomy/p/taxonomy-history?taxnode_id=20182179","ICTVonline=20182179")</f>
        <v>ICTVonline=20182179</v>
      </c>
    </row>
    <row r="2205" spans="1:22">
      <c r="A2205" s="3">
        <v>2204</v>
      </c>
      <c r="J2205" s="1" t="s">
        <v>1174</v>
      </c>
      <c r="L2205" s="1" t="s">
        <v>298</v>
      </c>
      <c r="N2205" s="1" t="s">
        <v>411</v>
      </c>
      <c r="P2205" s="1" t="s">
        <v>415</v>
      </c>
      <c r="Q2205" s="3">
        <v>0</v>
      </c>
      <c r="R2205" s="22" t="s">
        <v>2766</v>
      </c>
      <c r="S2205" s="22" t="s">
        <v>5099</v>
      </c>
      <c r="T2205" s="51">
        <v>25</v>
      </c>
      <c r="U2205" s="3" t="s">
        <v>5662</v>
      </c>
      <c r="V2205" s="41" t="str">
        <f>HYPERLINK("http://ictvonline.org/taxonomy/p/taxonomy-history?taxnode_id=20182180","ICTVonline=20182180")</f>
        <v>ICTVonline=20182180</v>
      </c>
    </row>
    <row r="2206" spans="1:22">
      <c r="A2206" s="3">
        <v>2205</v>
      </c>
      <c r="J2206" s="1" t="s">
        <v>1174</v>
      </c>
      <c r="L2206" s="1" t="s">
        <v>298</v>
      </c>
      <c r="N2206" s="1" t="s">
        <v>411</v>
      </c>
      <c r="P2206" s="1" t="s">
        <v>416</v>
      </c>
      <c r="Q2206" s="3">
        <v>0</v>
      </c>
      <c r="R2206" s="22" t="s">
        <v>2766</v>
      </c>
      <c r="S2206" s="22" t="s">
        <v>5099</v>
      </c>
      <c r="T2206" s="51">
        <v>25</v>
      </c>
      <c r="U2206" s="3" t="s">
        <v>5662</v>
      </c>
      <c r="V2206" s="41" t="str">
        <f>HYPERLINK("http://ictvonline.org/taxonomy/p/taxonomy-history?taxnode_id=20182181","ICTVonline=20182181")</f>
        <v>ICTVonline=20182181</v>
      </c>
    </row>
    <row r="2207" spans="1:22">
      <c r="A2207" s="3">
        <v>2206</v>
      </c>
      <c r="J2207" s="1" t="s">
        <v>1174</v>
      </c>
      <c r="L2207" s="1" t="s">
        <v>298</v>
      </c>
      <c r="N2207" s="1" t="s">
        <v>411</v>
      </c>
      <c r="P2207" s="1" t="s">
        <v>417</v>
      </c>
      <c r="Q2207" s="3">
        <v>1</v>
      </c>
      <c r="R2207" s="22" t="s">
        <v>2766</v>
      </c>
      <c r="S2207" s="22" t="s">
        <v>5099</v>
      </c>
      <c r="T2207" s="51">
        <v>25</v>
      </c>
      <c r="U2207" s="3" t="s">
        <v>5662</v>
      </c>
      <c r="V2207" s="41" t="str">
        <f>HYPERLINK("http://ictvonline.org/taxonomy/p/taxonomy-history?taxnode_id=20182182","ICTVonline=20182182")</f>
        <v>ICTVonline=20182182</v>
      </c>
    </row>
    <row r="2208" spans="1:22">
      <c r="A2208" s="3">
        <v>2207</v>
      </c>
      <c r="J2208" s="1" t="s">
        <v>1174</v>
      </c>
      <c r="L2208" s="1" t="s">
        <v>298</v>
      </c>
      <c r="N2208" s="1" t="s">
        <v>411</v>
      </c>
      <c r="P2208" s="1" t="s">
        <v>5663</v>
      </c>
      <c r="Q2208" s="3">
        <v>0</v>
      </c>
      <c r="R2208" s="22" t="s">
        <v>2766</v>
      </c>
      <c r="S2208" s="22" t="s">
        <v>5097</v>
      </c>
      <c r="T2208" s="51">
        <v>32</v>
      </c>
      <c r="U2208" s="3" t="s">
        <v>5660</v>
      </c>
      <c r="V2208" s="41" t="str">
        <f>HYPERLINK("http://ictvonline.org/taxonomy/p/taxonomy-history?taxnode_id=20185633","ICTVonline=20185633")</f>
        <v>ICTVonline=20185633</v>
      </c>
    </row>
    <row r="2209" spans="1:22">
      <c r="A2209" s="3">
        <v>2208</v>
      </c>
      <c r="J2209" s="1" t="s">
        <v>1174</v>
      </c>
      <c r="L2209" s="1" t="s">
        <v>298</v>
      </c>
      <c r="N2209" s="1" t="s">
        <v>714</v>
      </c>
      <c r="P2209" s="1" t="s">
        <v>1173</v>
      </c>
      <c r="Q2209" s="3">
        <v>1</v>
      </c>
      <c r="R2209" s="22" t="s">
        <v>2766</v>
      </c>
      <c r="S2209" s="22" t="s">
        <v>5102</v>
      </c>
      <c r="T2209" s="51">
        <v>25</v>
      </c>
      <c r="U2209" s="3" t="s">
        <v>5664</v>
      </c>
      <c r="V2209" s="41" t="str">
        <f>HYPERLINK("http://ictvonline.org/taxonomy/p/taxonomy-history?taxnode_id=20182184","ICTVonline=20182184")</f>
        <v>ICTVonline=20182184</v>
      </c>
    </row>
    <row r="2210" spans="1:22">
      <c r="A2210" s="3">
        <v>2209</v>
      </c>
      <c r="J2210" s="1" t="s">
        <v>1174</v>
      </c>
      <c r="L2210" s="1" t="s">
        <v>298</v>
      </c>
      <c r="N2210" s="1" t="s">
        <v>2134</v>
      </c>
      <c r="P2210" s="1" t="s">
        <v>2135</v>
      </c>
      <c r="Q2210" s="3">
        <v>1</v>
      </c>
      <c r="R2210" s="22" t="s">
        <v>2766</v>
      </c>
      <c r="S2210" s="22" t="s">
        <v>5102</v>
      </c>
      <c r="T2210" s="51">
        <v>25</v>
      </c>
      <c r="U2210" s="3" t="s">
        <v>5665</v>
      </c>
      <c r="V2210" s="41" t="str">
        <f>HYPERLINK("http://ictvonline.org/taxonomy/p/taxonomy-history?taxnode_id=20182186","ICTVonline=20182186")</f>
        <v>ICTVonline=20182186</v>
      </c>
    </row>
    <row r="2211" spans="1:22">
      <c r="A2211" s="3">
        <v>2210</v>
      </c>
      <c r="J2211" s="1" t="s">
        <v>1174</v>
      </c>
      <c r="L2211" s="1" t="s">
        <v>298</v>
      </c>
      <c r="N2211" s="1" t="s">
        <v>346</v>
      </c>
      <c r="P2211" s="1" t="s">
        <v>2335</v>
      </c>
      <c r="Q2211" s="3">
        <v>0</v>
      </c>
      <c r="R2211" s="22" t="s">
        <v>2766</v>
      </c>
      <c r="S2211" s="22" t="s">
        <v>5097</v>
      </c>
      <c r="T2211" s="51">
        <v>28</v>
      </c>
      <c r="U2211" s="3" t="s">
        <v>5666</v>
      </c>
      <c r="V2211" s="41" t="str">
        <f>HYPERLINK("http://ictvonline.org/taxonomy/p/taxonomy-history?taxnode_id=20182188","ICTVonline=20182188")</f>
        <v>ICTVonline=20182188</v>
      </c>
    </row>
    <row r="2212" spans="1:22">
      <c r="A2212" s="3">
        <v>2211</v>
      </c>
      <c r="J2212" s="1" t="s">
        <v>1174</v>
      </c>
      <c r="L2212" s="1" t="s">
        <v>298</v>
      </c>
      <c r="N2212" s="1" t="s">
        <v>346</v>
      </c>
      <c r="P2212" s="1" t="s">
        <v>1223</v>
      </c>
      <c r="Q2212" s="3">
        <v>1</v>
      </c>
      <c r="R2212" s="22" t="s">
        <v>2766</v>
      </c>
      <c r="S2212" s="22" t="s">
        <v>5099</v>
      </c>
      <c r="T2212" s="51">
        <v>25</v>
      </c>
      <c r="U2212" s="3" t="s">
        <v>5662</v>
      </c>
      <c r="V2212" s="41" t="str">
        <f>HYPERLINK("http://ictvonline.org/taxonomy/p/taxonomy-history?taxnode_id=20182189","ICTVonline=20182189")</f>
        <v>ICTVonline=20182189</v>
      </c>
    </row>
    <row r="2213" spans="1:22">
      <c r="A2213" s="3">
        <v>2212</v>
      </c>
      <c r="J2213" s="1" t="s">
        <v>1174</v>
      </c>
      <c r="L2213" s="1" t="s">
        <v>298</v>
      </c>
      <c r="N2213" s="1" t="s">
        <v>3767</v>
      </c>
      <c r="P2213" s="1" t="s">
        <v>3768</v>
      </c>
      <c r="Q2213" s="3">
        <v>1</v>
      </c>
      <c r="R2213" s="22" t="s">
        <v>2766</v>
      </c>
      <c r="S2213" s="22" t="s">
        <v>5097</v>
      </c>
      <c r="T2213" s="51">
        <v>30</v>
      </c>
      <c r="U2213" s="3" t="s">
        <v>5667</v>
      </c>
      <c r="V2213" s="41" t="str">
        <f>HYPERLINK("http://ictvonline.org/taxonomy/p/taxonomy-history?taxnode_id=20182191","ICTVonline=20182191")</f>
        <v>ICTVonline=20182191</v>
      </c>
    </row>
    <row r="2214" spans="1:22">
      <c r="A2214" s="3">
        <v>2213</v>
      </c>
      <c r="J2214" s="1" t="s">
        <v>1174</v>
      </c>
      <c r="L2214" s="1" t="s">
        <v>298</v>
      </c>
      <c r="N2214" s="1" t="s">
        <v>1224</v>
      </c>
      <c r="P2214" s="1" t="s">
        <v>5668</v>
      </c>
      <c r="Q2214" s="3">
        <v>0</v>
      </c>
      <c r="R2214" s="22" t="s">
        <v>2766</v>
      </c>
      <c r="S2214" s="22" t="s">
        <v>5097</v>
      </c>
      <c r="T2214" s="51">
        <v>32</v>
      </c>
      <c r="U2214" s="3" t="s">
        <v>5660</v>
      </c>
      <c r="V2214" s="41" t="str">
        <f>HYPERLINK("http://ictvonline.org/taxonomy/p/taxonomy-history?taxnode_id=20185634","ICTVonline=20185634")</f>
        <v>ICTVonline=20185634</v>
      </c>
    </row>
    <row r="2215" spans="1:22">
      <c r="A2215" s="3">
        <v>2214</v>
      </c>
      <c r="J2215" s="1" t="s">
        <v>1174</v>
      </c>
      <c r="L2215" s="1" t="s">
        <v>298</v>
      </c>
      <c r="N2215" s="1" t="s">
        <v>1224</v>
      </c>
      <c r="P2215" s="1" t="s">
        <v>2209</v>
      </c>
      <c r="Q2215" s="3">
        <v>0</v>
      </c>
      <c r="R2215" s="22" t="s">
        <v>2766</v>
      </c>
      <c r="S2215" s="22" t="s">
        <v>5097</v>
      </c>
      <c r="T2215" s="51">
        <v>27</v>
      </c>
      <c r="U2215" s="3" t="s">
        <v>5669</v>
      </c>
      <c r="V2215" s="41" t="str">
        <f>HYPERLINK("http://ictvonline.org/taxonomy/p/taxonomy-history?taxnode_id=20182193","ICTVonline=20182193")</f>
        <v>ICTVonline=20182193</v>
      </c>
    </row>
    <row r="2216" spans="1:22">
      <c r="A2216" s="3">
        <v>2215</v>
      </c>
      <c r="J2216" s="1" t="s">
        <v>1174</v>
      </c>
      <c r="L2216" s="1" t="s">
        <v>298</v>
      </c>
      <c r="N2216" s="1" t="s">
        <v>1224</v>
      </c>
      <c r="P2216" s="1" t="s">
        <v>229</v>
      </c>
      <c r="Q2216" s="3">
        <v>0</v>
      </c>
      <c r="R2216" s="22" t="s">
        <v>2766</v>
      </c>
      <c r="S2216" s="22" t="s">
        <v>5099</v>
      </c>
      <c r="T2216" s="51">
        <v>25</v>
      </c>
      <c r="U2216" s="3" t="s">
        <v>5662</v>
      </c>
      <c r="V2216" s="41" t="str">
        <f>HYPERLINK("http://ictvonline.org/taxonomy/p/taxonomy-history?taxnode_id=20182194","ICTVonline=20182194")</f>
        <v>ICTVonline=20182194</v>
      </c>
    </row>
    <row r="2217" spans="1:22">
      <c r="A2217" s="3">
        <v>2216</v>
      </c>
      <c r="J2217" s="1" t="s">
        <v>1174</v>
      </c>
      <c r="L2217" s="1" t="s">
        <v>298</v>
      </c>
      <c r="N2217" s="1" t="s">
        <v>1224</v>
      </c>
      <c r="P2217" s="1" t="s">
        <v>230</v>
      </c>
      <c r="Q2217" s="3">
        <v>0</v>
      </c>
      <c r="R2217" s="22" t="s">
        <v>2766</v>
      </c>
      <c r="S2217" s="22" t="s">
        <v>5099</v>
      </c>
      <c r="T2217" s="51">
        <v>25</v>
      </c>
      <c r="U2217" s="3" t="s">
        <v>5662</v>
      </c>
      <c r="V2217" s="41" t="str">
        <f>HYPERLINK("http://ictvonline.org/taxonomy/p/taxonomy-history?taxnode_id=20182195","ICTVonline=20182195")</f>
        <v>ICTVonline=20182195</v>
      </c>
    </row>
    <row r="2218" spans="1:22">
      <c r="A2218" s="3">
        <v>2217</v>
      </c>
      <c r="J2218" s="1" t="s">
        <v>1174</v>
      </c>
      <c r="L2218" s="1" t="s">
        <v>298</v>
      </c>
      <c r="N2218" s="1" t="s">
        <v>1224</v>
      </c>
      <c r="P2218" s="1" t="s">
        <v>231</v>
      </c>
      <c r="Q2218" s="3">
        <v>0</v>
      </c>
      <c r="R2218" s="22" t="s">
        <v>2766</v>
      </c>
      <c r="S2218" s="22" t="s">
        <v>5099</v>
      </c>
      <c r="T2218" s="51">
        <v>25</v>
      </c>
      <c r="U2218" s="3" t="s">
        <v>5662</v>
      </c>
      <c r="V2218" s="41" t="str">
        <f>HYPERLINK("http://ictvonline.org/taxonomy/p/taxonomy-history?taxnode_id=20182196","ICTVonline=20182196")</f>
        <v>ICTVonline=20182196</v>
      </c>
    </row>
    <row r="2219" spans="1:22">
      <c r="A2219" s="3">
        <v>2218</v>
      </c>
      <c r="J2219" s="1" t="s">
        <v>1174</v>
      </c>
      <c r="L2219" s="1" t="s">
        <v>298</v>
      </c>
      <c r="N2219" s="1" t="s">
        <v>1224</v>
      </c>
      <c r="P2219" s="1" t="s">
        <v>232</v>
      </c>
      <c r="Q2219" s="3">
        <v>0</v>
      </c>
      <c r="R2219" s="22" t="s">
        <v>2766</v>
      </c>
      <c r="S2219" s="22" t="s">
        <v>5099</v>
      </c>
      <c r="T2219" s="51">
        <v>25</v>
      </c>
      <c r="U2219" s="3" t="s">
        <v>5662</v>
      </c>
      <c r="V2219" s="41" t="str">
        <f>HYPERLINK("http://ictvonline.org/taxonomy/p/taxonomy-history?taxnode_id=20182197","ICTVonline=20182197")</f>
        <v>ICTVonline=20182197</v>
      </c>
    </row>
    <row r="2220" spans="1:22">
      <c r="A2220" s="3">
        <v>2219</v>
      </c>
      <c r="J2220" s="1" t="s">
        <v>1174</v>
      </c>
      <c r="L2220" s="1" t="s">
        <v>298</v>
      </c>
      <c r="N2220" s="1" t="s">
        <v>1224</v>
      </c>
      <c r="P2220" s="1" t="s">
        <v>233</v>
      </c>
      <c r="Q2220" s="3">
        <v>0</v>
      </c>
      <c r="R2220" s="22" t="s">
        <v>2766</v>
      </c>
      <c r="S2220" s="22" t="s">
        <v>5099</v>
      </c>
      <c r="T2220" s="51">
        <v>25</v>
      </c>
      <c r="U2220" s="3" t="s">
        <v>5662</v>
      </c>
      <c r="V2220" s="41" t="str">
        <f>HYPERLINK("http://ictvonline.org/taxonomy/p/taxonomy-history?taxnode_id=20182198","ICTVonline=20182198")</f>
        <v>ICTVonline=20182198</v>
      </c>
    </row>
    <row r="2221" spans="1:22">
      <c r="A2221" s="3">
        <v>2220</v>
      </c>
      <c r="J2221" s="1" t="s">
        <v>1174</v>
      </c>
      <c r="L2221" s="1" t="s">
        <v>298</v>
      </c>
      <c r="N2221" s="1" t="s">
        <v>1224</v>
      </c>
      <c r="P2221" s="1" t="s">
        <v>234</v>
      </c>
      <c r="Q2221" s="3">
        <v>0</v>
      </c>
      <c r="R2221" s="22" t="s">
        <v>2766</v>
      </c>
      <c r="S2221" s="22" t="s">
        <v>5099</v>
      </c>
      <c r="T2221" s="51">
        <v>25</v>
      </c>
      <c r="U2221" s="3" t="s">
        <v>5662</v>
      </c>
      <c r="V2221" s="41" t="str">
        <f>HYPERLINK("http://ictvonline.org/taxonomy/p/taxonomy-history?taxnode_id=20182199","ICTVonline=20182199")</f>
        <v>ICTVonline=20182199</v>
      </c>
    </row>
    <row r="2222" spans="1:22">
      <c r="A2222" s="3">
        <v>2221</v>
      </c>
      <c r="J2222" s="1" t="s">
        <v>1174</v>
      </c>
      <c r="L2222" s="1" t="s">
        <v>298</v>
      </c>
      <c r="N2222" s="1" t="s">
        <v>1224</v>
      </c>
      <c r="P2222" s="1" t="s">
        <v>235</v>
      </c>
      <c r="Q2222" s="3">
        <v>0</v>
      </c>
      <c r="R2222" s="22" t="s">
        <v>2766</v>
      </c>
      <c r="S2222" s="22" t="s">
        <v>5099</v>
      </c>
      <c r="T2222" s="51">
        <v>25</v>
      </c>
      <c r="U2222" s="3" t="s">
        <v>5662</v>
      </c>
      <c r="V2222" s="41" t="str">
        <f>HYPERLINK("http://ictvonline.org/taxonomy/p/taxonomy-history?taxnode_id=20182200","ICTVonline=20182200")</f>
        <v>ICTVonline=20182200</v>
      </c>
    </row>
    <row r="2223" spans="1:22">
      <c r="A2223" s="3">
        <v>2222</v>
      </c>
      <c r="J2223" s="1" t="s">
        <v>1174</v>
      </c>
      <c r="L2223" s="1" t="s">
        <v>298</v>
      </c>
      <c r="N2223" s="1" t="s">
        <v>1224</v>
      </c>
      <c r="P2223" s="1" t="s">
        <v>236</v>
      </c>
      <c r="Q2223" s="3">
        <v>0</v>
      </c>
      <c r="R2223" s="22" t="s">
        <v>2766</v>
      </c>
      <c r="S2223" s="22" t="s">
        <v>5099</v>
      </c>
      <c r="T2223" s="51">
        <v>25</v>
      </c>
      <c r="U2223" s="3" t="s">
        <v>5662</v>
      </c>
      <c r="V2223" s="41" t="str">
        <f>HYPERLINK("http://ictvonline.org/taxonomy/p/taxonomy-history?taxnode_id=20182201","ICTVonline=20182201")</f>
        <v>ICTVonline=20182201</v>
      </c>
    </row>
    <row r="2224" spans="1:22">
      <c r="A2224" s="3">
        <v>2223</v>
      </c>
      <c r="J2224" s="1" t="s">
        <v>1174</v>
      </c>
      <c r="L2224" s="1" t="s">
        <v>298</v>
      </c>
      <c r="N2224" s="1" t="s">
        <v>1224</v>
      </c>
      <c r="P2224" s="1" t="s">
        <v>237</v>
      </c>
      <c r="Q2224" s="3">
        <v>0</v>
      </c>
      <c r="R2224" s="22" t="s">
        <v>2766</v>
      </c>
      <c r="S2224" s="22" t="s">
        <v>5099</v>
      </c>
      <c r="T2224" s="51">
        <v>25</v>
      </c>
      <c r="U2224" s="3" t="s">
        <v>5662</v>
      </c>
      <c r="V2224" s="41" t="str">
        <f>HYPERLINK("http://ictvonline.org/taxonomy/p/taxonomy-history?taxnode_id=20182202","ICTVonline=20182202")</f>
        <v>ICTVonline=20182202</v>
      </c>
    </row>
    <row r="2225" spans="1:22">
      <c r="A2225" s="3">
        <v>2224</v>
      </c>
      <c r="J2225" s="1" t="s">
        <v>1174</v>
      </c>
      <c r="L2225" s="1" t="s">
        <v>298</v>
      </c>
      <c r="N2225" s="1" t="s">
        <v>1224</v>
      </c>
      <c r="P2225" s="1" t="s">
        <v>238</v>
      </c>
      <c r="Q2225" s="3">
        <v>0</v>
      </c>
      <c r="R2225" s="22" t="s">
        <v>2766</v>
      </c>
      <c r="S2225" s="22" t="s">
        <v>5099</v>
      </c>
      <c r="T2225" s="51">
        <v>25</v>
      </c>
      <c r="U2225" s="3" t="s">
        <v>5662</v>
      </c>
      <c r="V2225" s="41" t="str">
        <f>HYPERLINK("http://ictvonline.org/taxonomy/p/taxonomy-history?taxnode_id=20182203","ICTVonline=20182203")</f>
        <v>ICTVonline=20182203</v>
      </c>
    </row>
    <row r="2226" spans="1:22">
      <c r="A2226" s="3">
        <v>2225</v>
      </c>
      <c r="J2226" s="1" t="s">
        <v>1174</v>
      </c>
      <c r="L2226" s="1" t="s">
        <v>298</v>
      </c>
      <c r="N2226" s="1" t="s">
        <v>1224</v>
      </c>
      <c r="P2226" s="1" t="s">
        <v>1458</v>
      </c>
      <c r="Q2226" s="3">
        <v>0</v>
      </c>
      <c r="R2226" s="22" t="s">
        <v>2766</v>
      </c>
      <c r="S2226" s="22" t="s">
        <v>5099</v>
      </c>
      <c r="T2226" s="51">
        <v>25</v>
      </c>
      <c r="U2226" s="3" t="s">
        <v>5662</v>
      </c>
      <c r="V2226" s="41" t="str">
        <f>HYPERLINK("http://ictvonline.org/taxonomy/p/taxonomy-history?taxnode_id=20182204","ICTVonline=20182204")</f>
        <v>ICTVonline=20182204</v>
      </c>
    </row>
    <row r="2227" spans="1:22">
      <c r="A2227" s="3">
        <v>2226</v>
      </c>
      <c r="J2227" s="1" t="s">
        <v>1174</v>
      </c>
      <c r="L2227" s="1" t="s">
        <v>298</v>
      </c>
      <c r="N2227" s="1" t="s">
        <v>1224</v>
      </c>
      <c r="P2227" s="1" t="s">
        <v>1459</v>
      </c>
      <c r="Q2227" s="3">
        <v>0</v>
      </c>
      <c r="R2227" s="22" t="s">
        <v>2766</v>
      </c>
      <c r="S2227" s="22" t="s">
        <v>5099</v>
      </c>
      <c r="T2227" s="51">
        <v>25</v>
      </c>
      <c r="U2227" s="3" t="s">
        <v>5662</v>
      </c>
      <c r="V2227" s="41" t="str">
        <f>HYPERLINK("http://ictvonline.org/taxonomy/p/taxonomy-history?taxnode_id=20182205","ICTVonline=20182205")</f>
        <v>ICTVonline=20182205</v>
      </c>
    </row>
    <row r="2228" spans="1:22">
      <c r="A2228" s="3">
        <v>2227</v>
      </c>
      <c r="J2228" s="1" t="s">
        <v>1174</v>
      </c>
      <c r="L2228" s="1" t="s">
        <v>298</v>
      </c>
      <c r="N2228" s="1" t="s">
        <v>1224</v>
      </c>
      <c r="P2228" s="1" t="s">
        <v>2210</v>
      </c>
      <c r="Q2228" s="3">
        <v>0</v>
      </c>
      <c r="R2228" s="22" t="s">
        <v>2766</v>
      </c>
      <c r="S2228" s="22" t="s">
        <v>5097</v>
      </c>
      <c r="T2228" s="51">
        <v>27</v>
      </c>
      <c r="U2228" s="3" t="s">
        <v>5669</v>
      </c>
      <c r="V2228" s="41" t="str">
        <f>HYPERLINK("http://ictvonline.org/taxonomy/p/taxonomy-history?taxnode_id=20182206","ICTVonline=20182206")</f>
        <v>ICTVonline=20182206</v>
      </c>
    </row>
    <row r="2229" spans="1:22">
      <c r="A2229" s="3">
        <v>2228</v>
      </c>
      <c r="J2229" s="1" t="s">
        <v>1174</v>
      </c>
      <c r="L2229" s="1" t="s">
        <v>298</v>
      </c>
      <c r="N2229" s="1" t="s">
        <v>1224</v>
      </c>
      <c r="P2229" s="1" t="s">
        <v>2036</v>
      </c>
      <c r="Q2229" s="3">
        <v>0</v>
      </c>
      <c r="R2229" s="22" t="s">
        <v>2766</v>
      </c>
      <c r="S2229" s="22" t="s">
        <v>5097</v>
      </c>
      <c r="T2229" s="51">
        <v>25</v>
      </c>
      <c r="U2229" s="3" t="s">
        <v>5670</v>
      </c>
      <c r="V2229" s="41" t="str">
        <f>HYPERLINK("http://ictvonline.org/taxonomy/p/taxonomy-history?taxnode_id=20182207","ICTVonline=20182207")</f>
        <v>ICTVonline=20182207</v>
      </c>
    </row>
    <row r="2230" spans="1:22">
      <c r="A2230" s="3">
        <v>2229</v>
      </c>
      <c r="J2230" s="1" t="s">
        <v>1174</v>
      </c>
      <c r="L2230" s="1" t="s">
        <v>298</v>
      </c>
      <c r="N2230" s="1" t="s">
        <v>1224</v>
      </c>
      <c r="P2230" s="1" t="s">
        <v>455</v>
      </c>
      <c r="Q2230" s="3">
        <v>0</v>
      </c>
      <c r="R2230" s="22" t="s">
        <v>2766</v>
      </c>
      <c r="S2230" s="22" t="s">
        <v>5099</v>
      </c>
      <c r="T2230" s="51">
        <v>25</v>
      </c>
      <c r="U2230" s="3" t="s">
        <v>5662</v>
      </c>
      <c r="V2230" s="41" t="str">
        <f>HYPERLINK("http://ictvonline.org/taxonomy/p/taxonomy-history?taxnode_id=20182208","ICTVonline=20182208")</f>
        <v>ICTVonline=20182208</v>
      </c>
    </row>
    <row r="2231" spans="1:22">
      <c r="A2231" s="3">
        <v>2230</v>
      </c>
      <c r="J2231" s="1" t="s">
        <v>1174</v>
      </c>
      <c r="L2231" s="1" t="s">
        <v>298</v>
      </c>
      <c r="N2231" s="1" t="s">
        <v>1224</v>
      </c>
      <c r="P2231" s="1" t="s">
        <v>2131</v>
      </c>
      <c r="Q2231" s="3">
        <v>0</v>
      </c>
      <c r="R2231" s="22" t="s">
        <v>2766</v>
      </c>
      <c r="S2231" s="22" t="s">
        <v>5097</v>
      </c>
      <c r="T2231" s="51">
        <v>25</v>
      </c>
      <c r="U2231" s="3" t="s">
        <v>5671</v>
      </c>
      <c r="V2231" s="41" t="str">
        <f>HYPERLINK("http://ictvonline.org/taxonomy/p/taxonomy-history?taxnode_id=20182209","ICTVonline=20182209")</f>
        <v>ICTVonline=20182209</v>
      </c>
    </row>
    <row r="2232" spans="1:22">
      <c r="A2232" s="3">
        <v>2231</v>
      </c>
      <c r="J2232" s="1" t="s">
        <v>1174</v>
      </c>
      <c r="L2232" s="1" t="s">
        <v>298</v>
      </c>
      <c r="N2232" s="1" t="s">
        <v>1224</v>
      </c>
      <c r="P2232" s="1" t="s">
        <v>456</v>
      </c>
      <c r="Q2232" s="3">
        <v>0</v>
      </c>
      <c r="R2232" s="22" t="s">
        <v>2766</v>
      </c>
      <c r="S2232" s="22" t="s">
        <v>5099</v>
      </c>
      <c r="T2232" s="51">
        <v>25</v>
      </c>
      <c r="U2232" s="3" t="s">
        <v>5662</v>
      </c>
      <c r="V2232" s="41" t="str">
        <f>HYPERLINK("http://ictvonline.org/taxonomy/p/taxonomy-history?taxnode_id=20182210","ICTVonline=20182210")</f>
        <v>ICTVonline=20182210</v>
      </c>
    </row>
    <row r="2233" spans="1:22">
      <c r="A2233" s="3">
        <v>2232</v>
      </c>
      <c r="J2233" s="1" t="s">
        <v>1174</v>
      </c>
      <c r="L2233" s="1" t="s">
        <v>298</v>
      </c>
      <c r="N2233" s="1" t="s">
        <v>1224</v>
      </c>
      <c r="P2233" s="1" t="s">
        <v>457</v>
      </c>
      <c r="Q2233" s="3">
        <v>0</v>
      </c>
      <c r="R2233" s="22" t="s">
        <v>2766</v>
      </c>
      <c r="S2233" s="22" t="s">
        <v>5099</v>
      </c>
      <c r="T2233" s="51">
        <v>25</v>
      </c>
      <c r="U2233" s="3" t="s">
        <v>5662</v>
      </c>
      <c r="V2233" s="41" t="str">
        <f>HYPERLINK("http://ictvonline.org/taxonomy/p/taxonomy-history?taxnode_id=20182211","ICTVonline=20182211")</f>
        <v>ICTVonline=20182211</v>
      </c>
    </row>
    <row r="2234" spans="1:22">
      <c r="A2234" s="3">
        <v>2233</v>
      </c>
      <c r="J2234" s="1" t="s">
        <v>1174</v>
      </c>
      <c r="L2234" s="1" t="s">
        <v>298</v>
      </c>
      <c r="N2234" s="1" t="s">
        <v>1224</v>
      </c>
      <c r="P2234" s="1" t="s">
        <v>458</v>
      </c>
      <c r="Q2234" s="3">
        <v>0</v>
      </c>
      <c r="R2234" s="22" t="s">
        <v>2766</v>
      </c>
      <c r="S2234" s="22" t="s">
        <v>5099</v>
      </c>
      <c r="T2234" s="51">
        <v>25</v>
      </c>
      <c r="U2234" s="3" t="s">
        <v>5662</v>
      </c>
      <c r="V2234" s="41" t="str">
        <f>HYPERLINK("http://ictvonline.org/taxonomy/p/taxonomy-history?taxnode_id=20182212","ICTVonline=20182212")</f>
        <v>ICTVonline=20182212</v>
      </c>
    </row>
    <row r="2235" spans="1:22">
      <c r="A2235" s="3">
        <v>2234</v>
      </c>
      <c r="J2235" s="1" t="s">
        <v>1174</v>
      </c>
      <c r="L2235" s="1" t="s">
        <v>298</v>
      </c>
      <c r="N2235" s="1" t="s">
        <v>1224</v>
      </c>
      <c r="P2235" s="1" t="s">
        <v>459</v>
      </c>
      <c r="Q2235" s="3">
        <v>0</v>
      </c>
      <c r="R2235" s="22" t="s">
        <v>2766</v>
      </c>
      <c r="S2235" s="22" t="s">
        <v>5099</v>
      </c>
      <c r="T2235" s="51">
        <v>25</v>
      </c>
      <c r="U2235" s="3" t="s">
        <v>5662</v>
      </c>
      <c r="V2235" s="41" t="str">
        <f>HYPERLINK("http://ictvonline.org/taxonomy/p/taxonomy-history?taxnode_id=20182213","ICTVonline=20182213")</f>
        <v>ICTVonline=20182213</v>
      </c>
    </row>
    <row r="2236" spans="1:22">
      <c r="A2236" s="3">
        <v>2235</v>
      </c>
      <c r="J2236" s="1" t="s">
        <v>1174</v>
      </c>
      <c r="L2236" s="1" t="s">
        <v>298</v>
      </c>
      <c r="N2236" s="1" t="s">
        <v>1224</v>
      </c>
      <c r="P2236" s="1" t="s">
        <v>460</v>
      </c>
      <c r="Q2236" s="3">
        <v>0</v>
      </c>
      <c r="R2236" s="22" t="s">
        <v>2766</v>
      </c>
      <c r="S2236" s="22" t="s">
        <v>5099</v>
      </c>
      <c r="T2236" s="51">
        <v>25</v>
      </c>
      <c r="U2236" s="3" t="s">
        <v>5662</v>
      </c>
      <c r="V2236" s="41" t="str">
        <f>HYPERLINK("http://ictvonline.org/taxonomy/p/taxonomy-history?taxnode_id=20182214","ICTVonline=20182214")</f>
        <v>ICTVonline=20182214</v>
      </c>
    </row>
    <row r="2237" spans="1:22">
      <c r="A2237" s="3">
        <v>2236</v>
      </c>
      <c r="J2237" s="1" t="s">
        <v>1174</v>
      </c>
      <c r="L2237" s="1" t="s">
        <v>298</v>
      </c>
      <c r="N2237" s="1" t="s">
        <v>1224</v>
      </c>
      <c r="P2237" s="1" t="s">
        <v>1451</v>
      </c>
      <c r="Q2237" s="3">
        <v>0</v>
      </c>
      <c r="R2237" s="22" t="s">
        <v>2766</v>
      </c>
      <c r="S2237" s="22" t="s">
        <v>5099</v>
      </c>
      <c r="T2237" s="51">
        <v>25</v>
      </c>
      <c r="U2237" s="3" t="s">
        <v>5662</v>
      </c>
      <c r="V2237" s="41" t="str">
        <f>HYPERLINK("http://ictvonline.org/taxonomy/p/taxonomy-history?taxnode_id=20182215","ICTVonline=20182215")</f>
        <v>ICTVonline=20182215</v>
      </c>
    </row>
    <row r="2238" spans="1:22">
      <c r="A2238" s="3">
        <v>2237</v>
      </c>
      <c r="J2238" s="1" t="s">
        <v>1174</v>
      </c>
      <c r="L2238" s="1" t="s">
        <v>298</v>
      </c>
      <c r="N2238" s="1" t="s">
        <v>1224</v>
      </c>
      <c r="P2238" s="1" t="s">
        <v>2132</v>
      </c>
      <c r="Q2238" s="3">
        <v>0</v>
      </c>
      <c r="R2238" s="22" t="s">
        <v>2766</v>
      </c>
      <c r="S2238" s="22" t="s">
        <v>5097</v>
      </c>
      <c r="T2238" s="51">
        <v>25</v>
      </c>
      <c r="U2238" s="3" t="s">
        <v>5671</v>
      </c>
      <c r="V2238" s="41" t="str">
        <f>HYPERLINK("http://ictvonline.org/taxonomy/p/taxonomy-history?taxnode_id=20182216","ICTVonline=20182216")</f>
        <v>ICTVonline=20182216</v>
      </c>
    </row>
    <row r="2239" spans="1:22">
      <c r="A2239" s="3">
        <v>2238</v>
      </c>
      <c r="J2239" s="1" t="s">
        <v>1174</v>
      </c>
      <c r="L2239" s="1" t="s">
        <v>298</v>
      </c>
      <c r="N2239" s="1" t="s">
        <v>1224</v>
      </c>
      <c r="P2239" s="1" t="s">
        <v>5672</v>
      </c>
      <c r="Q2239" s="3">
        <v>0</v>
      </c>
      <c r="R2239" s="22" t="s">
        <v>2766</v>
      </c>
      <c r="S2239" s="22" t="s">
        <v>5097</v>
      </c>
      <c r="T2239" s="51">
        <v>32</v>
      </c>
      <c r="U2239" s="3" t="s">
        <v>5660</v>
      </c>
      <c r="V2239" s="41" t="str">
        <f>HYPERLINK("http://ictvonline.org/taxonomy/p/taxonomy-history?taxnode_id=20185635","ICTVonline=20185635")</f>
        <v>ICTVonline=20185635</v>
      </c>
    </row>
    <row r="2240" spans="1:22">
      <c r="A2240" s="3">
        <v>2239</v>
      </c>
      <c r="J2240" s="1" t="s">
        <v>1174</v>
      </c>
      <c r="L2240" s="1" t="s">
        <v>298</v>
      </c>
      <c r="N2240" s="1" t="s">
        <v>1224</v>
      </c>
      <c r="P2240" s="1" t="s">
        <v>1452</v>
      </c>
      <c r="Q2240" s="3">
        <v>0</v>
      </c>
      <c r="R2240" s="22" t="s">
        <v>2766</v>
      </c>
      <c r="S2240" s="22" t="s">
        <v>5099</v>
      </c>
      <c r="T2240" s="51">
        <v>25</v>
      </c>
      <c r="U2240" s="3" t="s">
        <v>5662</v>
      </c>
      <c r="V2240" s="41" t="str">
        <f>HYPERLINK("http://ictvonline.org/taxonomy/p/taxonomy-history?taxnode_id=20182217","ICTVonline=20182217")</f>
        <v>ICTVonline=20182217</v>
      </c>
    </row>
    <row r="2241" spans="1:22">
      <c r="A2241" s="3">
        <v>2240</v>
      </c>
      <c r="J2241" s="1" t="s">
        <v>1174</v>
      </c>
      <c r="L2241" s="1" t="s">
        <v>298</v>
      </c>
      <c r="N2241" s="1" t="s">
        <v>1224</v>
      </c>
      <c r="P2241" s="1" t="s">
        <v>1453</v>
      </c>
      <c r="Q2241" s="3">
        <v>0</v>
      </c>
      <c r="R2241" s="22" t="s">
        <v>2766</v>
      </c>
      <c r="S2241" s="22" t="s">
        <v>5099</v>
      </c>
      <c r="T2241" s="51">
        <v>25</v>
      </c>
      <c r="U2241" s="3" t="s">
        <v>5662</v>
      </c>
      <c r="V2241" s="41" t="str">
        <f>HYPERLINK("http://ictvonline.org/taxonomy/p/taxonomy-history?taxnode_id=20182218","ICTVonline=20182218")</f>
        <v>ICTVonline=20182218</v>
      </c>
    </row>
    <row r="2242" spans="1:22">
      <c r="A2242" s="3">
        <v>2241</v>
      </c>
      <c r="J2242" s="1" t="s">
        <v>1174</v>
      </c>
      <c r="L2242" s="1" t="s">
        <v>298</v>
      </c>
      <c r="N2242" s="1" t="s">
        <v>1224</v>
      </c>
      <c r="P2242" s="1" t="s">
        <v>1454</v>
      </c>
      <c r="Q2242" s="3">
        <v>0</v>
      </c>
      <c r="R2242" s="22" t="s">
        <v>2766</v>
      </c>
      <c r="S2242" s="22" t="s">
        <v>5099</v>
      </c>
      <c r="T2242" s="51">
        <v>25</v>
      </c>
      <c r="U2242" s="3" t="s">
        <v>5662</v>
      </c>
      <c r="V2242" s="41" t="str">
        <f>HYPERLINK("http://ictvonline.org/taxonomy/p/taxonomy-history?taxnode_id=20182219","ICTVonline=20182219")</f>
        <v>ICTVonline=20182219</v>
      </c>
    </row>
    <row r="2243" spans="1:22">
      <c r="A2243" s="3">
        <v>2242</v>
      </c>
      <c r="J2243" s="1" t="s">
        <v>1174</v>
      </c>
      <c r="L2243" s="1" t="s">
        <v>298</v>
      </c>
      <c r="N2243" s="1" t="s">
        <v>1224</v>
      </c>
      <c r="P2243" s="1" t="s">
        <v>1455</v>
      </c>
      <c r="Q2243" s="3">
        <v>1</v>
      </c>
      <c r="R2243" s="22" t="s">
        <v>2766</v>
      </c>
      <c r="S2243" s="22" t="s">
        <v>5099</v>
      </c>
      <c r="T2243" s="51">
        <v>25</v>
      </c>
      <c r="U2243" s="3" t="s">
        <v>5662</v>
      </c>
      <c r="V2243" s="41" t="str">
        <f>HYPERLINK("http://ictvonline.org/taxonomy/p/taxonomy-history?taxnode_id=20182220","ICTVonline=20182220")</f>
        <v>ICTVonline=20182220</v>
      </c>
    </row>
    <row r="2244" spans="1:22">
      <c r="A2244" s="3">
        <v>2243</v>
      </c>
      <c r="J2244" s="1" t="s">
        <v>1174</v>
      </c>
      <c r="L2244" s="1" t="s">
        <v>298</v>
      </c>
      <c r="N2244" s="1" t="s">
        <v>1224</v>
      </c>
      <c r="P2244" s="1" t="s">
        <v>1456</v>
      </c>
      <c r="Q2244" s="3">
        <v>0</v>
      </c>
      <c r="R2244" s="22" t="s">
        <v>2766</v>
      </c>
      <c r="S2244" s="22" t="s">
        <v>5099</v>
      </c>
      <c r="T2244" s="51">
        <v>25</v>
      </c>
      <c r="U2244" s="3" t="s">
        <v>5662</v>
      </c>
      <c r="V2244" s="41" t="str">
        <f>HYPERLINK("http://ictvonline.org/taxonomy/p/taxonomy-history?taxnode_id=20182221","ICTVonline=20182221")</f>
        <v>ICTVonline=20182221</v>
      </c>
    </row>
    <row r="2245" spans="1:22">
      <c r="A2245" s="3">
        <v>2244</v>
      </c>
      <c r="J2245" s="1" t="s">
        <v>1174</v>
      </c>
      <c r="L2245" s="1" t="s">
        <v>298</v>
      </c>
      <c r="N2245" s="1" t="s">
        <v>1224</v>
      </c>
      <c r="P2245" s="1" t="s">
        <v>1463</v>
      </c>
      <c r="Q2245" s="3">
        <v>0</v>
      </c>
      <c r="R2245" s="22" t="s">
        <v>2766</v>
      </c>
      <c r="S2245" s="22" t="s">
        <v>5099</v>
      </c>
      <c r="T2245" s="51">
        <v>25</v>
      </c>
      <c r="U2245" s="3" t="s">
        <v>5662</v>
      </c>
      <c r="V2245" s="41" t="str">
        <f>HYPERLINK("http://ictvonline.org/taxonomy/p/taxonomy-history?taxnode_id=20182222","ICTVonline=20182222")</f>
        <v>ICTVonline=20182222</v>
      </c>
    </row>
    <row r="2246" spans="1:22">
      <c r="A2246" s="3">
        <v>2245</v>
      </c>
      <c r="J2246" s="1" t="s">
        <v>1174</v>
      </c>
      <c r="L2246" s="1" t="s">
        <v>298</v>
      </c>
      <c r="N2246" s="1" t="s">
        <v>1224</v>
      </c>
      <c r="P2246" s="1" t="s">
        <v>1464</v>
      </c>
      <c r="Q2246" s="3">
        <v>0</v>
      </c>
      <c r="R2246" s="22" t="s">
        <v>2766</v>
      </c>
      <c r="S2246" s="22" t="s">
        <v>5099</v>
      </c>
      <c r="T2246" s="51">
        <v>25</v>
      </c>
      <c r="U2246" s="3" t="s">
        <v>5662</v>
      </c>
      <c r="V2246" s="41" t="str">
        <f>HYPERLINK("http://ictvonline.org/taxonomy/p/taxonomy-history?taxnode_id=20182223","ICTVonline=20182223")</f>
        <v>ICTVonline=20182223</v>
      </c>
    </row>
    <row r="2247" spans="1:22">
      <c r="A2247" s="3">
        <v>2246</v>
      </c>
      <c r="J2247" s="1" t="s">
        <v>1174</v>
      </c>
      <c r="L2247" s="1" t="s">
        <v>298</v>
      </c>
      <c r="N2247" s="1" t="s">
        <v>1224</v>
      </c>
      <c r="P2247" s="1" t="s">
        <v>1460</v>
      </c>
      <c r="Q2247" s="3">
        <v>0</v>
      </c>
      <c r="R2247" s="22" t="s">
        <v>2766</v>
      </c>
      <c r="S2247" s="22" t="s">
        <v>5099</v>
      </c>
      <c r="T2247" s="51">
        <v>25</v>
      </c>
      <c r="U2247" s="3" t="s">
        <v>5662</v>
      </c>
      <c r="V2247" s="41" t="str">
        <f>HYPERLINK("http://ictvonline.org/taxonomy/p/taxonomy-history?taxnode_id=20182224","ICTVonline=20182224")</f>
        <v>ICTVonline=20182224</v>
      </c>
    </row>
    <row r="2248" spans="1:22">
      <c r="A2248" s="3">
        <v>2247</v>
      </c>
      <c r="J2248" s="1" t="s">
        <v>1174</v>
      </c>
      <c r="L2248" s="1" t="s">
        <v>298</v>
      </c>
      <c r="N2248" s="1" t="s">
        <v>1224</v>
      </c>
      <c r="P2248" s="1" t="s">
        <v>5673</v>
      </c>
      <c r="Q2248" s="3">
        <v>0</v>
      </c>
      <c r="R2248" s="22" t="s">
        <v>2766</v>
      </c>
      <c r="S2248" s="22" t="s">
        <v>5097</v>
      </c>
      <c r="T2248" s="51">
        <v>32</v>
      </c>
      <c r="U2248" s="3" t="s">
        <v>5660</v>
      </c>
      <c r="V2248" s="41" t="str">
        <f>HYPERLINK("http://ictvonline.org/taxonomy/p/taxonomy-history?taxnode_id=20185636","ICTVonline=20185636")</f>
        <v>ICTVonline=20185636</v>
      </c>
    </row>
    <row r="2249" spans="1:22">
      <c r="A2249" s="3">
        <v>2248</v>
      </c>
      <c r="J2249" s="1" t="s">
        <v>1174</v>
      </c>
      <c r="L2249" s="1" t="s">
        <v>298</v>
      </c>
      <c r="N2249" s="1" t="s">
        <v>1224</v>
      </c>
      <c r="P2249" s="1" t="s">
        <v>1461</v>
      </c>
      <c r="Q2249" s="3">
        <v>0</v>
      </c>
      <c r="R2249" s="22" t="s">
        <v>2766</v>
      </c>
      <c r="S2249" s="22" t="s">
        <v>5099</v>
      </c>
      <c r="T2249" s="51">
        <v>25</v>
      </c>
      <c r="U2249" s="3" t="s">
        <v>5662</v>
      </c>
      <c r="V2249" s="41" t="str">
        <f>HYPERLINK("http://ictvonline.org/taxonomy/p/taxonomy-history?taxnode_id=20182225","ICTVonline=20182225")</f>
        <v>ICTVonline=20182225</v>
      </c>
    </row>
    <row r="2250" spans="1:22">
      <c r="A2250" s="3">
        <v>2249</v>
      </c>
      <c r="J2250" s="1" t="s">
        <v>1174</v>
      </c>
      <c r="L2250" s="1" t="s">
        <v>298</v>
      </c>
      <c r="N2250" s="1" t="s">
        <v>1224</v>
      </c>
      <c r="P2250" s="1" t="s">
        <v>3769</v>
      </c>
      <c r="Q2250" s="3">
        <v>0</v>
      </c>
      <c r="R2250" s="22" t="s">
        <v>2766</v>
      </c>
      <c r="S2250" s="22" t="s">
        <v>5097</v>
      </c>
      <c r="T2250" s="51">
        <v>30</v>
      </c>
      <c r="U2250" s="3" t="s">
        <v>5674</v>
      </c>
      <c r="V2250" s="41" t="str">
        <f>HYPERLINK("http://ictvonline.org/taxonomy/p/taxonomy-history?taxnode_id=20182226","ICTVonline=20182226")</f>
        <v>ICTVonline=20182226</v>
      </c>
    </row>
    <row r="2251" spans="1:22">
      <c r="A2251" s="3">
        <v>2250</v>
      </c>
      <c r="J2251" s="1" t="s">
        <v>1174</v>
      </c>
      <c r="L2251" s="1" t="s">
        <v>298</v>
      </c>
      <c r="N2251" s="1" t="s">
        <v>1224</v>
      </c>
      <c r="P2251" s="1" t="s">
        <v>1462</v>
      </c>
      <c r="Q2251" s="3">
        <v>0</v>
      </c>
      <c r="R2251" s="22" t="s">
        <v>2766</v>
      </c>
      <c r="S2251" s="22" t="s">
        <v>5099</v>
      </c>
      <c r="T2251" s="51">
        <v>25</v>
      </c>
      <c r="U2251" s="3" t="s">
        <v>5662</v>
      </c>
      <c r="V2251" s="41" t="str">
        <f>HYPERLINK("http://ictvonline.org/taxonomy/p/taxonomy-history?taxnode_id=20182227","ICTVonline=20182227")</f>
        <v>ICTVonline=20182227</v>
      </c>
    </row>
    <row r="2252" spans="1:22">
      <c r="A2252" s="3">
        <v>2251</v>
      </c>
      <c r="J2252" s="1" t="s">
        <v>1174</v>
      </c>
      <c r="L2252" s="1" t="s">
        <v>298</v>
      </c>
      <c r="N2252" s="1" t="s">
        <v>1699</v>
      </c>
      <c r="P2252" s="1" t="s">
        <v>1521</v>
      </c>
      <c r="Q2252" s="3">
        <v>1</v>
      </c>
      <c r="R2252" s="22" t="s">
        <v>2766</v>
      </c>
      <c r="S2252" s="22" t="s">
        <v>5102</v>
      </c>
      <c r="T2252" s="51">
        <v>25</v>
      </c>
      <c r="U2252" s="3" t="s">
        <v>5675</v>
      </c>
      <c r="V2252" s="41" t="str">
        <f>HYPERLINK("http://ictvonline.org/taxonomy/p/taxonomy-history?taxnode_id=20182229","ICTVonline=20182229")</f>
        <v>ICTVonline=20182229</v>
      </c>
    </row>
    <row r="2253" spans="1:22">
      <c r="A2253" s="3">
        <v>2252</v>
      </c>
      <c r="J2253" s="1" t="s">
        <v>1174</v>
      </c>
      <c r="L2253" s="1" t="s">
        <v>1175</v>
      </c>
      <c r="M2253" s="1" t="s">
        <v>3770</v>
      </c>
      <c r="N2253" s="1" t="s">
        <v>421</v>
      </c>
      <c r="P2253" s="1" t="s">
        <v>422</v>
      </c>
      <c r="Q2253" s="3">
        <v>0</v>
      </c>
      <c r="R2253" s="22" t="s">
        <v>2766</v>
      </c>
      <c r="S2253" s="22" t="s">
        <v>5099</v>
      </c>
      <c r="T2253" s="51">
        <v>30</v>
      </c>
      <c r="U2253" s="3" t="s">
        <v>5676</v>
      </c>
      <c r="V2253" s="41" t="str">
        <f>HYPERLINK("http://ictvonline.org/taxonomy/p/taxonomy-history?taxnode_id=20182235","ICTVonline=20182235")</f>
        <v>ICTVonline=20182235</v>
      </c>
    </row>
    <row r="2254" spans="1:22">
      <c r="A2254" s="3">
        <v>2253</v>
      </c>
      <c r="J2254" s="1" t="s">
        <v>1174</v>
      </c>
      <c r="L2254" s="1" t="s">
        <v>1175</v>
      </c>
      <c r="M2254" s="1" t="s">
        <v>3770</v>
      </c>
      <c r="N2254" s="1" t="s">
        <v>421</v>
      </c>
      <c r="P2254" s="1" t="s">
        <v>423</v>
      </c>
      <c r="Q2254" s="3">
        <v>0</v>
      </c>
      <c r="R2254" s="22" t="s">
        <v>2766</v>
      </c>
      <c r="S2254" s="22" t="s">
        <v>5099</v>
      </c>
      <c r="T2254" s="51">
        <v>30</v>
      </c>
      <c r="U2254" s="3" t="s">
        <v>5676</v>
      </c>
      <c r="V2254" s="41" t="str">
        <f>HYPERLINK("http://ictvonline.org/taxonomy/p/taxonomy-history?taxnode_id=20182236","ICTVonline=20182236")</f>
        <v>ICTVonline=20182236</v>
      </c>
    </row>
    <row r="2255" spans="1:22">
      <c r="A2255" s="3">
        <v>2254</v>
      </c>
      <c r="J2255" s="1" t="s">
        <v>1174</v>
      </c>
      <c r="L2255" s="1" t="s">
        <v>1175</v>
      </c>
      <c r="M2255" s="1" t="s">
        <v>3770</v>
      </c>
      <c r="N2255" s="1" t="s">
        <v>421</v>
      </c>
      <c r="P2255" s="1" t="s">
        <v>5677</v>
      </c>
      <c r="Q2255" s="3">
        <v>0</v>
      </c>
      <c r="R2255" s="22" t="s">
        <v>2766</v>
      </c>
      <c r="S2255" s="22" t="s">
        <v>5097</v>
      </c>
      <c r="T2255" s="51">
        <v>32</v>
      </c>
      <c r="U2255" s="3" t="s">
        <v>5660</v>
      </c>
      <c r="V2255" s="41" t="str">
        <f>HYPERLINK("http://ictvonline.org/taxonomy/p/taxonomy-history?taxnode_id=20185637","ICTVonline=20185637")</f>
        <v>ICTVonline=20185637</v>
      </c>
    </row>
    <row r="2256" spans="1:22">
      <c r="A2256" s="3">
        <v>2255</v>
      </c>
      <c r="J2256" s="1" t="s">
        <v>1174</v>
      </c>
      <c r="L2256" s="1" t="s">
        <v>1175</v>
      </c>
      <c r="M2256" s="1" t="s">
        <v>3770</v>
      </c>
      <c r="N2256" s="1" t="s">
        <v>421</v>
      </c>
      <c r="P2256" s="1" t="s">
        <v>424</v>
      </c>
      <c r="Q2256" s="3">
        <v>0</v>
      </c>
      <c r="R2256" s="22" t="s">
        <v>2766</v>
      </c>
      <c r="S2256" s="22" t="s">
        <v>5099</v>
      </c>
      <c r="T2256" s="51">
        <v>30</v>
      </c>
      <c r="U2256" s="3" t="s">
        <v>5676</v>
      </c>
      <c r="V2256" s="41" t="str">
        <f>HYPERLINK("http://ictvonline.org/taxonomy/p/taxonomy-history?taxnode_id=20182237","ICTVonline=20182237")</f>
        <v>ICTVonline=20182237</v>
      </c>
    </row>
    <row r="2257" spans="1:22">
      <c r="A2257" s="3">
        <v>2256</v>
      </c>
      <c r="J2257" s="1" t="s">
        <v>1174</v>
      </c>
      <c r="L2257" s="1" t="s">
        <v>1175</v>
      </c>
      <c r="M2257" s="1" t="s">
        <v>3770</v>
      </c>
      <c r="N2257" s="1" t="s">
        <v>421</v>
      </c>
      <c r="P2257" s="1" t="s">
        <v>2212</v>
      </c>
      <c r="Q2257" s="3">
        <v>0</v>
      </c>
      <c r="R2257" s="22" t="s">
        <v>2766</v>
      </c>
      <c r="S2257" s="22" t="s">
        <v>5099</v>
      </c>
      <c r="T2257" s="51">
        <v>30</v>
      </c>
      <c r="U2257" s="3" t="s">
        <v>5676</v>
      </c>
      <c r="V2257" s="41" t="str">
        <f>HYPERLINK("http://ictvonline.org/taxonomy/p/taxonomy-history?taxnode_id=20182238","ICTVonline=20182238")</f>
        <v>ICTVonline=20182238</v>
      </c>
    </row>
    <row r="2258" spans="1:22">
      <c r="A2258" s="3">
        <v>2257</v>
      </c>
      <c r="J2258" s="1" t="s">
        <v>1174</v>
      </c>
      <c r="L2258" s="1" t="s">
        <v>1175</v>
      </c>
      <c r="M2258" s="1" t="s">
        <v>3770</v>
      </c>
      <c r="N2258" s="1" t="s">
        <v>421</v>
      </c>
      <c r="P2258" s="1" t="s">
        <v>425</v>
      </c>
      <c r="Q2258" s="3">
        <v>0</v>
      </c>
      <c r="R2258" s="22" t="s">
        <v>2766</v>
      </c>
      <c r="S2258" s="22" t="s">
        <v>5099</v>
      </c>
      <c r="T2258" s="51">
        <v>30</v>
      </c>
      <c r="U2258" s="3" t="s">
        <v>5676</v>
      </c>
      <c r="V2258" s="41" t="str">
        <f>HYPERLINK("http://ictvonline.org/taxonomy/p/taxonomy-history?taxnode_id=20182239","ICTVonline=20182239")</f>
        <v>ICTVonline=20182239</v>
      </c>
    </row>
    <row r="2259" spans="1:22">
      <c r="A2259" s="3">
        <v>2258</v>
      </c>
      <c r="J2259" s="1" t="s">
        <v>1174</v>
      </c>
      <c r="L2259" s="1" t="s">
        <v>1175</v>
      </c>
      <c r="M2259" s="1" t="s">
        <v>3770</v>
      </c>
      <c r="N2259" s="1" t="s">
        <v>421</v>
      </c>
      <c r="P2259" s="1" t="s">
        <v>426</v>
      </c>
      <c r="Q2259" s="3">
        <v>0</v>
      </c>
      <c r="R2259" s="22" t="s">
        <v>2766</v>
      </c>
      <c r="S2259" s="22" t="s">
        <v>5099</v>
      </c>
      <c r="T2259" s="51">
        <v>30</v>
      </c>
      <c r="U2259" s="3" t="s">
        <v>5676</v>
      </c>
      <c r="V2259" s="41" t="str">
        <f>HYPERLINK("http://ictvonline.org/taxonomy/p/taxonomy-history?taxnode_id=20182240","ICTVonline=20182240")</f>
        <v>ICTVonline=20182240</v>
      </c>
    </row>
    <row r="2260" spans="1:22">
      <c r="A2260" s="3">
        <v>2259</v>
      </c>
      <c r="J2260" s="1" t="s">
        <v>1174</v>
      </c>
      <c r="L2260" s="1" t="s">
        <v>1175</v>
      </c>
      <c r="M2260" s="1" t="s">
        <v>3770</v>
      </c>
      <c r="N2260" s="1" t="s">
        <v>421</v>
      </c>
      <c r="P2260" s="1" t="s">
        <v>295</v>
      </c>
      <c r="Q2260" s="3">
        <v>1</v>
      </c>
      <c r="R2260" s="22" t="s">
        <v>2766</v>
      </c>
      <c r="S2260" s="22" t="s">
        <v>5099</v>
      </c>
      <c r="T2260" s="51">
        <v>30</v>
      </c>
      <c r="U2260" s="3" t="s">
        <v>5676</v>
      </c>
      <c r="V2260" s="41" t="str">
        <f>HYPERLINK("http://ictvonline.org/taxonomy/p/taxonomy-history?taxnode_id=20182241","ICTVonline=20182241")</f>
        <v>ICTVonline=20182241</v>
      </c>
    </row>
    <row r="2261" spans="1:22">
      <c r="A2261" s="3">
        <v>2260</v>
      </c>
      <c r="J2261" s="1" t="s">
        <v>1174</v>
      </c>
      <c r="L2261" s="1" t="s">
        <v>1175</v>
      </c>
      <c r="M2261" s="1" t="s">
        <v>3770</v>
      </c>
      <c r="N2261" s="1" t="s">
        <v>421</v>
      </c>
      <c r="P2261" s="1" t="s">
        <v>2049</v>
      </c>
      <c r="Q2261" s="3">
        <v>0</v>
      </c>
      <c r="R2261" s="22" t="s">
        <v>2766</v>
      </c>
      <c r="S2261" s="22" t="s">
        <v>5099</v>
      </c>
      <c r="T2261" s="51">
        <v>30</v>
      </c>
      <c r="U2261" s="3" t="s">
        <v>5676</v>
      </c>
      <c r="V2261" s="41" t="str">
        <f>HYPERLINK("http://ictvonline.org/taxonomy/p/taxonomy-history?taxnode_id=20182242","ICTVonline=20182242")</f>
        <v>ICTVonline=20182242</v>
      </c>
    </row>
    <row r="2262" spans="1:22">
      <c r="A2262" s="3">
        <v>2261</v>
      </c>
      <c r="J2262" s="1" t="s">
        <v>1174</v>
      </c>
      <c r="L2262" s="1" t="s">
        <v>1175</v>
      </c>
      <c r="M2262" s="1" t="s">
        <v>3770</v>
      </c>
      <c r="N2262" s="1" t="s">
        <v>421</v>
      </c>
      <c r="P2262" s="1" t="s">
        <v>2050</v>
      </c>
      <c r="Q2262" s="3">
        <v>0</v>
      </c>
      <c r="R2262" s="22" t="s">
        <v>2766</v>
      </c>
      <c r="S2262" s="22" t="s">
        <v>5099</v>
      </c>
      <c r="T2262" s="51">
        <v>30</v>
      </c>
      <c r="U2262" s="3" t="s">
        <v>5676</v>
      </c>
      <c r="V2262" s="41" t="str">
        <f>HYPERLINK("http://ictvonline.org/taxonomy/p/taxonomy-history?taxnode_id=20182243","ICTVonline=20182243")</f>
        <v>ICTVonline=20182243</v>
      </c>
    </row>
    <row r="2263" spans="1:22">
      <c r="A2263" s="3">
        <v>2262</v>
      </c>
      <c r="J2263" s="1" t="s">
        <v>1174</v>
      </c>
      <c r="L2263" s="1" t="s">
        <v>1175</v>
      </c>
      <c r="M2263" s="1" t="s">
        <v>3770</v>
      </c>
      <c r="N2263" s="1" t="s">
        <v>421</v>
      </c>
      <c r="P2263" s="1" t="s">
        <v>2129</v>
      </c>
      <c r="Q2263" s="3">
        <v>0</v>
      </c>
      <c r="R2263" s="22" t="s">
        <v>2766</v>
      </c>
      <c r="S2263" s="22" t="s">
        <v>5099</v>
      </c>
      <c r="T2263" s="51">
        <v>30</v>
      </c>
      <c r="U2263" s="3" t="s">
        <v>5676</v>
      </c>
      <c r="V2263" s="41" t="str">
        <f>HYPERLINK("http://ictvonline.org/taxonomy/p/taxonomy-history?taxnode_id=20182244","ICTVonline=20182244")</f>
        <v>ICTVonline=20182244</v>
      </c>
    </row>
    <row r="2264" spans="1:22">
      <c r="A2264" s="3">
        <v>2263</v>
      </c>
      <c r="J2264" s="1" t="s">
        <v>1174</v>
      </c>
      <c r="L2264" s="1" t="s">
        <v>1175</v>
      </c>
      <c r="M2264" s="1" t="s">
        <v>3770</v>
      </c>
      <c r="N2264" s="1" t="s">
        <v>421</v>
      </c>
      <c r="P2264" s="1" t="s">
        <v>1956</v>
      </c>
      <c r="Q2264" s="3">
        <v>0</v>
      </c>
      <c r="R2264" s="22" t="s">
        <v>2766</v>
      </c>
      <c r="S2264" s="22" t="s">
        <v>5099</v>
      </c>
      <c r="T2264" s="51">
        <v>30</v>
      </c>
      <c r="U2264" s="3" t="s">
        <v>5676</v>
      </c>
      <c r="V2264" s="41" t="str">
        <f>HYPERLINK("http://ictvonline.org/taxonomy/p/taxonomy-history?taxnode_id=20182245","ICTVonline=20182245")</f>
        <v>ICTVonline=20182245</v>
      </c>
    </row>
    <row r="2265" spans="1:22">
      <c r="A2265" s="3">
        <v>2264</v>
      </c>
      <c r="J2265" s="1" t="s">
        <v>1174</v>
      </c>
      <c r="L2265" s="1" t="s">
        <v>1175</v>
      </c>
      <c r="M2265" s="1" t="s">
        <v>3770</v>
      </c>
      <c r="N2265" s="1" t="s">
        <v>421</v>
      </c>
      <c r="P2265" s="1" t="s">
        <v>2213</v>
      </c>
      <c r="Q2265" s="3">
        <v>0</v>
      </c>
      <c r="R2265" s="22" t="s">
        <v>2766</v>
      </c>
      <c r="S2265" s="22" t="s">
        <v>5099</v>
      </c>
      <c r="T2265" s="51">
        <v>30</v>
      </c>
      <c r="U2265" s="3" t="s">
        <v>5676</v>
      </c>
      <c r="V2265" s="41" t="str">
        <f>HYPERLINK("http://ictvonline.org/taxonomy/p/taxonomy-history?taxnode_id=20182246","ICTVonline=20182246")</f>
        <v>ICTVonline=20182246</v>
      </c>
    </row>
    <row r="2266" spans="1:22">
      <c r="A2266" s="3">
        <v>2265</v>
      </c>
      <c r="J2266" s="1" t="s">
        <v>1174</v>
      </c>
      <c r="L2266" s="1" t="s">
        <v>1175</v>
      </c>
      <c r="M2266" s="1" t="s">
        <v>3770</v>
      </c>
      <c r="N2266" s="1" t="s">
        <v>421</v>
      </c>
      <c r="P2266" s="1" t="s">
        <v>1957</v>
      </c>
      <c r="Q2266" s="3">
        <v>0</v>
      </c>
      <c r="R2266" s="22" t="s">
        <v>2766</v>
      </c>
      <c r="S2266" s="22" t="s">
        <v>5099</v>
      </c>
      <c r="T2266" s="51">
        <v>30</v>
      </c>
      <c r="U2266" s="3" t="s">
        <v>5676</v>
      </c>
      <c r="V2266" s="41" t="str">
        <f>HYPERLINK("http://ictvonline.org/taxonomy/p/taxonomy-history?taxnode_id=20182247","ICTVonline=20182247")</f>
        <v>ICTVonline=20182247</v>
      </c>
    </row>
    <row r="2267" spans="1:22">
      <c r="A2267" s="3">
        <v>2266</v>
      </c>
      <c r="J2267" s="1" t="s">
        <v>1174</v>
      </c>
      <c r="L2267" s="1" t="s">
        <v>1175</v>
      </c>
      <c r="M2267" s="1" t="s">
        <v>3770</v>
      </c>
      <c r="N2267" s="1" t="s">
        <v>421</v>
      </c>
      <c r="P2267" s="1" t="s">
        <v>3771</v>
      </c>
      <c r="Q2267" s="3">
        <v>0</v>
      </c>
      <c r="R2267" s="22" t="s">
        <v>2766</v>
      </c>
      <c r="S2267" s="22" t="s">
        <v>5097</v>
      </c>
      <c r="T2267" s="51">
        <v>30</v>
      </c>
      <c r="U2267" s="3" t="s">
        <v>5676</v>
      </c>
      <c r="V2267" s="41" t="str">
        <f>HYPERLINK("http://ictvonline.org/taxonomy/p/taxonomy-history?taxnode_id=20182248","ICTVonline=20182248")</f>
        <v>ICTVonline=20182248</v>
      </c>
    </row>
    <row r="2268" spans="1:22">
      <c r="A2268" s="3">
        <v>2267</v>
      </c>
      <c r="J2268" s="1" t="s">
        <v>1174</v>
      </c>
      <c r="L2268" s="1" t="s">
        <v>1175</v>
      </c>
      <c r="M2268" s="1" t="s">
        <v>3770</v>
      </c>
      <c r="N2268" s="1" t="s">
        <v>421</v>
      </c>
      <c r="P2268" s="1" t="s">
        <v>1624</v>
      </c>
      <c r="Q2268" s="3">
        <v>0</v>
      </c>
      <c r="R2268" s="22" t="s">
        <v>2766</v>
      </c>
      <c r="S2268" s="22" t="s">
        <v>5099</v>
      </c>
      <c r="T2268" s="51">
        <v>30</v>
      </c>
      <c r="U2268" s="3" t="s">
        <v>5676</v>
      </c>
      <c r="V2268" s="41" t="str">
        <f>HYPERLINK("http://ictvonline.org/taxonomy/p/taxonomy-history?taxnode_id=20182249","ICTVonline=20182249")</f>
        <v>ICTVonline=20182249</v>
      </c>
    </row>
    <row r="2269" spans="1:22">
      <c r="A2269" s="3">
        <v>2268</v>
      </c>
      <c r="J2269" s="1" t="s">
        <v>1174</v>
      </c>
      <c r="L2269" s="1" t="s">
        <v>1175</v>
      </c>
      <c r="M2269" s="1" t="s">
        <v>3770</v>
      </c>
      <c r="N2269" s="1" t="s">
        <v>421</v>
      </c>
      <c r="P2269" s="1" t="s">
        <v>1625</v>
      </c>
      <c r="Q2269" s="3">
        <v>0</v>
      </c>
      <c r="R2269" s="22" t="s">
        <v>2766</v>
      </c>
      <c r="S2269" s="22" t="s">
        <v>5099</v>
      </c>
      <c r="T2269" s="51">
        <v>30</v>
      </c>
      <c r="U2269" s="3" t="s">
        <v>5676</v>
      </c>
      <c r="V2269" s="41" t="str">
        <f>HYPERLINK("http://ictvonline.org/taxonomy/p/taxonomy-history?taxnode_id=20182250","ICTVonline=20182250")</f>
        <v>ICTVonline=20182250</v>
      </c>
    </row>
    <row r="2270" spans="1:22">
      <c r="A2270" s="3">
        <v>2269</v>
      </c>
      <c r="J2270" s="1" t="s">
        <v>1174</v>
      </c>
      <c r="L2270" s="1" t="s">
        <v>1175</v>
      </c>
      <c r="M2270" s="1" t="s">
        <v>3770</v>
      </c>
      <c r="N2270" s="1" t="s">
        <v>421</v>
      </c>
      <c r="P2270" s="1" t="s">
        <v>2214</v>
      </c>
      <c r="Q2270" s="3">
        <v>0</v>
      </c>
      <c r="R2270" s="22" t="s">
        <v>2766</v>
      </c>
      <c r="S2270" s="22" t="s">
        <v>5099</v>
      </c>
      <c r="T2270" s="51">
        <v>30</v>
      </c>
      <c r="U2270" s="3" t="s">
        <v>5676</v>
      </c>
      <c r="V2270" s="41" t="str">
        <f>HYPERLINK("http://ictvonline.org/taxonomy/p/taxonomy-history?taxnode_id=20182251","ICTVonline=20182251")</f>
        <v>ICTVonline=20182251</v>
      </c>
    </row>
    <row r="2271" spans="1:22">
      <c r="A2271" s="3">
        <v>2270</v>
      </c>
      <c r="J2271" s="1" t="s">
        <v>1174</v>
      </c>
      <c r="L2271" s="1" t="s">
        <v>1175</v>
      </c>
      <c r="M2271" s="1" t="s">
        <v>3770</v>
      </c>
      <c r="N2271" s="1" t="s">
        <v>421</v>
      </c>
      <c r="P2271" s="1" t="s">
        <v>1893</v>
      </c>
      <c r="Q2271" s="3">
        <v>0</v>
      </c>
      <c r="R2271" s="22" t="s">
        <v>2766</v>
      </c>
      <c r="S2271" s="22" t="s">
        <v>5099</v>
      </c>
      <c r="T2271" s="51">
        <v>30</v>
      </c>
      <c r="U2271" s="3" t="s">
        <v>5676</v>
      </c>
      <c r="V2271" s="41" t="str">
        <f>HYPERLINK("http://ictvonline.org/taxonomy/p/taxonomy-history?taxnode_id=20182252","ICTVonline=20182252")</f>
        <v>ICTVonline=20182252</v>
      </c>
    </row>
    <row r="2272" spans="1:22">
      <c r="A2272" s="3">
        <v>2271</v>
      </c>
      <c r="J2272" s="1" t="s">
        <v>1174</v>
      </c>
      <c r="L2272" s="1" t="s">
        <v>1175</v>
      </c>
      <c r="M2272" s="1" t="s">
        <v>3770</v>
      </c>
      <c r="N2272" s="1" t="s">
        <v>421</v>
      </c>
      <c r="P2272" s="1" t="s">
        <v>2215</v>
      </c>
      <c r="Q2272" s="3">
        <v>0</v>
      </c>
      <c r="R2272" s="22" t="s">
        <v>2766</v>
      </c>
      <c r="S2272" s="22" t="s">
        <v>5099</v>
      </c>
      <c r="T2272" s="51">
        <v>30</v>
      </c>
      <c r="U2272" s="3" t="s">
        <v>5676</v>
      </c>
      <c r="V2272" s="41" t="str">
        <f>HYPERLINK("http://ictvonline.org/taxonomy/p/taxonomy-history?taxnode_id=20182253","ICTVonline=20182253")</f>
        <v>ICTVonline=20182253</v>
      </c>
    </row>
    <row r="2273" spans="1:22">
      <c r="A2273" s="3">
        <v>2272</v>
      </c>
      <c r="J2273" s="1" t="s">
        <v>1174</v>
      </c>
      <c r="L2273" s="1" t="s">
        <v>1175</v>
      </c>
      <c r="M2273" s="1" t="s">
        <v>3770</v>
      </c>
      <c r="N2273" s="1" t="s">
        <v>421</v>
      </c>
      <c r="P2273" s="1" t="s">
        <v>1626</v>
      </c>
      <c r="Q2273" s="3">
        <v>0</v>
      </c>
      <c r="R2273" s="22" t="s">
        <v>2766</v>
      </c>
      <c r="S2273" s="22" t="s">
        <v>5099</v>
      </c>
      <c r="T2273" s="51">
        <v>30</v>
      </c>
      <c r="U2273" s="3" t="s">
        <v>5676</v>
      </c>
      <c r="V2273" s="41" t="str">
        <f>HYPERLINK("http://ictvonline.org/taxonomy/p/taxonomy-history?taxnode_id=20182254","ICTVonline=20182254")</f>
        <v>ICTVonline=20182254</v>
      </c>
    </row>
    <row r="2274" spans="1:22">
      <c r="A2274" s="3">
        <v>2273</v>
      </c>
      <c r="J2274" s="1" t="s">
        <v>1174</v>
      </c>
      <c r="L2274" s="1" t="s">
        <v>1175</v>
      </c>
      <c r="M2274" s="1" t="s">
        <v>3770</v>
      </c>
      <c r="N2274" s="1" t="s">
        <v>421</v>
      </c>
      <c r="P2274" s="1" t="s">
        <v>1627</v>
      </c>
      <c r="Q2274" s="3">
        <v>0</v>
      </c>
      <c r="R2274" s="22" t="s">
        <v>2766</v>
      </c>
      <c r="S2274" s="22" t="s">
        <v>5099</v>
      </c>
      <c r="T2274" s="51">
        <v>30</v>
      </c>
      <c r="U2274" s="3" t="s">
        <v>5676</v>
      </c>
      <c r="V2274" s="41" t="str">
        <f>HYPERLINK("http://ictvonline.org/taxonomy/p/taxonomy-history?taxnode_id=20182255","ICTVonline=20182255")</f>
        <v>ICTVonline=20182255</v>
      </c>
    </row>
    <row r="2275" spans="1:22">
      <c r="A2275" s="3">
        <v>2274</v>
      </c>
      <c r="J2275" s="1" t="s">
        <v>1174</v>
      </c>
      <c r="L2275" s="1" t="s">
        <v>1175</v>
      </c>
      <c r="M2275" s="1" t="s">
        <v>3770</v>
      </c>
      <c r="N2275" s="1" t="s">
        <v>421</v>
      </c>
      <c r="P2275" s="1" t="s">
        <v>2216</v>
      </c>
      <c r="Q2275" s="3">
        <v>0</v>
      </c>
      <c r="R2275" s="22" t="s">
        <v>2766</v>
      </c>
      <c r="S2275" s="22" t="s">
        <v>5099</v>
      </c>
      <c r="T2275" s="51">
        <v>30</v>
      </c>
      <c r="U2275" s="3" t="s">
        <v>5676</v>
      </c>
      <c r="V2275" s="41" t="str">
        <f>HYPERLINK("http://ictvonline.org/taxonomy/p/taxonomy-history?taxnode_id=20182256","ICTVonline=20182256")</f>
        <v>ICTVonline=20182256</v>
      </c>
    </row>
    <row r="2276" spans="1:22">
      <c r="A2276" s="3">
        <v>2275</v>
      </c>
      <c r="J2276" s="1" t="s">
        <v>1174</v>
      </c>
      <c r="L2276" s="1" t="s">
        <v>1175</v>
      </c>
      <c r="M2276" s="1" t="s">
        <v>3770</v>
      </c>
      <c r="N2276" s="1" t="s">
        <v>421</v>
      </c>
      <c r="P2276" s="1" t="s">
        <v>5678</v>
      </c>
      <c r="Q2276" s="3">
        <v>0</v>
      </c>
      <c r="R2276" s="22" t="s">
        <v>2766</v>
      </c>
      <c r="S2276" s="22" t="s">
        <v>5100</v>
      </c>
      <c r="T2276" s="51">
        <v>32</v>
      </c>
      <c r="U2276" s="3" t="s">
        <v>5478</v>
      </c>
      <c r="V2276" s="41" t="str">
        <f>HYPERLINK("http://ictvonline.org/taxonomy/p/taxonomy-history?taxnode_id=20182257","ICTVonline=20182257")</f>
        <v>ICTVonline=20182257</v>
      </c>
    </row>
    <row r="2277" spans="1:22">
      <c r="A2277" s="3">
        <v>2276</v>
      </c>
      <c r="J2277" s="1" t="s">
        <v>1174</v>
      </c>
      <c r="L2277" s="1" t="s">
        <v>1175</v>
      </c>
      <c r="M2277" s="1" t="s">
        <v>3770</v>
      </c>
      <c r="N2277" s="1" t="s">
        <v>421</v>
      </c>
      <c r="P2277" s="1" t="s">
        <v>2130</v>
      </c>
      <c r="Q2277" s="3">
        <v>0</v>
      </c>
      <c r="R2277" s="22" t="s">
        <v>2766</v>
      </c>
      <c r="S2277" s="22" t="s">
        <v>5099</v>
      </c>
      <c r="T2277" s="51">
        <v>30</v>
      </c>
      <c r="U2277" s="3" t="s">
        <v>5676</v>
      </c>
      <c r="V2277" s="41" t="str">
        <f>HYPERLINK("http://ictvonline.org/taxonomy/p/taxonomy-history?taxnode_id=20182258","ICTVonline=20182258")</f>
        <v>ICTVonline=20182258</v>
      </c>
    </row>
    <row r="2278" spans="1:22">
      <c r="A2278" s="3">
        <v>2277</v>
      </c>
      <c r="J2278" s="1" t="s">
        <v>1174</v>
      </c>
      <c r="L2278" s="1" t="s">
        <v>1175</v>
      </c>
      <c r="M2278" s="1" t="s">
        <v>3770</v>
      </c>
      <c r="N2278" s="1" t="s">
        <v>421</v>
      </c>
      <c r="P2278" s="1" t="s">
        <v>5679</v>
      </c>
      <c r="Q2278" s="3">
        <v>0</v>
      </c>
      <c r="R2278" s="22" t="s">
        <v>2766</v>
      </c>
      <c r="S2278" s="22" t="s">
        <v>5097</v>
      </c>
      <c r="T2278" s="51">
        <v>32</v>
      </c>
      <c r="U2278" s="3" t="s">
        <v>5660</v>
      </c>
      <c r="V2278" s="41" t="str">
        <f>HYPERLINK("http://ictvonline.org/taxonomy/p/taxonomy-history?taxnode_id=20185638","ICTVonline=20185638")</f>
        <v>ICTVonline=20185638</v>
      </c>
    </row>
    <row r="2279" spans="1:22">
      <c r="A2279" s="3">
        <v>2278</v>
      </c>
      <c r="J2279" s="1" t="s">
        <v>1174</v>
      </c>
      <c r="L2279" s="1" t="s">
        <v>1175</v>
      </c>
      <c r="M2279" s="1" t="s">
        <v>3770</v>
      </c>
      <c r="N2279" s="1" t="s">
        <v>421</v>
      </c>
      <c r="P2279" s="1" t="s">
        <v>2051</v>
      </c>
      <c r="Q2279" s="3">
        <v>0</v>
      </c>
      <c r="R2279" s="22" t="s">
        <v>2766</v>
      </c>
      <c r="S2279" s="22" t="s">
        <v>5099</v>
      </c>
      <c r="T2279" s="51">
        <v>30</v>
      </c>
      <c r="U2279" s="3" t="s">
        <v>5676</v>
      </c>
      <c r="V2279" s="41" t="str">
        <f>HYPERLINK("http://ictvonline.org/taxonomy/p/taxonomy-history?taxnode_id=20182259","ICTVonline=20182259")</f>
        <v>ICTVonline=20182259</v>
      </c>
    </row>
    <row r="2280" spans="1:22">
      <c r="A2280" s="3">
        <v>2279</v>
      </c>
      <c r="J2280" s="1" t="s">
        <v>1174</v>
      </c>
      <c r="L2280" s="1" t="s">
        <v>1175</v>
      </c>
      <c r="M2280" s="1" t="s">
        <v>3770</v>
      </c>
      <c r="N2280" s="1" t="s">
        <v>421</v>
      </c>
      <c r="P2280" s="1" t="s">
        <v>2052</v>
      </c>
      <c r="Q2280" s="3">
        <v>0</v>
      </c>
      <c r="R2280" s="22" t="s">
        <v>2766</v>
      </c>
      <c r="S2280" s="22" t="s">
        <v>5099</v>
      </c>
      <c r="T2280" s="51">
        <v>30</v>
      </c>
      <c r="U2280" s="3" t="s">
        <v>5676</v>
      </c>
      <c r="V2280" s="41" t="str">
        <f>HYPERLINK("http://ictvonline.org/taxonomy/p/taxonomy-history?taxnode_id=20182260","ICTVonline=20182260")</f>
        <v>ICTVonline=20182260</v>
      </c>
    </row>
    <row r="2281" spans="1:22">
      <c r="A2281" s="3">
        <v>2280</v>
      </c>
      <c r="J2281" s="1" t="s">
        <v>1174</v>
      </c>
      <c r="L2281" s="1" t="s">
        <v>1175</v>
      </c>
      <c r="M2281" s="1" t="s">
        <v>3770</v>
      </c>
      <c r="N2281" s="1" t="s">
        <v>421</v>
      </c>
      <c r="P2281" s="1" t="s">
        <v>2217</v>
      </c>
      <c r="Q2281" s="3">
        <v>0</v>
      </c>
      <c r="R2281" s="22" t="s">
        <v>2766</v>
      </c>
      <c r="S2281" s="22" t="s">
        <v>5099</v>
      </c>
      <c r="T2281" s="51">
        <v>30</v>
      </c>
      <c r="U2281" s="3" t="s">
        <v>5676</v>
      </c>
      <c r="V2281" s="41" t="str">
        <f>HYPERLINK("http://ictvonline.org/taxonomy/p/taxonomy-history?taxnode_id=20182261","ICTVonline=20182261")</f>
        <v>ICTVonline=20182261</v>
      </c>
    </row>
    <row r="2282" spans="1:22">
      <c r="A2282" s="3">
        <v>2281</v>
      </c>
      <c r="J2282" s="1" t="s">
        <v>1174</v>
      </c>
      <c r="L2282" s="1" t="s">
        <v>1175</v>
      </c>
      <c r="M2282" s="1" t="s">
        <v>3770</v>
      </c>
      <c r="N2282" s="1" t="s">
        <v>421</v>
      </c>
      <c r="P2282" s="1" t="s">
        <v>1958</v>
      </c>
      <c r="Q2282" s="3">
        <v>0</v>
      </c>
      <c r="R2282" s="22" t="s">
        <v>2766</v>
      </c>
      <c r="S2282" s="22" t="s">
        <v>5099</v>
      </c>
      <c r="T2282" s="51">
        <v>30</v>
      </c>
      <c r="U2282" s="3" t="s">
        <v>5676</v>
      </c>
      <c r="V2282" s="41" t="str">
        <f>HYPERLINK("http://ictvonline.org/taxonomy/p/taxonomy-history?taxnode_id=20182262","ICTVonline=20182262")</f>
        <v>ICTVonline=20182262</v>
      </c>
    </row>
    <row r="2283" spans="1:22">
      <c r="A2283" s="3">
        <v>2282</v>
      </c>
      <c r="J2283" s="1" t="s">
        <v>1174</v>
      </c>
      <c r="L2283" s="1" t="s">
        <v>1175</v>
      </c>
      <c r="M2283" s="1" t="s">
        <v>3770</v>
      </c>
      <c r="N2283" s="1" t="s">
        <v>421</v>
      </c>
      <c r="P2283" s="1" t="s">
        <v>1959</v>
      </c>
      <c r="Q2283" s="3">
        <v>0</v>
      </c>
      <c r="R2283" s="22" t="s">
        <v>2766</v>
      </c>
      <c r="S2283" s="22" t="s">
        <v>5099</v>
      </c>
      <c r="T2283" s="51">
        <v>30</v>
      </c>
      <c r="U2283" s="3" t="s">
        <v>5676</v>
      </c>
      <c r="V2283" s="41" t="str">
        <f>HYPERLINK("http://ictvonline.org/taxonomy/p/taxonomy-history?taxnode_id=20182263","ICTVonline=20182263")</f>
        <v>ICTVonline=20182263</v>
      </c>
    </row>
    <row r="2284" spans="1:22">
      <c r="A2284" s="3">
        <v>2283</v>
      </c>
      <c r="J2284" s="1" t="s">
        <v>1174</v>
      </c>
      <c r="L2284" s="1" t="s">
        <v>1175</v>
      </c>
      <c r="M2284" s="1" t="s">
        <v>3770</v>
      </c>
      <c r="N2284" s="1" t="s">
        <v>421</v>
      </c>
      <c r="P2284" s="1" t="s">
        <v>1960</v>
      </c>
      <c r="Q2284" s="3">
        <v>0</v>
      </c>
      <c r="R2284" s="22" t="s">
        <v>2766</v>
      </c>
      <c r="S2284" s="22" t="s">
        <v>5099</v>
      </c>
      <c r="T2284" s="51">
        <v>30</v>
      </c>
      <c r="U2284" s="3" t="s">
        <v>5676</v>
      </c>
      <c r="V2284" s="41" t="str">
        <f>HYPERLINK("http://ictvonline.org/taxonomy/p/taxonomy-history?taxnode_id=20182264","ICTVonline=20182264")</f>
        <v>ICTVonline=20182264</v>
      </c>
    </row>
    <row r="2285" spans="1:22">
      <c r="A2285" s="3">
        <v>2284</v>
      </c>
      <c r="J2285" s="1" t="s">
        <v>1174</v>
      </c>
      <c r="L2285" s="1" t="s">
        <v>1175</v>
      </c>
      <c r="M2285" s="1" t="s">
        <v>3770</v>
      </c>
      <c r="N2285" s="1" t="s">
        <v>421</v>
      </c>
      <c r="P2285" s="1" t="s">
        <v>1961</v>
      </c>
      <c r="Q2285" s="3">
        <v>0</v>
      </c>
      <c r="R2285" s="22" t="s">
        <v>2766</v>
      </c>
      <c r="S2285" s="22" t="s">
        <v>5099</v>
      </c>
      <c r="T2285" s="51">
        <v>30</v>
      </c>
      <c r="U2285" s="3" t="s">
        <v>5676</v>
      </c>
      <c r="V2285" s="41" t="str">
        <f>HYPERLINK("http://ictvonline.org/taxonomy/p/taxonomy-history?taxnode_id=20182265","ICTVonline=20182265")</f>
        <v>ICTVonline=20182265</v>
      </c>
    </row>
    <row r="2286" spans="1:22">
      <c r="A2286" s="3">
        <v>2285</v>
      </c>
      <c r="J2286" s="1" t="s">
        <v>1174</v>
      </c>
      <c r="L2286" s="1" t="s">
        <v>1175</v>
      </c>
      <c r="M2286" s="1" t="s">
        <v>3770</v>
      </c>
      <c r="N2286" s="1" t="s">
        <v>421</v>
      </c>
      <c r="P2286" s="1" t="s">
        <v>2218</v>
      </c>
      <c r="Q2286" s="3">
        <v>0</v>
      </c>
      <c r="R2286" s="22" t="s">
        <v>2766</v>
      </c>
      <c r="S2286" s="22" t="s">
        <v>5099</v>
      </c>
      <c r="T2286" s="51">
        <v>30</v>
      </c>
      <c r="U2286" s="3" t="s">
        <v>5676</v>
      </c>
      <c r="V2286" s="41" t="str">
        <f>HYPERLINK("http://ictvonline.org/taxonomy/p/taxonomy-history?taxnode_id=20182266","ICTVonline=20182266")</f>
        <v>ICTVonline=20182266</v>
      </c>
    </row>
    <row r="2287" spans="1:22">
      <c r="A2287" s="3">
        <v>2286</v>
      </c>
      <c r="J2287" s="1" t="s">
        <v>1174</v>
      </c>
      <c r="L2287" s="1" t="s">
        <v>1175</v>
      </c>
      <c r="M2287" s="1" t="s">
        <v>3770</v>
      </c>
      <c r="N2287" s="1" t="s">
        <v>421</v>
      </c>
      <c r="P2287" s="1" t="s">
        <v>2219</v>
      </c>
      <c r="Q2287" s="3">
        <v>0</v>
      </c>
      <c r="R2287" s="22" t="s">
        <v>2766</v>
      </c>
      <c r="S2287" s="22" t="s">
        <v>5099</v>
      </c>
      <c r="T2287" s="51">
        <v>30</v>
      </c>
      <c r="U2287" s="3" t="s">
        <v>5676</v>
      </c>
      <c r="V2287" s="41" t="str">
        <f>HYPERLINK("http://ictvonline.org/taxonomy/p/taxonomy-history?taxnode_id=20182267","ICTVonline=20182267")</f>
        <v>ICTVonline=20182267</v>
      </c>
    </row>
    <row r="2288" spans="1:22">
      <c r="A2288" s="3">
        <v>2287</v>
      </c>
      <c r="J2288" s="1" t="s">
        <v>1174</v>
      </c>
      <c r="L2288" s="1" t="s">
        <v>1175</v>
      </c>
      <c r="M2288" s="1" t="s">
        <v>3770</v>
      </c>
      <c r="N2288" s="1" t="s">
        <v>421</v>
      </c>
      <c r="P2288" s="1" t="s">
        <v>2220</v>
      </c>
      <c r="Q2288" s="3">
        <v>0</v>
      </c>
      <c r="R2288" s="22" t="s">
        <v>2766</v>
      </c>
      <c r="S2288" s="22" t="s">
        <v>5099</v>
      </c>
      <c r="T2288" s="51">
        <v>30</v>
      </c>
      <c r="U2288" s="3" t="s">
        <v>5676</v>
      </c>
      <c r="V2288" s="41" t="str">
        <f>HYPERLINK("http://ictvonline.org/taxonomy/p/taxonomy-history?taxnode_id=20182268","ICTVonline=20182268")</f>
        <v>ICTVonline=20182268</v>
      </c>
    </row>
    <row r="2289" spans="1:22">
      <c r="A2289" s="3">
        <v>2288</v>
      </c>
      <c r="J2289" s="1" t="s">
        <v>1174</v>
      </c>
      <c r="L2289" s="1" t="s">
        <v>1175</v>
      </c>
      <c r="M2289" s="1" t="s">
        <v>3770</v>
      </c>
      <c r="N2289" s="1" t="s">
        <v>421</v>
      </c>
      <c r="P2289" s="1" t="s">
        <v>1962</v>
      </c>
      <c r="Q2289" s="3">
        <v>0</v>
      </c>
      <c r="R2289" s="22" t="s">
        <v>2766</v>
      </c>
      <c r="S2289" s="22" t="s">
        <v>5099</v>
      </c>
      <c r="T2289" s="51">
        <v>30</v>
      </c>
      <c r="U2289" s="3" t="s">
        <v>5676</v>
      </c>
      <c r="V2289" s="41" t="str">
        <f>HYPERLINK("http://ictvonline.org/taxonomy/p/taxonomy-history?taxnode_id=20182269","ICTVonline=20182269")</f>
        <v>ICTVonline=20182269</v>
      </c>
    </row>
    <row r="2290" spans="1:22">
      <c r="A2290" s="3">
        <v>2289</v>
      </c>
      <c r="J2290" s="1" t="s">
        <v>1174</v>
      </c>
      <c r="L2290" s="1" t="s">
        <v>1175</v>
      </c>
      <c r="M2290" s="1" t="s">
        <v>3770</v>
      </c>
      <c r="N2290" s="1" t="s">
        <v>421</v>
      </c>
      <c r="P2290" s="1" t="s">
        <v>1963</v>
      </c>
      <c r="Q2290" s="3">
        <v>0</v>
      </c>
      <c r="R2290" s="22" t="s">
        <v>2766</v>
      </c>
      <c r="S2290" s="22" t="s">
        <v>5099</v>
      </c>
      <c r="T2290" s="51">
        <v>30</v>
      </c>
      <c r="U2290" s="3" t="s">
        <v>5676</v>
      </c>
      <c r="V2290" s="41" t="str">
        <f>HYPERLINK("http://ictvonline.org/taxonomy/p/taxonomy-history?taxnode_id=20182270","ICTVonline=20182270")</f>
        <v>ICTVonline=20182270</v>
      </c>
    </row>
    <row r="2291" spans="1:22">
      <c r="A2291" s="3">
        <v>2290</v>
      </c>
      <c r="J2291" s="1" t="s">
        <v>1174</v>
      </c>
      <c r="L2291" s="1" t="s">
        <v>1175</v>
      </c>
      <c r="M2291" s="1" t="s">
        <v>3770</v>
      </c>
      <c r="N2291" s="1" t="s">
        <v>421</v>
      </c>
      <c r="P2291" s="1" t="s">
        <v>3772</v>
      </c>
      <c r="Q2291" s="3">
        <v>0</v>
      </c>
      <c r="R2291" s="22" t="s">
        <v>2766</v>
      </c>
      <c r="S2291" s="22" t="s">
        <v>5097</v>
      </c>
      <c r="T2291" s="51">
        <v>30</v>
      </c>
      <c r="U2291" s="3" t="s">
        <v>5676</v>
      </c>
      <c r="V2291" s="41" t="str">
        <f>HYPERLINK("http://ictvonline.org/taxonomy/p/taxonomy-history?taxnode_id=20182271","ICTVonline=20182271")</f>
        <v>ICTVonline=20182271</v>
      </c>
    </row>
    <row r="2292" spans="1:22">
      <c r="A2292" s="3">
        <v>2291</v>
      </c>
      <c r="J2292" s="1" t="s">
        <v>1174</v>
      </c>
      <c r="L2292" s="1" t="s">
        <v>1175</v>
      </c>
      <c r="M2292" s="1" t="s">
        <v>3770</v>
      </c>
      <c r="N2292" s="1" t="s">
        <v>421</v>
      </c>
      <c r="P2292" s="1" t="s">
        <v>1964</v>
      </c>
      <c r="Q2292" s="3">
        <v>0</v>
      </c>
      <c r="R2292" s="22" t="s">
        <v>2766</v>
      </c>
      <c r="S2292" s="22" t="s">
        <v>5099</v>
      </c>
      <c r="T2292" s="51">
        <v>30</v>
      </c>
      <c r="U2292" s="3" t="s">
        <v>5676</v>
      </c>
      <c r="V2292" s="41" t="str">
        <f>HYPERLINK("http://ictvonline.org/taxonomy/p/taxonomy-history?taxnode_id=20182272","ICTVonline=20182272")</f>
        <v>ICTVonline=20182272</v>
      </c>
    </row>
    <row r="2293" spans="1:22">
      <c r="A2293" s="3">
        <v>2292</v>
      </c>
      <c r="J2293" s="1" t="s">
        <v>1174</v>
      </c>
      <c r="L2293" s="1" t="s">
        <v>1175</v>
      </c>
      <c r="M2293" s="1" t="s">
        <v>3770</v>
      </c>
      <c r="N2293" s="1" t="s">
        <v>421</v>
      </c>
      <c r="P2293" s="1" t="s">
        <v>1965</v>
      </c>
      <c r="Q2293" s="3">
        <v>0</v>
      </c>
      <c r="R2293" s="22" t="s">
        <v>2766</v>
      </c>
      <c r="S2293" s="22" t="s">
        <v>5099</v>
      </c>
      <c r="T2293" s="51">
        <v>30</v>
      </c>
      <c r="U2293" s="3" t="s">
        <v>5676</v>
      </c>
      <c r="V2293" s="41" t="str">
        <f>HYPERLINK("http://ictvonline.org/taxonomy/p/taxonomy-history?taxnode_id=20182273","ICTVonline=20182273")</f>
        <v>ICTVonline=20182273</v>
      </c>
    </row>
    <row r="2294" spans="1:22">
      <c r="A2294" s="3">
        <v>2293</v>
      </c>
      <c r="J2294" s="1" t="s">
        <v>1174</v>
      </c>
      <c r="L2294" s="1" t="s">
        <v>1175</v>
      </c>
      <c r="M2294" s="1" t="s">
        <v>3770</v>
      </c>
      <c r="N2294" s="1" t="s">
        <v>421</v>
      </c>
      <c r="P2294" s="1" t="s">
        <v>1966</v>
      </c>
      <c r="Q2294" s="3">
        <v>0</v>
      </c>
      <c r="R2294" s="22" t="s">
        <v>2766</v>
      </c>
      <c r="S2294" s="22" t="s">
        <v>5099</v>
      </c>
      <c r="T2294" s="51">
        <v>30</v>
      </c>
      <c r="U2294" s="3" t="s">
        <v>5676</v>
      </c>
      <c r="V2294" s="41" t="str">
        <f>HYPERLINK("http://ictvonline.org/taxonomy/p/taxonomy-history?taxnode_id=20182274","ICTVonline=20182274")</f>
        <v>ICTVonline=20182274</v>
      </c>
    </row>
    <row r="2295" spans="1:22">
      <c r="A2295" s="3">
        <v>2294</v>
      </c>
      <c r="J2295" s="1" t="s">
        <v>1174</v>
      </c>
      <c r="L2295" s="1" t="s">
        <v>1175</v>
      </c>
      <c r="M2295" s="1" t="s">
        <v>3770</v>
      </c>
      <c r="N2295" s="1" t="s">
        <v>421</v>
      </c>
      <c r="P2295" s="1" t="s">
        <v>1967</v>
      </c>
      <c r="Q2295" s="3">
        <v>0</v>
      </c>
      <c r="R2295" s="22" t="s">
        <v>2766</v>
      </c>
      <c r="S2295" s="22" t="s">
        <v>5099</v>
      </c>
      <c r="T2295" s="51">
        <v>30</v>
      </c>
      <c r="U2295" s="3" t="s">
        <v>5676</v>
      </c>
      <c r="V2295" s="41" t="str">
        <f>HYPERLINK("http://ictvonline.org/taxonomy/p/taxonomy-history?taxnode_id=20182275","ICTVonline=20182275")</f>
        <v>ICTVonline=20182275</v>
      </c>
    </row>
    <row r="2296" spans="1:22">
      <c r="A2296" s="3">
        <v>2295</v>
      </c>
      <c r="J2296" s="1" t="s">
        <v>1174</v>
      </c>
      <c r="L2296" s="1" t="s">
        <v>1175</v>
      </c>
      <c r="M2296" s="1" t="s">
        <v>3770</v>
      </c>
      <c r="N2296" s="1" t="s">
        <v>421</v>
      </c>
      <c r="P2296" s="1" t="s">
        <v>5680</v>
      </c>
      <c r="Q2296" s="3">
        <v>0</v>
      </c>
      <c r="R2296" s="22" t="s">
        <v>2766</v>
      </c>
      <c r="S2296" s="22" t="s">
        <v>5097</v>
      </c>
      <c r="T2296" s="51">
        <v>32</v>
      </c>
      <c r="U2296" s="3" t="s">
        <v>5660</v>
      </c>
      <c r="V2296" s="41" t="str">
        <f>HYPERLINK("http://ictvonline.org/taxonomy/p/taxonomy-history?taxnode_id=20185639","ICTVonline=20185639")</f>
        <v>ICTVonline=20185639</v>
      </c>
    </row>
    <row r="2297" spans="1:22">
      <c r="A2297" s="3">
        <v>2296</v>
      </c>
      <c r="J2297" s="1" t="s">
        <v>1174</v>
      </c>
      <c r="L2297" s="1" t="s">
        <v>1175</v>
      </c>
      <c r="M2297" s="1" t="s">
        <v>3770</v>
      </c>
      <c r="N2297" s="1" t="s">
        <v>421</v>
      </c>
      <c r="P2297" s="1" t="s">
        <v>5681</v>
      </c>
      <c r="Q2297" s="3">
        <v>0</v>
      </c>
      <c r="R2297" s="22" t="s">
        <v>2766</v>
      </c>
      <c r="S2297" s="22" t="s">
        <v>5097</v>
      </c>
      <c r="T2297" s="51">
        <v>32</v>
      </c>
      <c r="U2297" s="3" t="s">
        <v>5660</v>
      </c>
      <c r="V2297" s="41" t="str">
        <f>HYPERLINK("http://ictvonline.org/taxonomy/p/taxonomy-history?taxnode_id=20185640","ICTVonline=20185640")</f>
        <v>ICTVonline=20185640</v>
      </c>
    </row>
    <row r="2298" spans="1:22">
      <c r="A2298" s="3">
        <v>2297</v>
      </c>
      <c r="J2298" s="1" t="s">
        <v>1174</v>
      </c>
      <c r="L2298" s="1" t="s">
        <v>1175</v>
      </c>
      <c r="M2298" s="1" t="s">
        <v>3770</v>
      </c>
      <c r="N2298" s="1" t="s">
        <v>421</v>
      </c>
      <c r="P2298" s="1" t="s">
        <v>5682</v>
      </c>
      <c r="Q2298" s="3">
        <v>0</v>
      </c>
      <c r="R2298" s="22" t="s">
        <v>2766</v>
      </c>
      <c r="S2298" s="22" t="s">
        <v>5097</v>
      </c>
      <c r="T2298" s="51">
        <v>32</v>
      </c>
      <c r="U2298" s="3" t="s">
        <v>5660</v>
      </c>
      <c r="V2298" s="41" t="str">
        <f>HYPERLINK("http://ictvonline.org/taxonomy/p/taxonomy-history?taxnode_id=20185641","ICTVonline=20185641")</f>
        <v>ICTVonline=20185641</v>
      </c>
    </row>
    <row r="2299" spans="1:22">
      <c r="A2299" s="3">
        <v>2298</v>
      </c>
      <c r="J2299" s="1" t="s">
        <v>1174</v>
      </c>
      <c r="L2299" s="1" t="s">
        <v>1175</v>
      </c>
      <c r="M2299" s="1" t="s">
        <v>3770</v>
      </c>
      <c r="N2299" s="1" t="s">
        <v>421</v>
      </c>
      <c r="P2299" s="1" t="s">
        <v>1968</v>
      </c>
      <c r="Q2299" s="3">
        <v>0</v>
      </c>
      <c r="R2299" s="22" t="s">
        <v>2766</v>
      </c>
      <c r="S2299" s="22" t="s">
        <v>5099</v>
      </c>
      <c r="T2299" s="51">
        <v>30</v>
      </c>
      <c r="U2299" s="3" t="s">
        <v>5676</v>
      </c>
      <c r="V2299" s="41" t="str">
        <f>HYPERLINK("http://ictvonline.org/taxonomy/p/taxonomy-history?taxnode_id=20182276","ICTVonline=20182276")</f>
        <v>ICTVonline=20182276</v>
      </c>
    </row>
    <row r="2300" spans="1:22">
      <c r="A2300" s="3">
        <v>2299</v>
      </c>
      <c r="J2300" s="1" t="s">
        <v>1174</v>
      </c>
      <c r="L2300" s="1" t="s">
        <v>1175</v>
      </c>
      <c r="M2300" s="1" t="s">
        <v>3770</v>
      </c>
      <c r="N2300" s="1" t="s">
        <v>421</v>
      </c>
      <c r="P2300" s="1" t="s">
        <v>5683</v>
      </c>
      <c r="Q2300" s="3">
        <v>0</v>
      </c>
      <c r="R2300" s="22" t="s">
        <v>2766</v>
      </c>
      <c r="S2300" s="22" t="s">
        <v>5100</v>
      </c>
      <c r="T2300" s="51">
        <v>32</v>
      </c>
      <c r="U2300" s="3" t="s">
        <v>5478</v>
      </c>
      <c r="V2300" s="41" t="str">
        <f>HYPERLINK("http://ictvonline.org/taxonomy/p/taxonomy-history?taxnode_id=20182277","ICTVonline=20182277")</f>
        <v>ICTVonline=20182277</v>
      </c>
    </row>
    <row r="2301" spans="1:22">
      <c r="A2301" s="3">
        <v>2300</v>
      </c>
      <c r="J2301" s="1" t="s">
        <v>1174</v>
      </c>
      <c r="L2301" s="1" t="s">
        <v>1175</v>
      </c>
      <c r="M2301" s="1" t="s">
        <v>3770</v>
      </c>
      <c r="N2301" s="1" t="s">
        <v>421</v>
      </c>
      <c r="P2301" s="1" t="s">
        <v>217</v>
      </c>
      <c r="Q2301" s="3">
        <v>0</v>
      </c>
      <c r="R2301" s="22" t="s">
        <v>2766</v>
      </c>
      <c r="S2301" s="22" t="s">
        <v>5099</v>
      </c>
      <c r="T2301" s="51">
        <v>30</v>
      </c>
      <c r="U2301" s="3" t="s">
        <v>5676</v>
      </c>
      <c r="V2301" s="41" t="str">
        <f>HYPERLINK("http://ictvonline.org/taxonomy/p/taxonomy-history?taxnode_id=20182278","ICTVonline=20182278")</f>
        <v>ICTVonline=20182278</v>
      </c>
    </row>
    <row r="2302" spans="1:22">
      <c r="A2302" s="3">
        <v>2301</v>
      </c>
      <c r="J2302" s="1" t="s">
        <v>1174</v>
      </c>
      <c r="L2302" s="1" t="s">
        <v>1175</v>
      </c>
      <c r="M2302" s="1" t="s">
        <v>3770</v>
      </c>
      <c r="N2302" s="1" t="s">
        <v>421</v>
      </c>
      <c r="P2302" s="1" t="s">
        <v>2221</v>
      </c>
      <c r="Q2302" s="3">
        <v>0</v>
      </c>
      <c r="R2302" s="22" t="s">
        <v>2766</v>
      </c>
      <c r="S2302" s="22" t="s">
        <v>5099</v>
      </c>
      <c r="T2302" s="51">
        <v>30</v>
      </c>
      <c r="U2302" s="3" t="s">
        <v>5676</v>
      </c>
      <c r="V2302" s="41" t="str">
        <f>HYPERLINK("http://ictvonline.org/taxonomy/p/taxonomy-history?taxnode_id=20182279","ICTVonline=20182279")</f>
        <v>ICTVonline=20182279</v>
      </c>
    </row>
    <row r="2303" spans="1:22">
      <c r="A2303" s="3">
        <v>2302</v>
      </c>
      <c r="J2303" s="1" t="s">
        <v>1174</v>
      </c>
      <c r="L2303" s="1" t="s">
        <v>1175</v>
      </c>
      <c r="M2303" s="1" t="s">
        <v>3770</v>
      </c>
      <c r="N2303" s="1" t="s">
        <v>421</v>
      </c>
      <c r="P2303" s="1" t="s">
        <v>218</v>
      </c>
      <c r="Q2303" s="3">
        <v>0</v>
      </c>
      <c r="R2303" s="22" t="s">
        <v>2766</v>
      </c>
      <c r="S2303" s="22" t="s">
        <v>5099</v>
      </c>
      <c r="T2303" s="51">
        <v>30</v>
      </c>
      <c r="U2303" s="3" t="s">
        <v>5676</v>
      </c>
      <c r="V2303" s="41" t="str">
        <f>HYPERLINK("http://ictvonline.org/taxonomy/p/taxonomy-history?taxnode_id=20182280","ICTVonline=20182280")</f>
        <v>ICTVonline=20182280</v>
      </c>
    </row>
    <row r="2304" spans="1:22">
      <c r="A2304" s="3">
        <v>2303</v>
      </c>
      <c r="J2304" s="1" t="s">
        <v>1174</v>
      </c>
      <c r="L2304" s="1" t="s">
        <v>1175</v>
      </c>
      <c r="M2304" s="1" t="s">
        <v>3770</v>
      </c>
      <c r="N2304" s="1" t="s">
        <v>421</v>
      </c>
      <c r="P2304" s="1" t="s">
        <v>219</v>
      </c>
      <c r="Q2304" s="3">
        <v>0</v>
      </c>
      <c r="R2304" s="22" t="s">
        <v>2766</v>
      </c>
      <c r="S2304" s="22" t="s">
        <v>5099</v>
      </c>
      <c r="T2304" s="51">
        <v>30</v>
      </c>
      <c r="U2304" s="3" t="s">
        <v>5676</v>
      </c>
      <c r="V2304" s="41" t="str">
        <f>HYPERLINK("http://ictvonline.org/taxonomy/p/taxonomy-history?taxnode_id=20182281","ICTVonline=20182281")</f>
        <v>ICTVonline=20182281</v>
      </c>
    </row>
    <row r="2305" spans="1:22">
      <c r="A2305" s="3">
        <v>2304</v>
      </c>
      <c r="J2305" s="1" t="s">
        <v>1174</v>
      </c>
      <c r="L2305" s="1" t="s">
        <v>1175</v>
      </c>
      <c r="M2305" s="1" t="s">
        <v>3770</v>
      </c>
      <c r="N2305" s="1" t="s">
        <v>421</v>
      </c>
      <c r="P2305" s="1" t="s">
        <v>5684</v>
      </c>
      <c r="Q2305" s="3">
        <v>0</v>
      </c>
      <c r="R2305" s="22" t="s">
        <v>2766</v>
      </c>
      <c r="S2305" s="22" t="s">
        <v>5097</v>
      </c>
      <c r="T2305" s="51">
        <v>32</v>
      </c>
      <c r="U2305" s="3" t="s">
        <v>5660</v>
      </c>
      <c r="V2305" s="41" t="str">
        <f>HYPERLINK("http://ictvonline.org/taxonomy/p/taxonomy-history?taxnode_id=20185642","ICTVonline=20185642")</f>
        <v>ICTVonline=20185642</v>
      </c>
    </row>
    <row r="2306" spans="1:22">
      <c r="A2306" s="3">
        <v>2305</v>
      </c>
      <c r="J2306" s="1" t="s">
        <v>1174</v>
      </c>
      <c r="L2306" s="1" t="s">
        <v>1175</v>
      </c>
      <c r="M2306" s="1" t="s">
        <v>3770</v>
      </c>
      <c r="N2306" s="1" t="s">
        <v>222</v>
      </c>
      <c r="P2306" s="1" t="s">
        <v>223</v>
      </c>
      <c r="Q2306" s="3">
        <v>1</v>
      </c>
      <c r="R2306" s="22" t="s">
        <v>2766</v>
      </c>
      <c r="S2306" s="22" t="s">
        <v>5099</v>
      </c>
      <c r="T2306" s="51">
        <v>30</v>
      </c>
      <c r="U2306" s="3" t="s">
        <v>5676</v>
      </c>
      <c r="V2306" s="41" t="str">
        <f>HYPERLINK("http://ictvonline.org/taxonomy/p/taxonomy-history?taxnode_id=20182283","ICTVonline=20182283")</f>
        <v>ICTVonline=20182283</v>
      </c>
    </row>
    <row r="2307" spans="1:22">
      <c r="A2307" s="3">
        <v>2306</v>
      </c>
      <c r="J2307" s="1" t="s">
        <v>1174</v>
      </c>
      <c r="L2307" s="1" t="s">
        <v>1175</v>
      </c>
      <c r="M2307" s="1" t="s">
        <v>3770</v>
      </c>
      <c r="N2307" s="1" t="s">
        <v>222</v>
      </c>
      <c r="P2307" s="1" t="s">
        <v>224</v>
      </c>
      <c r="Q2307" s="3">
        <v>0</v>
      </c>
      <c r="R2307" s="22" t="s">
        <v>2766</v>
      </c>
      <c r="S2307" s="22" t="s">
        <v>5099</v>
      </c>
      <c r="T2307" s="51">
        <v>30</v>
      </c>
      <c r="U2307" s="3" t="s">
        <v>5676</v>
      </c>
      <c r="V2307" s="41" t="str">
        <f>HYPERLINK("http://ictvonline.org/taxonomy/p/taxonomy-history?taxnode_id=20182284","ICTVonline=20182284")</f>
        <v>ICTVonline=20182284</v>
      </c>
    </row>
    <row r="2308" spans="1:22">
      <c r="A2308" s="3">
        <v>2307</v>
      </c>
      <c r="J2308" s="1" t="s">
        <v>1174</v>
      </c>
      <c r="L2308" s="1" t="s">
        <v>1175</v>
      </c>
      <c r="M2308" s="1" t="s">
        <v>3770</v>
      </c>
      <c r="N2308" s="1" t="s">
        <v>222</v>
      </c>
      <c r="P2308" s="1" t="s">
        <v>2222</v>
      </c>
      <c r="Q2308" s="3">
        <v>0</v>
      </c>
      <c r="R2308" s="22" t="s">
        <v>2766</v>
      </c>
      <c r="S2308" s="22" t="s">
        <v>5099</v>
      </c>
      <c r="T2308" s="51">
        <v>30</v>
      </c>
      <c r="U2308" s="3" t="s">
        <v>5676</v>
      </c>
      <c r="V2308" s="41" t="str">
        <f>HYPERLINK("http://ictvonline.org/taxonomy/p/taxonomy-history?taxnode_id=20182285","ICTVonline=20182285")</f>
        <v>ICTVonline=20182285</v>
      </c>
    </row>
    <row r="2309" spans="1:22">
      <c r="A2309" s="3">
        <v>2308</v>
      </c>
      <c r="J2309" s="1" t="s">
        <v>1174</v>
      </c>
      <c r="L2309" s="1" t="s">
        <v>1175</v>
      </c>
      <c r="M2309" s="1" t="s">
        <v>3770</v>
      </c>
      <c r="N2309" s="1" t="s">
        <v>222</v>
      </c>
      <c r="P2309" s="1" t="s">
        <v>5685</v>
      </c>
      <c r="Q2309" s="3">
        <v>0</v>
      </c>
      <c r="R2309" s="22" t="s">
        <v>2766</v>
      </c>
      <c r="S2309" s="22" t="s">
        <v>5097</v>
      </c>
      <c r="T2309" s="51">
        <v>32</v>
      </c>
      <c r="U2309" s="3" t="s">
        <v>5660</v>
      </c>
      <c r="V2309" s="41" t="str">
        <f>HYPERLINK("http://ictvonline.org/taxonomy/p/taxonomy-history?taxnode_id=20185643","ICTVonline=20185643")</f>
        <v>ICTVonline=20185643</v>
      </c>
    </row>
    <row r="2310" spans="1:22">
      <c r="A2310" s="3">
        <v>2309</v>
      </c>
      <c r="J2310" s="1" t="s">
        <v>1174</v>
      </c>
      <c r="L2310" s="1" t="s">
        <v>1175</v>
      </c>
      <c r="M2310" s="1" t="s">
        <v>3770</v>
      </c>
      <c r="N2310" s="1" t="s">
        <v>222</v>
      </c>
      <c r="P2310" s="1" t="s">
        <v>345</v>
      </c>
      <c r="Q2310" s="3">
        <v>0</v>
      </c>
      <c r="R2310" s="22" t="s">
        <v>2766</v>
      </c>
      <c r="S2310" s="22" t="s">
        <v>5099</v>
      </c>
      <c r="T2310" s="51">
        <v>30</v>
      </c>
      <c r="U2310" s="3" t="s">
        <v>5676</v>
      </c>
      <c r="V2310" s="41" t="str">
        <f>HYPERLINK("http://ictvonline.org/taxonomy/p/taxonomy-history?taxnode_id=20182286","ICTVonline=20182286")</f>
        <v>ICTVonline=20182286</v>
      </c>
    </row>
    <row r="2311" spans="1:22">
      <c r="A2311" s="3">
        <v>2310</v>
      </c>
      <c r="J2311" s="1" t="s">
        <v>1174</v>
      </c>
      <c r="L2311" s="1" t="s">
        <v>1175</v>
      </c>
      <c r="M2311" s="1" t="s">
        <v>3770</v>
      </c>
      <c r="N2311" s="1" t="s">
        <v>222</v>
      </c>
      <c r="P2311" s="1" t="s">
        <v>2127</v>
      </c>
      <c r="Q2311" s="3">
        <v>0</v>
      </c>
      <c r="R2311" s="22" t="s">
        <v>2766</v>
      </c>
      <c r="S2311" s="22" t="s">
        <v>5099</v>
      </c>
      <c r="T2311" s="51">
        <v>30</v>
      </c>
      <c r="U2311" s="3" t="s">
        <v>5676</v>
      </c>
      <c r="V2311" s="41" t="str">
        <f>HYPERLINK("http://ictvonline.org/taxonomy/p/taxonomy-history?taxnode_id=20182287","ICTVonline=20182287")</f>
        <v>ICTVonline=20182287</v>
      </c>
    </row>
    <row r="2312" spans="1:22">
      <c r="A2312" s="3">
        <v>2311</v>
      </c>
      <c r="J2312" s="1" t="s">
        <v>1174</v>
      </c>
      <c r="L2312" s="1" t="s">
        <v>1175</v>
      </c>
      <c r="M2312" s="1" t="s">
        <v>3770</v>
      </c>
      <c r="N2312" s="1" t="s">
        <v>222</v>
      </c>
      <c r="P2312" s="1" t="s">
        <v>2336</v>
      </c>
      <c r="Q2312" s="3">
        <v>0</v>
      </c>
      <c r="R2312" s="22" t="s">
        <v>2766</v>
      </c>
      <c r="S2312" s="22" t="s">
        <v>5099</v>
      </c>
      <c r="T2312" s="51">
        <v>30</v>
      </c>
      <c r="U2312" s="3" t="s">
        <v>5676</v>
      </c>
      <c r="V2312" s="41" t="str">
        <f>HYPERLINK("http://ictvonline.org/taxonomy/p/taxonomy-history?taxnode_id=20182288","ICTVonline=20182288")</f>
        <v>ICTVonline=20182288</v>
      </c>
    </row>
    <row r="2313" spans="1:22">
      <c r="A2313" s="3">
        <v>2312</v>
      </c>
      <c r="J2313" s="1" t="s">
        <v>1174</v>
      </c>
      <c r="L2313" s="1" t="s">
        <v>1175</v>
      </c>
      <c r="M2313" s="1" t="s">
        <v>3770</v>
      </c>
      <c r="N2313" s="1" t="s">
        <v>3773</v>
      </c>
      <c r="P2313" s="1" t="s">
        <v>1522</v>
      </c>
      <c r="Q2313" s="3">
        <v>0</v>
      </c>
      <c r="R2313" s="22" t="s">
        <v>2766</v>
      </c>
      <c r="S2313" s="22" t="s">
        <v>5099</v>
      </c>
      <c r="T2313" s="51">
        <v>30</v>
      </c>
      <c r="U2313" s="3" t="s">
        <v>5676</v>
      </c>
      <c r="V2313" s="41" t="str">
        <f>HYPERLINK("http://ictvonline.org/taxonomy/p/taxonomy-history?taxnode_id=20182290","ICTVonline=20182290")</f>
        <v>ICTVonline=20182290</v>
      </c>
    </row>
    <row r="2314" spans="1:22">
      <c r="A2314" s="3">
        <v>2313</v>
      </c>
      <c r="J2314" s="1" t="s">
        <v>1174</v>
      </c>
      <c r="L2314" s="1" t="s">
        <v>1175</v>
      </c>
      <c r="M2314" s="1" t="s">
        <v>3770</v>
      </c>
      <c r="N2314" s="1" t="s">
        <v>3773</v>
      </c>
      <c r="P2314" s="1" t="s">
        <v>1992</v>
      </c>
      <c r="Q2314" s="3">
        <v>0</v>
      </c>
      <c r="R2314" s="22" t="s">
        <v>2766</v>
      </c>
      <c r="S2314" s="22" t="s">
        <v>5099</v>
      </c>
      <c r="T2314" s="51">
        <v>30</v>
      </c>
      <c r="U2314" s="3" t="s">
        <v>5676</v>
      </c>
      <c r="V2314" s="41" t="str">
        <f>HYPERLINK("http://ictvonline.org/taxonomy/p/taxonomy-history?taxnode_id=20182291","ICTVonline=20182291")</f>
        <v>ICTVonline=20182291</v>
      </c>
    </row>
    <row r="2315" spans="1:22">
      <c r="A2315" s="3">
        <v>2314</v>
      </c>
      <c r="J2315" s="1" t="s">
        <v>1174</v>
      </c>
      <c r="L2315" s="1" t="s">
        <v>1175</v>
      </c>
      <c r="M2315" s="1" t="s">
        <v>3770</v>
      </c>
      <c r="N2315" s="1" t="s">
        <v>3773</v>
      </c>
      <c r="P2315" s="1" t="s">
        <v>1993</v>
      </c>
      <c r="Q2315" s="3">
        <v>1</v>
      </c>
      <c r="R2315" s="22" t="s">
        <v>2766</v>
      </c>
      <c r="S2315" s="22" t="s">
        <v>5099</v>
      </c>
      <c r="T2315" s="51">
        <v>30</v>
      </c>
      <c r="U2315" s="3" t="s">
        <v>5676</v>
      </c>
      <c r="V2315" s="41" t="str">
        <f>HYPERLINK("http://ictvonline.org/taxonomy/p/taxonomy-history?taxnode_id=20182292","ICTVonline=20182292")</f>
        <v>ICTVonline=20182292</v>
      </c>
    </row>
    <row r="2316" spans="1:22">
      <c r="A2316" s="3">
        <v>2315</v>
      </c>
      <c r="J2316" s="1" t="s">
        <v>1174</v>
      </c>
      <c r="L2316" s="1" t="s">
        <v>1175</v>
      </c>
      <c r="M2316" s="1" t="s">
        <v>3770</v>
      </c>
      <c r="N2316" s="1" t="s">
        <v>3773</v>
      </c>
      <c r="P2316" s="1" t="s">
        <v>3774</v>
      </c>
      <c r="Q2316" s="3">
        <v>0</v>
      </c>
      <c r="R2316" s="22" t="s">
        <v>2766</v>
      </c>
      <c r="S2316" s="22" t="s">
        <v>5097</v>
      </c>
      <c r="T2316" s="51">
        <v>30</v>
      </c>
      <c r="U2316" s="3" t="s">
        <v>5676</v>
      </c>
      <c r="V2316" s="41" t="str">
        <f>HYPERLINK("http://ictvonline.org/taxonomy/p/taxonomy-history?taxnode_id=20182293","ICTVonline=20182293")</f>
        <v>ICTVonline=20182293</v>
      </c>
    </row>
    <row r="2317" spans="1:22">
      <c r="A2317" s="3">
        <v>2316</v>
      </c>
      <c r="J2317" s="1" t="s">
        <v>1174</v>
      </c>
      <c r="L2317" s="1" t="s">
        <v>1175</v>
      </c>
      <c r="M2317" s="1" t="s">
        <v>3770</v>
      </c>
      <c r="N2317" s="1" t="s">
        <v>3773</v>
      </c>
      <c r="P2317" s="1" t="s">
        <v>3775</v>
      </c>
      <c r="Q2317" s="3">
        <v>0</v>
      </c>
      <c r="R2317" s="22" t="s">
        <v>2766</v>
      </c>
      <c r="S2317" s="22" t="s">
        <v>5097</v>
      </c>
      <c r="T2317" s="51">
        <v>30</v>
      </c>
      <c r="U2317" s="3" t="s">
        <v>5676</v>
      </c>
      <c r="V2317" s="41" t="str">
        <f>HYPERLINK("http://ictvonline.org/taxonomy/p/taxonomy-history?taxnode_id=20182294","ICTVonline=20182294")</f>
        <v>ICTVonline=20182294</v>
      </c>
    </row>
    <row r="2318" spans="1:22">
      <c r="A2318" s="3">
        <v>2317</v>
      </c>
      <c r="J2318" s="1" t="s">
        <v>1174</v>
      </c>
      <c r="L2318" s="1" t="s">
        <v>1175</v>
      </c>
      <c r="M2318" s="1" t="s">
        <v>3770</v>
      </c>
      <c r="P2318" s="1" t="s">
        <v>2099</v>
      </c>
      <c r="Q2318" s="3">
        <v>0</v>
      </c>
      <c r="R2318" s="22" t="s">
        <v>2766</v>
      </c>
      <c r="S2318" s="22" t="s">
        <v>5099</v>
      </c>
      <c r="T2318" s="51">
        <v>30</v>
      </c>
      <c r="U2318" s="3" t="s">
        <v>5676</v>
      </c>
      <c r="V2318" s="41" t="str">
        <f>HYPERLINK("http://ictvonline.org/taxonomy/p/taxonomy-history?taxnode_id=20182296","ICTVonline=20182296")</f>
        <v>ICTVonline=20182296</v>
      </c>
    </row>
    <row r="2319" spans="1:22">
      <c r="A2319" s="3">
        <v>2318</v>
      </c>
      <c r="J2319" s="1" t="s">
        <v>1174</v>
      </c>
      <c r="L2319" s="1" t="s">
        <v>1175</v>
      </c>
      <c r="M2319" s="1" t="s">
        <v>3770</v>
      </c>
      <c r="P2319" s="1" t="s">
        <v>2225</v>
      </c>
      <c r="Q2319" s="3">
        <v>0</v>
      </c>
      <c r="R2319" s="22" t="s">
        <v>2766</v>
      </c>
      <c r="S2319" s="22" t="s">
        <v>5099</v>
      </c>
      <c r="T2319" s="51">
        <v>30</v>
      </c>
      <c r="U2319" s="3" t="s">
        <v>5676</v>
      </c>
      <c r="V2319" s="41" t="str">
        <f>HYPERLINK("http://ictvonline.org/taxonomy/p/taxonomy-history?taxnode_id=20182297","ICTVonline=20182297")</f>
        <v>ICTVonline=20182297</v>
      </c>
    </row>
    <row r="2320" spans="1:22">
      <c r="A2320" s="3">
        <v>2319</v>
      </c>
      <c r="J2320" s="1" t="s">
        <v>1174</v>
      </c>
      <c r="L2320" s="1" t="s">
        <v>1175</v>
      </c>
      <c r="M2320" s="1" t="s">
        <v>3770</v>
      </c>
      <c r="P2320" s="1" t="s">
        <v>1523</v>
      </c>
      <c r="Q2320" s="3">
        <v>0</v>
      </c>
      <c r="R2320" s="22" t="s">
        <v>2766</v>
      </c>
      <c r="S2320" s="22" t="s">
        <v>5099</v>
      </c>
      <c r="T2320" s="51">
        <v>30</v>
      </c>
      <c r="U2320" s="3" t="s">
        <v>5676</v>
      </c>
      <c r="V2320" s="41" t="str">
        <f>HYPERLINK("http://ictvonline.org/taxonomy/p/taxonomy-history?taxnode_id=20182298","ICTVonline=20182298")</f>
        <v>ICTVonline=20182298</v>
      </c>
    </row>
    <row r="2321" spans="1:22">
      <c r="A2321" s="3">
        <v>2320</v>
      </c>
      <c r="J2321" s="1" t="s">
        <v>1174</v>
      </c>
      <c r="L2321" s="1" t="s">
        <v>1175</v>
      </c>
      <c r="M2321" s="1" t="s">
        <v>3776</v>
      </c>
      <c r="N2321" s="1" t="s">
        <v>290</v>
      </c>
      <c r="P2321" s="1" t="s">
        <v>419</v>
      </c>
      <c r="Q2321" s="3">
        <v>1</v>
      </c>
      <c r="R2321" s="22" t="s">
        <v>2766</v>
      </c>
      <c r="S2321" s="22" t="s">
        <v>5099</v>
      </c>
      <c r="T2321" s="51">
        <v>30</v>
      </c>
      <c r="U2321" s="3" t="s">
        <v>5676</v>
      </c>
      <c r="V2321" s="41" t="str">
        <f>HYPERLINK("http://ictvonline.org/taxonomy/p/taxonomy-history?taxnode_id=20182301","ICTVonline=20182301")</f>
        <v>ICTVonline=20182301</v>
      </c>
    </row>
    <row r="2322" spans="1:22">
      <c r="A2322" s="3">
        <v>2321</v>
      </c>
      <c r="J2322" s="1" t="s">
        <v>1174</v>
      </c>
      <c r="L2322" s="1" t="s">
        <v>1175</v>
      </c>
      <c r="M2322" s="1" t="s">
        <v>3776</v>
      </c>
      <c r="N2322" s="1" t="s">
        <v>290</v>
      </c>
      <c r="P2322" s="1" t="s">
        <v>420</v>
      </c>
      <c r="Q2322" s="3">
        <v>0</v>
      </c>
      <c r="R2322" s="22" t="s">
        <v>2766</v>
      </c>
      <c r="S2322" s="22" t="s">
        <v>5099</v>
      </c>
      <c r="T2322" s="51">
        <v>30</v>
      </c>
      <c r="U2322" s="3" t="s">
        <v>5676</v>
      </c>
      <c r="V2322" s="41" t="str">
        <f>HYPERLINK("http://ictvonline.org/taxonomy/p/taxonomy-history?taxnode_id=20182302","ICTVonline=20182302")</f>
        <v>ICTVonline=20182302</v>
      </c>
    </row>
    <row r="2323" spans="1:22">
      <c r="A2323" s="3">
        <v>2322</v>
      </c>
      <c r="J2323" s="1" t="s">
        <v>1174</v>
      </c>
      <c r="L2323" s="1" t="s">
        <v>1175</v>
      </c>
      <c r="M2323" s="1" t="s">
        <v>3776</v>
      </c>
      <c r="N2323" s="1" t="s">
        <v>3777</v>
      </c>
      <c r="P2323" s="1" t="s">
        <v>3778</v>
      </c>
      <c r="Q2323" s="3">
        <v>1</v>
      </c>
      <c r="R2323" s="22" t="s">
        <v>2766</v>
      </c>
      <c r="S2323" s="22" t="s">
        <v>5097</v>
      </c>
      <c r="T2323" s="51">
        <v>30</v>
      </c>
      <c r="U2323" s="3" t="s">
        <v>5676</v>
      </c>
      <c r="V2323" s="41" t="str">
        <f>HYPERLINK("http://ictvonline.org/taxonomy/p/taxonomy-history?taxnode_id=20182304","ICTVonline=20182304")</f>
        <v>ICTVonline=20182304</v>
      </c>
    </row>
    <row r="2324" spans="1:22">
      <c r="A2324" s="3">
        <v>2323</v>
      </c>
      <c r="J2324" s="1" t="s">
        <v>1174</v>
      </c>
      <c r="L2324" s="1" t="s">
        <v>1175</v>
      </c>
      <c r="M2324" s="1" t="s">
        <v>3776</v>
      </c>
      <c r="N2324" s="1" t="s">
        <v>3777</v>
      </c>
      <c r="P2324" s="1" t="s">
        <v>3779</v>
      </c>
      <c r="Q2324" s="3">
        <v>0</v>
      </c>
      <c r="R2324" s="22" t="s">
        <v>2766</v>
      </c>
      <c r="S2324" s="22" t="s">
        <v>5097</v>
      </c>
      <c r="T2324" s="51">
        <v>30</v>
      </c>
      <c r="U2324" s="3" t="s">
        <v>5676</v>
      </c>
      <c r="V2324" s="41" t="str">
        <f>HYPERLINK("http://ictvonline.org/taxonomy/p/taxonomy-history?taxnode_id=20182305","ICTVonline=20182305")</f>
        <v>ICTVonline=20182305</v>
      </c>
    </row>
    <row r="2325" spans="1:22">
      <c r="A2325" s="3">
        <v>2324</v>
      </c>
      <c r="J2325" s="1" t="s">
        <v>1174</v>
      </c>
      <c r="L2325" s="1" t="s">
        <v>1175</v>
      </c>
      <c r="M2325" s="1" t="s">
        <v>3776</v>
      </c>
      <c r="N2325" s="1" t="s">
        <v>220</v>
      </c>
      <c r="P2325" s="1" t="s">
        <v>221</v>
      </c>
      <c r="Q2325" s="3">
        <v>1</v>
      </c>
      <c r="R2325" s="22" t="s">
        <v>2766</v>
      </c>
      <c r="S2325" s="22" t="s">
        <v>5099</v>
      </c>
      <c r="T2325" s="51">
        <v>30</v>
      </c>
      <c r="U2325" s="3" t="s">
        <v>5676</v>
      </c>
      <c r="V2325" s="41" t="str">
        <f>HYPERLINK("http://ictvonline.org/taxonomy/p/taxonomy-history?taxnode_id=20182307","ICTVonline=20182307")</f>
        <v>ICTVonline=20182307</v>
      </c>
    </row>
    <row r="2326" spans="1:22">
      <c r="A2326" s="3">
        <v>2325</v>
      </c>
      <c r="J2326" s="1" t="s">
        <v>1174</v>
      </c>
      <c r="L2326" s="1" t="s">
        <v>1175</v>
      </c>
      <c r="M2326" s="1" t="s">
        <v>3776</v>
      </c>
      <c r="N2326" s="1" t="s">
        <v>3780</v>
      </c>
      <c r="P2326" s="1" t="s">
        <v>2337</v>
      </c>
      <c r="Q2326" s="3">
        <v>1</v>
      </c>
      <c r="R2326" s="22" t="s">
        <v>2766</v>
      </c>
      <c r="S2326" s="22" t="s">
        <v>5099</v>
      </c>
      <c r="T2326" s="51">
        <v>30</v>
      </c>
      <c r="U2326" s="3" t="s">
        <v>5676</v>
      </c>
      <c r="V2326" s="41" t="str">
        <f>HYPERLINK("http://ictvonline.org/taxonomy/p/taxonomy-history?taxnode_id=20182309","ICTVonline=20182309")</f>
        <v>ICTVonline=20182309</v>
      </c>
    </row>
    <row r="2327" spans="1:22">
      <c r="A2327" s="3">
        <v>2326</v>
      </c>
      <c r="J2327" s="1" t="s">
        <v>1174</v>
      </c>
      <c r="L2327" s="1" t="s">
        <v>1175</v>
      </c>
      <c r="M2327" s="1" t="s">
        <v>3776</v>
      </c>
      <c r="N2327" s="1" t="s">
        <v>3780</v>
      </c>
      <c r="P2327" s="1" t="s">
        <v>2338</v>
      </c>
      <c r="Q2327" s="3">
        <v>0</v>
      </c>
      <c r="R2327" s="22" t="s">
        <v>2766</v>
      </c>
      <c r="S2327" s="22" t="s">
        <v>5099</v>
      </c>
      <c r="T2327" s="51">
        <v>30</v>
      </c>
      <c r="U2327" s="3" t="s">
        <v>5676</v>
      </c>
      <c r="V2327" s="41" t="str">
        <f>HYPERLINK("http://ictvonline.org/taxonomy/p/taxonomy-history?taxnode_id=20182310","ICTVonline=20182310")</f>
        <v>ICTVonline=20182310</v>
      </c>
    </row>
    <row r="2328" spans="1:22">
      <c r="A2328" s="3">
        <v>2327</v>
      </c>
      <c r="J2328" s="1" t="s">
        <v>1174</v>
      </c>
      <c r="L2328" s="1" t="s">
        <v>1175</v>
      </c>
      <c r="M2328" s="1" t="s">
        <v>3776</v>
      </c>
      <c r="N2328" s="1" t="s">
        <v>3780</v>
      </c>
      <c r="P2328" s="1" t="s">
        <v>2226</v>
      </c>
      <c r="Q2328" s="3">
        <v>0</v>
      </c>
      <c r="R2328" s="22" t="s">
        <v>2766</v>
      </c>
      <c r="S2328" s="22" t="s">
        <v>5099</v>
      </c>
      <c r="T2328" s="51">
        <v>30</v>
      </c>
      <c r="U2328" s="3" t="s">
        <v>5676</v>
      </c>
      <c r="V2328" s="41" t="str">
        <f>HYPERLINK("http://ictvonline.org/taxonomy/p/taxonomy-history?taxnode_id=20182311","ICTVonline=20182311")</f>
        <v>ICTVonline=20182311</v>
      </c>
    </row>
    <row r="2329" spans="1:22">
      <c r="A2329" s="3">
        <v>2328</v>
      </c>
      <c r="J2329" s="1" t="s">
        <v>1174</v>
      </c>
      <c r="L2329" s="1" t="s">
        <v>1175</v>
      </c>
      <c r="M2329" s="1" t="s">
        <v>3776</v>
      </c>
      <c r="N2329" s="1" t="s">
        <v>3781</v>
      </c>
      <c r="P2329" s="1" t="s">
        <v>3782</v>
      </c>
      <c r="Q2329" s="3">
        <v>1</v>
      </c>
      <c r="R2329" s="22" t="s">
        <v>2766</v>
      </c>
      <c r="S2329" s="22" t="s">
        <v>5097</v>
      </c>
      <c r="T2329" s="51">
        <v>30</v>
      </c>
      <c r="U2329" s="3" t="s">
        <v>5676</v>
      </c>
      <c r="V2329" s="41" t="str">
        <f>HYPERLINK("http://ictvonline.org/taxonomy/p/taxonomy-history?taxnode_id=20182313","ICTVonline=20182313")</f>
        <v>ICTVonline=20182313</v>
      </c>
    </row>
    <row r="2330" spans="1:22">
      <c r="A2330" s="3">
        <v>2329</v>
      </c>
      <c r="J2330" s="1" t="s">
        <v>1174</v>
      </c>
      <c r="L2330" s="1" t="s">
        <v>1175</v>
      </c>
      <c r="M2330" s="1" t="s">
        <v>3776</v>
      </c>
      <c r="N2330" s="1" t="s">
        <v>3781</v>
      </c>
      <c r="P2330" s="1" t="s">
        <v>3783</v>
      </c>
      <c r="Q2330" s="3">
        <v>0</v>
      </c>
      <c r="R2330" s="22" t="s">
        <v>2766</v>
      </c>
      <c r="S2330" s="22" t="s">
        <v>5097</v>
      </c>
      <c r="T2330" s="51">
        <v>30</v>
      </c>
      <c r="U2330" s="3" t="s">
        <v>5676</v>
      </c>
      <c r="V2330" s="41" t="str">
        <f>HYPERLINK("http://ictvonline.org/taxonomy/p/taxonomy-history?taxnode_id=20182314","ICTVonline=20182314")</f>
        <v>ICTVonline=20182314</v>
      </c>
    </row>
    <row r="2331" spans="1:22">
      <c r="A2331" s="3">
        <v>2330</v>
      </c>
      <c r="J2331" s="1" t="s">
        <v>1174</v>
      </c>
      <c r="L2331" s="1" t="s">
        <v>1175</v>
      </c>
      <c r="M2331" s="1" t="s">
        <v>3776</v>
      </c>
      <c r="N2331" s="1" t="s">
        <v>11</v>
      </c>
      <c r="P2331" s="1" t="s">
        <v>1994</v>
      </c>
      <c r="Q2331" s="3">
        <v>1</v>
      </c>
      <c r="R2331" s="22" t="s">
        <v>2766</v>
      </c>
      <c r="S2331" s="22" t="s">
        <v>5099</v>
      </c>
      <c r="T2331" s="51">
        <v>30</v>
      </c>
      <c r="U2331" s="3" t="s">
        <v>5676</v>
      </c>
      <c r="V2331" s="41" t="str">
        <f>HYPERLINK("http://ictvonline.org/taxonomy/p/taxonomy-history?taxnode_id=20182316","ICTVonline=20182316")</f>
        <v>ICTVonline=20182316</v>
      </c>
    </row>
    <row r="2332" spans="1:22">
      <c r="A2332" s="3">
        <v>2331</v>
      </c>
      <c r="J2332" s="1" t="s">
        <v>1174</v>
      </c>
      <c r="L2332" s="1" t="s">
        <v>1175</v>
      </c>
      <c r="M2332" s="1" t="s">
        <v>3776</v>
      </c>
      <c r="N2332" s="1" t="s">
        <v>11</v>
      </c>
      <c r="P2332" s="1" t="s">
        <v>3784</v>
      </c>
      <c r="Q2332" s="3">
        <v>0</v>
      </c>
      <c r="R2332" s="22" t="s">
        <v>2766</v>
      </c>
      <c r="S2332" s="22" t="s">
        <v>5097</v>
      </c>
      <c r="T2332" s="51">
        <v>30</v>
      </c>
      <c r="U2332" s="3" t="s">
        <v>5676</v>
      </c>
      <c r="V2332" s="41" t="str">
        <f>HYPERLINK("http://ictvonline.org/taxonomy/p/taxonomy-history?taxnode_id=20182317","ICTVonline=20182317")</f>
        <v>ICTVonline=20182317</v>
      </c>
    </row>
    <row r="2333" spans="1:22">
      <c r="A2333" s="3">
        <v>2332</v>
      </c>
      <c r="J2333" s="1" t="s">
        <v>1174</v>
      </c>
      <c r="L2333" s="1" t="s">
        <v>1175</v>
      </c>
      <c r="M2333" s="1" t="s">
        <v>3776</v>
      </c>
      <c r="N2333" s="1" t="s">
        <v>350</v>
      </c>
      <c r="P2333" s="1" t="s">
        <v>1465</v>
      </c>
      <c r="Q2333" s="3">
        <v>1</v>
      </c>
      <c r="R2333" s="22" t="s">
        <v>2766</v>
      </c>
      <c r="S2333" s="22" t="s">
        <v>5099</v>
      </c>
      <c r="T2333" s="51">
        <v>30</v>
      </c>
      <c r="U2333" s="3" t="s">
        <v>5676</v>
      </c>
      <c r="V2333" s="41" t="str">
        <f>HYPERLINK("http://ictvonline.org/taxonomy/p/taxonomy-history?taxnode_id=20182319","ICTVonline=20182319")</f>
        <v>ICTVonline=20182319</v>
      </c>
    </row>
    <row r="2334" spans="1:22">
      <c r="A2334" s="3">
        <v>2333</v>
      </c>
      <c r="J2334" s="1" t="s">
        <v>1174</v>
      </c>
      <c r="L2334" s="1" t="s">
        <v>1175</v>
      </c>
      <c r="M2334" s="1" t="s">
        <v>3776</v>
      </c>
      <c r="N2334" s="1" t="s">
        <v>350</v>
      </c>
      <c r="P2334" s="1" t="s">
        <v>2095</v>
      </c>
      <c r="Q2334" s="3">
        <v>0</v>
      </c>
      <c r="R2334" s="22" t="s">
        <v>2766</v>
      </c>
      <c r="S2334" s="22" t="s">
        <v>5099</v>
      </c>
      <c r="T2334" s="51">
        <v>30</v>
      </c>
      <c r="U2334" s="3" t="s">
        <v>5676</v>
      </c>
      <c r="V2334" s="41" t="str">
        <f>HYPERLINK("http://ictvonline.org/taxonomy/p/taxonomy-history?taxnode_id=20182320","ICTVonline=20182320")</f>
        <v>ICTVonline=20182320</v>
      </c>
    </row>
    <row r="2335" spans="1:22">
      <c r="A2335" s="3">
        <v>2334</v>
      </c>
      <c r="J2335" s="1" t="s">
        <v>1174</v>
      </c>
      <c r="L2335" s="1" t="s">
        <v>1175</v>
      </c>
      <c r="M2335" s="1" t="s">
        <v>3776</v>
      </c>
      <c r="N2335" s="1" t="s">
        <v>350</v>
      </c>
      <c r="P2335" s="1" t="s">
        <v>2096</v>
      </c>
      <c r="Q2335" s="3">
        <v>0</v>
      </c>
      <c r="R2335" s="22" t="s">
        <v>2766</v>
      </c>
      <c r="S2335" s="22" t="s">
        <v>5099</v>
      </c>
      <c r="T2335" s="51">
        <v>30</v>
      </c>
      <c r="U2335" s="3" t="s">
        <v>5676</v>
      </c>
      <c r="V2335" s="41" t="str">
        <f>HYPERLINK("http://ictvonline.org/taxonomy/p/taxonomy-history?taxnode_id=20182321","ICTVonline=20182321")</f>
        <v>ICTVonline=20182321</v>
      </c>
    </row>
    <row r="2336" spans="1:22">
      <c r="A2336" s="3">
        <v>2335</v>
      </c>
      <c r="J2336" s="1" t="s">
        <v>1174</v>
      </c>
      <c r="L2336" s="1" t="s">
        <v>1175</v>
      </c>
      <c r="M2336" s="1" t="s">
        <v>3776</v>
      </c>
      <c r="N2336" s="1" t="s">
        <v>350</v>
      </c>
      <c r="P2336" s="1" t="s">
        <v>2097</v>
      </c>
      <c r="Q2336" s="3">
        <v>0</v>
      </c>
      <c r="R2336" s="22" t="s">
        <v>2766</v>
      </c>
      <c r="S2336" s="22" t="s">
        <v>5099</v>
      </c>
      <c r="T2336" s="51">
        <v>30</v>
      </c>
      <c r="U2336" s="3" t="s">
        <v>5676</v>
      </c>
      <c r="V2336" s="41" t="str">
        <f>HYPERLINK("http://ictvonline.org/taxonomy/p/taxonomy-history?taxnode_id=20182322","ICTVonline=20182322")</f>
        <v>ICTVonline=20182322</v>
      </c>
    </row>
    <row r="2337" spans="1:22">
      <c r="A2337" s="3">
        <v>2336</v>
      </c>
      <c r="J2337" s="1" t="s">
        <v>1174</v>
      </c>
      <c r="L2337" s="1" t="s">
        <v>1175</v>
      </c>
      <c r="M2337" s="1" t="s">
        <v>3776</v>
      </c>
      <c r="N2337" s="1" t="s">
        <v>350</v>
      </c>
      <c r="P2337" s="1" t="s">
        <v>2223</v>
      </c>
      <c r="Q2337" s="3">
        <v>0</v>
      </c>
      <c r="R2337" s="22" t="s">
        <v>2766</v>
      </c>
      <c r="S2337" s="22" t="s">
        <v>5099</v>
      </c>
      <c r="T2337" s="51">
        <v>30</v>
      </c>
      <c r="U2337" s="3" t="s">
        <v>5676</v>
      </c>
      <c r="V2337" s="41" t="str">
        <f>HYPERLINK("http://ictvonline.org/taxonomy/p/taxonomy-history?taxnode_id=20182323","ICTVonline=20182323")</f>
        <v>ICTVonline=20182323</v>
      </c>
    </row>
    <row r="2338" spans="1:22">
      <c r="A2338" s="3">
        <v>2337</v>
      </c>
      <c r="J2338" s="1" t="s">
        <v>1174</v>
      </c>
      <c r="L2338" s="1" t="s">
        <v>1175</v>
      </c>
      <c r="M2338" s="1" t="s">
        <v>3776</v>
      </c>
      <c r="N2338" s="1" t="s">
        <v>350</v>
      </c>
      <c r="P2338" s="1" t="s">
        <v>2098</v>
      </c>
      <c r="Q2338" s="3">
        <v>0</v>
      </c>
      <c r="R2338" s="22" t="s">
        <v>2766</v>
      </c>
      <c r="S2338" s="22" t="s">
        <v>5099</v>
      </c>
      <c r="T2338" s="51">
        <v>30</v>
      </c>
      <c r="U2338" s="3" t="s">
        <v>5676</v>
      </c>
      <c r="V2338" s="41" t="str">
        <f>HYPERLINK("http://ictvonline.org/taxonomy/p/taxonomy-history?taxnode_id=20182324","ICTVonline=20182324")</f>
        <v>ICTVonline=20182324</v>
      </c>
    </row>
    <row r="2339" spans="1:22">
      <c r="A2339" s="3">
        <v>2338</v>
      </c>
      <c r="J2339" s="1" t="s">
        <v>1174</v>
      </c>
      <c r="L2339" s="1" t="s">
        <v>1175</v>
      </c>
      <c r="M2339" s="1" t="s">
        <v>3776</v>
      </c>
      <c r="N2339" s="1" t="s">
        <v>350</v>
      </c>
      <c r="P2339" s="1" t="s">
        <v>2224</v>
      </c>
      <c r="Q2339" s="3">
        <v>0</v>
      </c>
      <c r="R2339" s="22" t="s">
        <v>2766</v>
      </c>
      <c r="S2339" s="22" t="s">
        <v>5099</v>
      </c>
      <c r="T2339" s="51">
        <v>30</v>
      </c>
      <c r="U2339" s="3" t="s">
        <v>5676</v>
      </c>
      <c r="V2339" s="41" t="str">
        <f>HYPERLINK("http://ictvonline.org/taxonomy/p/taxonomy-history?taxnode_id=20182325","ICTVonline=20182325")</f>
        <v>ICTVonline=20182325</v>
      </c>
    </row>
    <row r="2340" spans="1:22">
      <c r="A2340" s="3">
        <v>2339</v>
      </c>
      <c r="J2340" s="1" t="s">
        <v>1174</v>
      </c>
      <c r="L2340" s="1" t="s">
        <v>1175</v>
      </c>
      <c r="M2340" s="1" t="s">
        <v>3776</v>
      </c>
      <c r="N2340" s="1" t="s">
        <v>1652</v>
      </c>
      <c r="P2340" s="1" t="s">
        <v>2227</v>
      </c>
      <c r="Q2340" s="3">
        <v>0</v>
      </c>
      <c r="R2340" s="22" t="s">
        <v>2766</v>
      </c>
      <c r="S2340" s="22" t="s">
        <v>5099</v>
      </c>
      <c r="T2340" s="51">
        <v>30</v>
      </c>
      <c r="U2340" s="3" t="s">
        <v>5676</v>
      </c>
      <c r="V2340" s="41" t="str">
        <f>HYPERLINK("http://ictvonline.org/taxonomy/p/taxonomy-history?taxnode_id=20182327","ICTVonline=20182327")</f>
        <v>ICTVonline=20182327</v>
      </c>
    </row>
    <row r="2341" spans="1:22">
      <c r="A2341" s="3">
        <v>2340</v>
      </c>
      <c r="J2341" s="1" t="s">
        <v>1174</v>
      </c>
      <c r="L2341" s="1" t="s">
        <v>1175</v>
      </c>
      <c r="M2341" s="1" t="s">
        <v>3776</v>
      </c>
      <c r="N2341" s="1" t="s">
        <v>1652</v>
      </c>
      <c r="P2341" s="1" t="s">
        <v>2303</v>
      </c>
      <c r="Q2341" s="3">
        <v>0</v>
      </c>
      <c r="R2341" s="22" t="s">
        <v>2766</v>
      </c>
      <c r="S2341" s="22" t="s">
        <v>5099</v>
      </c>
      <c r="T2341" s="51">
        <v>30</v>
      </c>
      <c r="U2341" s="3" t="s">
        <v>5676</v>
      </c>
      <c r="V2341" s="41" t="str">
        <f>HYPERLINK("http://ictvonline.org/taxonomy/p/taxonomy-history?taxnode_id=20182328","ICTVonline=20182328")</f>
        <v>ICTVonline=20182328</v>
      </c>
    </row>
    <row r="2342" spans="1:22">
      <c r="A2342" s="3">
        <v>2341</v>
      </c>
      <c r="J2342" s="1" t="s">
        <v>1174</v>
      </c>
      <c r="L2342" s="1" t="s">
        <v>1175</v>
      </c>
      <c r="M2342" s="1" t="s">
        <v>3776</v>
      </c>
      <c r="N2342" s="1" t="s">
        <v>1652</v>
      </c>
      <c r="P2342" s="1" t="s">
        <v>5686</v>
      </c>
      <c r="Q2342" s="3">
        <v>0</v>
      </c>
      <c r="R2342" s="22" t="s">
        <v>2766</v>
      </c>
      <c r="S2342" s="22" t="s">
        <v>5097</v>
      </c>
      <c r="T2342" s="51">
        <v>32</v>
      </c>
      <c r="U2342" s="3" t="s">
        <v>5660</v>
      </c>
      <c r="V2342" s="41" t="str">
        <f>HYPERLINK("http://ictvonline.org/taxonomy/p/taxonomy-history?taxnode_id=20185644","ICTVonline=20185644")</f>
        <v>ICTVonline=20185644</v>
      </c>
    </row>
    <row r="2343" spans="1:22">
      <c r="A2343" s="3">
        <v>2342</v>
      </c>
      <c r="J2343" s="1" t="s">
        <v>1174</v>
      </c>
      <c r="L2343" s="1" t="s">
        <v>1175</v>
      </c>
      <c r="M2343" s="1" t="s">
        <v>3776</v>
      </c>
      <c r="N2343" s="1" t="s">
        <v>1652</v>
      </c>
      <c r="P2343" s="1" t="s">
        <v>1653</v>
      </c>
      <c r="Q2343" s="3">
        <v>1</v>
      </c>
      <c r="R2343" s="22" t="s">
        <v>2766</v>
      </c>
      <c r="S2343" s="22" t="s">
        <v>5099</v>
      </c>
      <c r="T2343" s="51">
        <v>30</v>
      </c>
      <c r="U2343" s="3" t="s">
        <v>5676</v>
      </c>
      <c r="V2343" s="41" t="str">
        <f>HYPERLINK("http://ictvonline.org/taxonomy/p/taxonomy-history?taxnode_id=20182329","ICTVonline=20182329")</f>
        <v>ICTVonline=20182329</v>
      </c>
    </row>
    <row r="2344" spans="1:22">
      <c r="A2344" s="3">
        <v>2343</v>
      </c>
      <c r="J2344" s="1" t="s">
        <v>1174</v>
      </c>
      <c r="L2344" s="1" t="s">
        <v>1175</v>
      </c>
      <c r="M2344" s="1" t="s">
        <v>3776</v>
      </c>
      <c r="N2344" s="1" t="s">
        <v>1652</v>
      </c>
      <c r="P2344" s="1" t="s">
        <v>511</v>
      </c>
      <c r="Q2344" s="3">
        <v>0</v>
      </c>
      <c r="R2344" s="22" t="s">
        <v>2766</v>
      </c>
      <c r="S2344" s="22" t="s">
        <v>5099</v>
      </c>
      <c r="T2344" s="51">
        <v>30</v>
      </c>
      <c r="U2344" s="3" t="s">
        <v>5676</v>
      </c>
      <c r="V2344" s="41" t="str">
        <f>HYPERLINK("http://ictvonline.org/taxonomy/p/taxonomy-history?taxnode_id=20182330","ICTVonline=20182330")</f>
        <v>ICTVonline=20182330</v>
      </c>
    </row>
    <row r="2345" spans="1:22">
      <c r="A2345" s="3">
        <v>2344</v>
      </c>
      <c r="J2345" s="1" t="s">
        <v>1174</v>
      </c>
      <c r="L2345" s="1" t="s">
        <v>1175</v>
      </c>
      <c r="M2345" s="1" t="s">
        <v>3776</v>
      </c>
      <c r="N2345" s="1" t="s">
        <v>1652</v>
      </c>
      <c r="P2345" s="1" t="s">
        <v>512</v>
      </c>
      <c r="Q2345" s="3">
        <v>0</v>
      </c>
      <c r="R2345" s="22" t="s">
        <v>2766</v>
      </c>
      <c r="S2345" s="22" t="s">
        <v>5099</v>
      </c>
      <c r="T2345" s="51">
        <v>30</v>
      </c>
      <c r="U2345" s="3" t="s">
        <v>5676</v>
      </c>
      <c r="V2345" s="41" t="str">
        <f>HYPERLINK("http://ictvonline.org/taxonomy/p/taxonomy-history?taxnode_id=20182331","ICTVonline=20182331")</f>
        <v>ICTVonline=20182331</v>
      </c>
    </row>
    <row r="2346" spans="1:22">
      <c r="A2346" s="3">
        <v>2345</v>
      </c>
      <c r="J2346" s="1" t="s">
        <v>1174</v>
      </c>
      <c r="L2346" s="1" t="s">
        <v>1175</v>
      </c>
      <c r="M2346" s="1" t="s">
        <v>3776</v>
      </c>
      <c r="N2346" s="1" t="s">
        <v>1652</v>
      </c>
      <c r="P2346" s="1" t="s">
        <v>1536</v>
      </c>
      <c r="Q2346" s="3">
        <v>0</v>
      </c>
      <c r="R2346" s="22" t="s">
        <v>2766</v>
      </c>
      <c r="S2346" s="22" t="s">
        <v>5099</v>
      </c>
      <c r="T2346" s="51">
        <v>30</v>
      </c>
      <c r="U2346" s="3" t="s">
        <v>5676</v>
      </c>
      <c r="V2346" s="41" t="str">
        <f>HYPERLINK("http://ictvonline.org/taxonomy/p/taxonomy-history?taxnode_id=20182332","ICTVonline=20182332")</f>
        <v>ICTVonline=20182332</v>
      </c>
    </row>
    <row r="2347" spans="1:22">
      <c r="A2347" s="3">
        <v>2346</v>
      </c>
      <c r="J2347" s="1" t="s">
        <v>1174</v>
      </c>
      <c r="L2347" s="1" t="s">
        <v>1175</v>
      </c>
      <c r="M2347" s="1" t="s">
        <v>3776</v>
      </c>
      <c r="N2347" s="1" t="s">
        <v>1652</v>
      </c>
      <c r="P2347" s="1" t="s">
        <v>2339</v>
      </c>
      <c r="Q2347" s="3">
        <v>0</v>
      </c>
      <c r="R2347" s="22" t="s">
        <v>2766</v>
      </c>
      <c r="S2347" s="22" t="s">
        <v>5099</v>
      </c>
      <c r="T2347" s="51">
        <v>30</v>
      </c>
      <c r="U2347" s="3" t="s">
        <v>5676</v>
      </c>
      <c r="V2347" s="41" t="str">
        <f>HYPERLINK("http://ictvonline.org/taxonomy/p/taxonomy-history?taxnode_id=20182333","ICTVonline=20182333")</f>
        <v>ICTVonline=20182333</v>
      </c>
    </row>
    <row r="2348" spans="1:22">
      <c r="A2348" s="3">
        <v>2347</v>
      </c>
      <c r="J2348" s="1" t="s">
        <v>1174</v>
      </c>
      <c r="L2348" s="1" t="s">
        <v>1175</v>
      </c>
      <c r="M2348" s="1" t="s">
        <v>3776</v>
      </c>
      <c r="N2348" s="1" t="s">
        <v>1652</v>
      </c>
      <c r="P2348" s="1" t="s">
        <v>2100</v>
      </c>
      <c r="Q2348" s="3">
        <v>0</v>
      </c>
      <c r="R2348" s="22" t="s">
        <v>2766</v>
      </c>
      <c r="S2348" s="22" t="s">
        <v>5099</v>
      </c>
      <c r="T2348" s="51">
        <v>30</v>
      </c>
      <c r="U2348" s="3" t="s">
        <v>5676</v>
      </c>
      <c r="V2348" s="41" t="str">
        <f>HYPERLINK("http://ictvonline.org/taxonomy/p/taxonomy-history?taxnode_id=20182334","ICTVonline=20182334")</f>
        <v>ICTVonline=20182334</v>
      </c>
    </row>
    <row r="2349" spans="1:22">
      <c r="A2349" s="3">
        <v>2348</v>
      </c>
      <c r="J2349" s="1" t="s">
        <v>1174</v>
      </c>
      <c r="L2349" s="1" t="s">
        <v>1175</v>
      </c>
      <c r="M2349" s="1" t="s">
        <v>3776</v>
      </c>
      <c r="N2349" s="1" t="s">
        <v>1652</v>
      </c>
      <c r="P2349" s="1" t="s">
        <v>2128</v>
      </c>
      <c r="Q2349" s="3">
        <v>0</v>
      </c>
      <c r="R2349" s="22" t="s">
        <v>2766</v>
      </c>
      <c r="S2349" s="22" t="s">
        <v>5099</v>
      </c>
      <c r="T2349" s="51">
        <v>30</v>
      </c>
      <c r="U2349" s="3" t="s">
        <v>5676</v>
      </c>
      <c r="V2349" s="41" t="str">
        <f>HYPERLINK("http://ictvonline.org/taxonomy/p/taxonomy-history?taxnode_id=20182335","ICTVonline=20182335")</f>
        <v>ICTVonline=20182335</v>
      </c>
    </row>
    <row r="2350" spans="1:22">
      <c r="A2350" s="3">
        <v>2349</v>
      </c>
      <c r="J2350" s="1" t="s">
        <v>1174</v>
      </c>
      <c r="L2350" s="1" t="s">
        <v>5687</v>
      </c>
      <c r="N2350" s="1" t="s">
        <v>5688</v>
      </c>
      <c r="P2350" s="1" t="s">
        <v>5689</v>
      </c>
      <c r="Q2350" s="3">
        <v>0</v>
      </c>
      <c r="R2350" s="22" t="s">
        <v>2766</v>
      </c>
      <c r="S2350" s="22" t="s">
        <v>5097</v>
      </c>
      <c r="T2350" s="51">
        <v>32</v>
      </c>
      <c r="U2350" s="3" t="s">
        <v>5690</v>
      </c>
      <c r="V2350" s="41" t="str">
        <f>HYPERLINK("http://ictvonline.org/taxonomy/p/taxonomy-history?taxnode_id=20185645","ICTVonline=20185645")</f>
        <v>ICTVonline=20185645</v>
      </c>
    </row>
    <row r="2351" spans="1:22">
      <c r="A2351" s="3">
        <v>2350</v>
      </c>
      <c r="J2351" s="1" t="s">
        <v>1174</v>
      </c>
      <c r="L2351" s="1" t="s">
        <v>5687</v>
      </c>
      <c r="N2351" s="1" t="s">
        <v>5688</v>
      </c>
      <c r="P2351" s="1" t="s">
        <v>5691</v>
      </c>
      <c r="Q2351" s="3">
        <v>1</v>
      </c>
      <c r="R2351" s="22" t="s">
        <v>2766</v>
      </c>
      <c r="S2351" s="22" t="s">
        <v>5097</v>
      </c>
      <c r="T2351" s="51">
        <v>32</v>
      </c>
      <c r="U2351" s="3" t="s">
        <v>5690</v>
      </c>
      <c r="V2351" s="41" t="str">
        <f>HYPERLINK("http://ictvonline.org/taxonomy/p/taxonomy-history?taxnode_id=20185646","ICTVonline=20185646")</f>
        <v>ICTVonline=20185646</v>
      </c>
    </row>
    <row r="2352" spans="1:22">
      <c r="A2352" s="3">
        <v>2351</v>
      </c>
      <c r="J2352" s="1" t="s">
        <v>1174</v>
      </c>
      <c r="L2352" s="1" t="s">
        <v>5687</v>
      </c>
      <c r="N2352" s="1" t="s">
        <v>5688</v>
      </c>
      <c r="P2352" s="1" t="s">
        <v>5692</v>
      </c>
      <c r="Q2352" s="3">
        <v>0</v>
      </c>
      <c r="R2352" s="22" t="s">
        <v>2766</v>
      </c>
      <c r="S2352" s="22" t="s">
        <v>5097</v>
      </c>
      <c r="T2352" s="51">
        <v>32</v>
      </c>
      <c r="U2352" s="3" t="s">
        <v>5690</v>
      </c>
      <c r="V2352" s="41" t="str">
        <f>HYPERLINK("http://ictvonline.org/taxonomy/p/taxonomy-history?taxnode_id=20185647","ICTVonline=20185647")</f>
        <v>ICTVonline=20185647</v>
      </c>
    </row>
    <row r="2353" spans="1:22">
      <c r="A2353" s="3">
        <v>2352</v>
      </c>
      <c r="J2353" s="1" t="s">
        <v>1174</v>
      </c>
      <c r="L2353" s="1" t="s">
        <v>1698</v>
      </c>
      <c r="N2353" s="1" t="s">
        <v>297</v>
      </c>
      <c r="P2353" s="1" t="s">
        <v>294</v>
      </c>
      <c r="Q2353" s="3">
        <v>1</v>
      </c>
      <c r="R2353" s="22" t="s">
        <v>2766</v>
      </c>
      <c r="S2353" s="22" t="s">
        <v>5102</v>
      </c>
      <c r="T2353" s="51">
        <v>25</v>
      </c>
      <c r="U2353" s="3" t="s">
        <v>5693</v>
      </c>
      <c r="V2353" s="41" t="str">
        <f>HYPERLINK("http://ictvonline.org/taxonomy/p/taxonomy-history?taxnode_id=20182340","ICTVonline=20182340")</f>
        <v>ICTVonline=20182340</v>
      </c>
    </row>
    <row r="2354" spans="1:22">
      <c r="A2354" s="3">
        <v>2353</v>
      </c>
      <c r="J2354" s="1" t="s">
        <v>1174</v>
      </c>
      <c r="L2354" s="1" t="s">
        <v>1343</v>
      </c>
      <c r="N2354" s="1" t="s">
        <v>1344</v>
      </c>
      <c r="P2354" s="1" t="s">
        <v>1345</v>
      </c>
      <c r="Q2354" s="3">
        <v>1</v>
      </c>
      <c r="R2354" s="22" t="s">
        <v>2766</v>
      </c>
      <c r="S2354" s="22" t="s">
        <v>5099</v>
      </c>
      <c r="T2354" s="51">
        <v>25</v>
      </c>
      <c r="U2354" s="3" t="s">
        <v>5694</v>
      </c>
      <c r="V2354" s="41" t="str">
        <f>HYPERLINK("http://ictvonline.org/taxonomy/p/taxonomy-history?taxnode_id=20182344","ICTVonline=20182344")</f>
        <v>ICTVonline=20182344</v>
      </c>
    </row>
    <row r="2355" spans="1:22">
      <c r="A2355" s="3">
        <v>2354</v>
      </c>
      <c r="J2355" s="1" t="s">
        <v>1174</v>
      </c>
      <c r="L2355" s="1" t="s">
        <v>1343</v>
      </c>
      <c r="N2355" s="1" t="s">
        <v>1346</v>
      </c>
      <c r="P2355" s="1" t="s">
        <v>1334</v>
      </c>
      <c r="Q2355" s="3">
        <v>0</v>
      </c>
      <c r="R2355" s="22" t="s">
        <v>2766</v>
      </c>
      <c r="S2355" s="22" t="s">
        <v>5099</v>
      </c>
      <c r="T2355" s="51">
        <v>25</v>
      </c>
      <c r="U2355" s="3" t="s">
        <v>5694</v>
      </c>
      <c r="V2355" s="41" t="str">
        <f>HYPERLINK("http://ictvonline.org/taxonomy/p/taxonomy-history?taxnode_id=20182346","ICTVonline=20182346")</f>
        <v>ICTVonline=20182346</v>
      </c>
    </row>
    <row r="2356" spans="1:22">
      <c r="A2356" s="3">
        <v>2355</v>
      </c>
      <c r="J2356" s="1" t="s">
        <v>1174</v>
      </c>
      <c r="L2356" s="1" t="s">
        <v>1343</v>
      </c>
      <c r="N2356" s="1" t="s">
        <v>1346</v>
      </c>
      <c r="P2356" s="1" t="s">
        <v>14</v>
      </c>
      <c r="Q2356" s="3">
        <v>0</v>
      </c>
      <c r="R2356" s="22" t="s">
        <v>2766</v>
      </c>
      <c r="S2356" s="22" t="s">
        <v>5097</v>
      </c>
      <c r="T2356" s="51">
        <v>26</v>
      </c>
      <c r="U2356" s="3" t="s">
        <v>5695</v>
      </c>
      <c r="V2356" s="41" t="str">
        <f>HYPERLINK("http://ictvonline.org/taxonomy/p/taxonomy-history?taxnode_id=20182347","ICTVonline=20182347")</f>
        <v>ICTVonline=20182347</v>
      </c>
    </row>
    <row r="2357" spans="1:22">
      <c r="A2357" s="3">
        <v>2356</v>
      </c>
      <c r="J2357" s="1" t="s">
        <v>1174</v>
      </c>
      <c r="L2357" s="1" t="s">
        <v>1343</v>
      </c>
      <c r="N2357" s="1" t="s">
        <v>1346</v>
      </c>
      <c r="P2357" s="1" t="s">
        <v>1335</v>
      </c>
      <c r="Q2357" s="3">
        <v>0</v>
      </c>
      <c r="R2357" s="22" t="s">
        <v>2766</v>
      </c>
      <c r="S2357" s="22" t="s">
        <v>5099</v>
      </c>
      <c r="T2357" s="51">
        <v>25</v>
      </c>
      <c r="U2357" s="3" t="s">
        <v>5694</v>
      </c>
      <c r="V2357" s="41" t="str">
        <f>HYPERLINK("http://ictvonline.org/taxonomy/p/taxonomy-history?taxnode_id=20182348","ICTVonline=20182348")</f>
        <v>ICTVonline=20182348</v>
      </c>
    </row>
    <row r="2358" spans="1:22">
      <c r="A2358" s="3">
        <v>2357</v>
      </c>
      <c r="J2358" s="1" t="s">
        <v>1174</v>
      </c>
      <c r="L2358" s="1" t="s">
        <v>1343</v>
      </c>
      <c r="N2358" s="1" t="s">
        <v>1346</v>
      </c>
      <c r="P2358" s="1" t="s">
        <v>5696</v>
      </c>
      <c r="Q2358" s="3">
        <v>0</v>
      </c>
      <c r="R2358" s="22" t="s">
        <v>2766</v>
      </c>
      <c r="S2358" s="22" t="s">
        <v>5097</v>
      </c>
      <c r="T2358" s="51">
        <v>32</v>
      </c>
      <c r="U2358" s="3" t="s">
        <v>5697</v>
      </c>
      <c r="V2358" s="41" t="str">
        <f>HYPERLINK("http://ictvonline.org/taxonomy/p/taxonomy-history?taxnode_id=20185650","ICTVonline=20185650")</f>
        <v>ICTVonline=20185650</v>
      </c>
    </row>
    <row r="2359" spans="1:22">
      <c r="A2359" s="3">
        <v>2358</v>
      </c>
      <c r="J2359" s="1" t="s">
        <v>1174</v>
      </c>
      <c r="L2359" s="1" t="s">
        <v>1343</v>
      </c>
      <c r="N2359" s="1" t="s">
        <v>1346</v>
      </c>
      <c r="P2359" s="1" t="s">
        <v>15</v>
      </c>
      <c r="Q2359" s="3">
        <v>0</v>
      </c>
      <c r="R2359" s="22" t="s">
        <v>2766</v>
      </c>
      <c r="S2359" s="22" t="s">
        <v>5097</v>
      </c>
      <c r="T2359" s="51">
        <v>26</v>
      </c>
      <c r="U2359" s="3" t="s">
        <v>5698</v>
      </c>
      <c r="V2359" s="41" t="str">
        <f>HYPERLINK("http://ictvonline.org/taxonomy/p/taxonomy-history?taxnode_id=20182349","ICTVonline=20182349")</f>
        <v>ICTVonline=20182349</v>
      </c>
    </row>
    <row r="2360" spans="1:22">
      <c r="A2360" s="3">
        <v>2359</v>
      </c>
      <c r="J2360" s="1" t="s">
        <v>1174</v>
      </c>
      <c r="L2360" s="1" t="s">
        <v>1343</v>
      </c>
      <c r="N2360" s="1" t="s">
        <v>1346</v>
      </c>
      <c r="P2360" s="1" t="s">
        <v>1336</v>
      </c>
      <c r="Q2360" s="3">
        <v>1</v>
      </c>
      <c r="R2360" s="22" t="s">
        <v>2766</v>
      </c>
      <c r="S2360" s="22" t="s">
        <v>5099</v>
      </c>
      <c r="T2360" s="51">
        <v>25</v>
      </c>
      <c r="U2360" s="3" t="s">
        <v>5694</v>
      </c>
      <c r="V2360" s="41" t="str">
        <f>HYPERLINK("http://ictvonline.org/taxonomy/p/taxonomy-history?taxnode_id=20182350","ICTVonline=20182350")</f>
        <v>ICTVonline=20182350</v>
      </c>
    </row>
    <row r="2361" spans="1:22">
      <c r="A2361" s="3">
        <v>2360</v>
      </c>
      <c r="J2361" s="1" t="s">
        <v>1174</v>
      </c>
      <c r="L2361" s="1" t="s">
        <v>1343</v>
      </c>
      <c r="N2361" s="1" t="s">
        <v>1346</v>
      </c>
      <c r="P2361" s="1" t="s">
        <v>4783</v>
      </c>
      <c r="Q2361" s="3">
        <v>0</v>
      </c>
      <c r="R2361" s="22" t="s">
        <v>2766</v>
      </c>
      <c r="S2361" s="22" t="s">
        <v>5097</v>
      </c>
      <c r="T2361" s="51">
        <v>31</v>
      </c>
      <c r="U2361" s="3" t="s">
        <v>5699</v>
      </c>
      <c r="V2361" s="41" t="str">
        <f>HYPERLINK("http://ictvonline.org/taxonomy/p/taxonomy-history?taxnode_id=20182351","ICTVonline=20182351")</f>
        <v>ICTVonline=20182351</v>
      </c>
    </row>
    <row r="2362" spans="1:22">
      <c r="A2362" s="3">
        <v>2361</v>
      </c>
      <c r="J2362" s="1" t="s">
        <v>1174</v>
      </c>
      <c r="L2362" s="1" t="s">
        <v>1343</v>
      </c>
      <c r="N2362" s="1" t="s">
        <v>1346</v>
      </c>
      <c r="P2362" s="1" t="s">
        <v>1337</v>
      </c>
      <c r="Q2362" s="3">
        <v>0</v>
      </c>
      <c r="R2362" s="22" t="s">
        <v>2766</v>
      </c>
      <c r="S2362" s="22" t="s">
        <v>5099</v>
      </c>
      <c r="T2362" s="51">
        <v>25</v>
      </c>
      <c r="U2362" s="3" t="s">
        <v>5694</v>
      </c>
      <c r="V2362" s="41" t="str">
        <f>HYPERLINK("http://ictvonline.org/taxonomy/p/taxonomy-history?taxnode_id=20182352","ICTVonline=20182352")</f>
        <v>ICTVonline=20182352</v>
      </c>
    </row>
    <row r="2363" spans="1:22">
      <c r="A2363" s="3">
        <v>2362</v>
      </c>
      <c r="J2363" s="1" t="s">
        <v>1174</v>
      </c>
      <c r="L2363" s="1" t="s">
        <v>1343</v>
      </c>
      <c r="N2363" s="1" t="s">
        <v>1346</v>
      </c>
      <c r="P2363" s="1" t="s">
        <v>16</v>
      </c>
      <c r="Q2363" s="3">
        <v>0</v>
      </c>
      <c r="R2363" s="22" t="s">
        <v>2766</v>
      </c>
      <c r="S2363" s="22" t="s">
        <v>5097</v>
      </c>
      <c r="T2363" s="51">
        <v>26</v>
      </c>
      <c r="U2363" s="3" t="s">
        <v>5700</v>
      </c>
      <c r="V2363" s="41" t="str">
        <f>HYPERLINK("http://ictvonline.org/taxonomy/p/taxonomy-history?taxnode_id=20182353","ICTVonline=20182353")</f>
        <v>ICTVonline=20182353</v>
      </c>
    </row>
    <row r="2364" spans="1:22">
      <c r="A2364" s="3">
        <v>2363</v>
      </c>
      <c r="J2364" s="1" t="s">
        <v>1174</v>
      </c>
      <c r="L2364" s="1" t="s">
        <v>1343</v>
      </c>
      <c r="N2364" s="1" t="s">
        <v>1346</v>
      </c>
      <c r="P2364" s="1" t="s">
        <v>5701</v>
      </c>
      <c r="Q2364" s="3">
        <v>0</v>
      </c>
      <c r="R2364" s="22" t="s">
        <v>2766</v>
      </c>
      <c r="S2364" s="22" t="s">
        <v>5097</v>
      </c>
      <c r="T2364" s="51">
        <v>32</v>
      </c>
      <c r="U2364" s="3" t="s">
        <v>5697</v>
      </c>
      <c r="V2364" s="41" t="str">
        <f>HYPERLINK("http://ictvonline.org/taxonomy/p/taxonomy-history?taxnode_id=20185651","ICTVonline=20185651")</f>
        <v>ICTVonline=20185651</v>
      </c>
    </row>
    <row r="2365" spans="1:22">
      <c r="A2365" s="3">
        <v>2364</v>
      </c>
      <c r="J2365" s="1" t="s">
        <v>1174</v>
      </c>
      <c r="L2365" s="1" t="s">
        <v>1343</v>
      </c>
      <c r="N2365" s="1" t="s">
        <v>1488</v>
      </c>
      <c r="P2365" s="1" t="s">
        <v>1489</v>
      </c>
      <c r="Q2365" s="3">
        <v>0</v>
      </c>
      <c r="R2365" s="22" t="s">
        <v>2766</v>
      </c>
      <c r="S2365" s="22" t="s">
        <v>5099</v>
      </c>
      <c r="T2365" s="51">
        <v>25</v>
      </c>
      <c r="U2365" s="3" t="s">
        <v>5694</v>
      </c>
      <c r="V2365" s="41" t="str">
        <f>HYPERLINK("http://ictvonline.org/taxonomy/p/taxonomy-history?taxnode_id=20182355","ICTVonline=20182355")</f>
        <v>ICTVonline=20182355</v>
      </c>
    </row>
    <row r="2366" spans="1:22">
      <c r="A2366" s="3">
        <v>2365</v>
      </c>
      <c r="J2366" s="1" t="s">
        <v>1174</v>
      </c>
      <c r="L2366" s="1" t="s">
        <v>1343</v>
      </c>
      <c r="N2366" s="1" t="s">
        <v>1488</v>
      </c>
      <c r="P2366" s="1" t="s">
        <v>1490</v>
      </c>
      <c r="Q2366" s="3">
        <v>0</v>
      </c>
      <c r="R2366" s="22" t="s">
        <v>2766</v>
      </c>
      <c r="S2366" s="22" t="s">
        <v>5099</v>
      </c>
      <c r="T2366" s="51">
        <v>25</v>
      </c>
      <c r="U2366" s="3" t="s">
        <v>5694</v>
      </c>
      <c r="V2366" s="41" t="str">
        <f>HYPERLINK("http://ictvonline.org/taxonomy/p/taxonomy-history?taxnode_id=20182356","ICTVonline=20182356")</f>
        <v>ICTVonline=20182356</v>
      </c>
    </row>
    <row r="2367" spans="1:22">
      <c r="A2367" s="3">
        <v>2366</v>
      </c>
      <c r="J2367" s="1" t="s">
        <v>1174</v>
      </c>
      <c r="L2367" s="1" t="s">
        <v>1343</v>
      </c>
      <c r="N2367" s="1" t="s">
        <v>1488</v>
      </c>
      <c r="P2367" s="1" t="s">
        <v>2340</v>
      </c>
      <c r="Q2367" s="3">
        <v>0</v>
      </c>
      <c r="R2367" s="22" t="s">
        <v>2766</v>
      </c>
      <c r="S2367" s="22" t="s">
        <v>5097</v>
      </c>
      <c r="T2367" s="51">
        <v>28</v>
      </c>
      <c r="U2367" s="3" t="s">
        <v>5702</v>
      </c>
      <c r="V2367" s="41" t="str">
        <f>HYPERLINK("http://ictvonline.org/taxonomy/p/taxonomy-history?taxnode_id=20182357","ICTVonline=20182357")</f>
        <v>ICTVonline=20182357</v>
      </c>
    </row>
    <row r="2368" spans="1:22">
      <c r="A2368" s="3">
        <v>2367</v>
      </c>
      <c r="J2368" s="1" t="s">
        <v>1174</v>
      </c>
      <c r="L2368" s="1" t="s">
        <v>1343</v>
      </c>
      <c r="N2368" s="1" t="s">
        <v>1488</v>
      </c>
      <c r="P2368" s="1" t="s">
        <v>1491</v>
      </c>
      <c r="Q2368" s="3">
        <v>0</v>
      </c>
      <c r="R2368" s="22" t="s">
        <v>2766</v>
      </c>
      <c r="S2368" s="22" t="s">
        <v>5099</v>
      </c>
      <c r="T2368" s="51">
        <v>25</v>
      </c>
      <c r="U2368" s="3" t="s">
        <v>5694</v>
      </c>
      <c r="V2368" s="41" t="str">
        <f>HYPERLINK("http://ictvonline.org/taxonomy/p/taxonomy-history?taxnode_id=20182358","ICTVonline=20182358")</f>
        <v>ICTVonline=20182358</v>
      </c>
    </row>
    <row r="2369" spans="1:22">
      <c r="A2369" s="3">
        <v>2368</v>
      </c>
      <c r="J2369" s="1" t="s">
        <v>1174</v>
      </c>
      <c r="L2369" s="1" t="s">
        <v>1343</v>
      </c>
      <c r="N2369" s="1" t="s">
        <v>1488</v>
      </c>
      <c r="P2369" s="1" t="s">
        <v>1492</v>
      </c>
      <c r="Q2369" s="3">
        <v>0</v>
      </c>
      <c r="R2369" s="22" t="s">
        <v>2766</v>
      </c>
      <c r="S2369" s="22" t="s">
        <v>5099</v>
      </c>
      <c r="T2369" s="51">
        <v>25</v>
      </c>
      <c r="U2369" s="3" t="s">
        <v>5694</v>
      </c>
      <c r="V2369" s="41" t="str">
        <f>HYPERLINK("http://ictvonline.org/taxonomy/p/taxonomy-history?taxnode_id=20182359","ICTVonline=20182359")</f>
        <v>ICTVonline=20182359</v>
      </c>
    </row>
    <row r="2370" spans="1:22">
      <c r="A2370" s="3">
        <v>2369</v>
      </c>
      <c r="J2370" s="1" t="s">
        <v>1174</v>
      </c>
      <c r="L2370" s="1" t="s">
        <v>1343</v>
      </c>
      <c r="N2370" s="1" t="s">
        <v>1488</v>
      </c>
      <c r="P2370" s="1" t="s">
        <v>1493</v>
      </c>
      <c r="Q2370" s="3">
        <v>0</v>
      </c>
      <c r="R2370" s="22" t="s">
        <v>2766</v>
      </c>
      <c r="S2370" s="22" t="s">
        <v>5099</v>
      </c>
      <c r="T2370" s="51">
        <v>25</v>
      </c>
      <c r="U2370" s="3" t="s">
        <v>5694</v>
      </c>
      <c r="V2370" s="41" t="str">
        <f>HYPERLINK("http://ictvonline.org/taxonomy/p/taxonomy-history?taxnode_id=20182360","ICTVonline=20182360")</f>
        <v>ICTVonline=20182360</v>
      </c>
    </row>
    <row r="2371" spans="1:22">
      <c r="A2371" s="3">
        <v>2370</v>
      </c>
      <c r="J2371" s="1" t="s">
        <v>1174</v>
      </c>
      <c r="L2371" s="1" t="s">
        <v>1343</v>
      </c>
      <c r="N2371" s="1" t="s">
        <v>1488</v>
      </c>
      <c r="P2371" s="1" t="s">
        <v>1494</v>
      </c>
      <c r="Q2371" s="3">
        <v>0</v>
      </c>
      <c r="R2371" s="22" t="s">
        <v>2766</v>
      </c>
      <c r="S2371" s="22" t="s">
        <v>5099</v>
      </c>
      <c r="T2371" s="51">
        <v>25</v>
      </c>
      <c r="U2371" s="3" t="s">
        <v>5694</v>
      </c>
      <c r="V2371" s="41" t="str">
        <f>HYPERLINK("http://ictvonline.org/taxonomy/p/taxonomy-history?taxnode_id=20182361","ICTVonline=20182361")</f>
        <v>ICTVonline=20182361</v>
      </c>
    </row>
    <row r="2372" spans="1:22">
      <c r="A2372" s="3">
        <v>2371</v>
      </c>
      <c r="J2372" s="1" t="s">
        <v>1174</v>
      </c>
      <c r="L2372" s="1" t="s">
        <v>1343</v>
      </c>
      <c r="N2372" s="1" t="s">
        <v>1488</v>
      </c>
      <c r="P2372" s="1" t="s">
        <v>17</v>
      </c>
      <c r="Q2372" s="3">
        <v>0</v>
      </c>
      <c r="R2372" s="22" t="s">
        <v>2766</v>
      </c>
      <c r="S2372" s="22" t="s">
        <v>5097</v>
      </c>
      <c r="T2372" s="51">
        <v>26</v>
      </c>
      <c r="U2372" s="3" t="s">
        <v>5703</v>
      </c>
      <c r="V2372" s="41" t="str">
        <f>HYPERLINK("http://ictvonline.org/taxonomy/p/taxonomy-history?taxnode_id=20182362","ICTVonline=20182362")</f>
        <v>ICTVonline=20182362</v>
      </c>
    </row>
    <row r="2373" spans="1:22">
      <c r="A2373" s="3">
        <v>2372</v>
      </c>
      <c r="J2373" s="1" t="s">
        <v>1174</v>
      </c>
      <c r="L2373" s="1" t="s">
        <v>1343</v>
      </c>
      <c r="N2373" s="1" t="s">
        <v>1488</v>
      </c>
      <c r="P2373" s="1" t="s">
        <v>1495</v>
      </c>
      <c r="Q2373" s="3">
        <v>0</v>
      </c>
      <c r="R2373" s="22" t="s">
        <v>2766</v>
      </c>
      <c r="S2373" s="22" t="s">
        <v>5099</v>
      </c>
      <c r="T2373" s="51">
        <v>25</v>
      </c>
      <c r="U2373" s="3" t="s">
        <v>5694</v>
      </c>
      <c r="V2373" s="41" t="str">
        <f>HYPERLINK("http://ictvonline.org/taxonomy/p/taxonomy-history?taxnode_id=20182363","ICTVonline=20182363")</f>
        <v>ICTVonline=20182363</v>
      </c>
    </row>
    <row r="2374" spans="1:22">
      <c r="A2374" s="3">
        <v>2373</v>
      </c>
      <c r="J2374" s="1" t="s">
        <v>1174</v>
      </c>
      <c r="L2374" s="1" t="s">
        <v>1343</v>
      </c>
      <c r="N2374" s="1" t="s">
        <v>1488</v>
      </c>
      <c r="P2374" s="1" t="s">
        <v>1466</v>
      </c>
      <c r="Q2374" s="3">
        <v>0</v>
      </c>
      <c r="R2374" s="22" t="s">
        <v>2766</v>
      </c>
      <c r="S2374" s="22" t="s">
        <v>5099</v>
      </c>
      <c r="T2374" s="51">
        <v>25</v>
      </c>
      <c r="U2374" s="3" t="s">
        <v>5694</v>
      </c>
      <c r="V2374" s="41" t="str">
        <f>HYPERLINK("http://ictvonline.org/taxonomy/p/taxonomy-history?taxnode_id=20182364","ICTVonline=20182364")</f>
        <v>ICTVonline=20182364</v>
      </c>
    </row>
    <row r="2375" spans="1:22">
      <c r="A2375" s="3">
        <v>2374</v>
      </c>
      <c r="J2375" s="1" t="s">
        <v>1174</v>
      </c>
      <c r="L2375" s="1" t="s">
        <v>1343</v>
      </c>
      <c r="N2375" s="1" t="s">
        <v>1488</v>
      </c>
      <c r="P2375" s="1" t="s">
        <v>1467</v>
      </c>
      <c r="Q2375" s="3">
        <v>0</v>
      </c>
      <c r="R2375" s="22" t="s">
        <v>2766</v>
      </c>
      <c r="S2375" s="22" t="s">
        <v>5099</v>
      </c>
      <c r="T2375" s="51">
        <v>25</v>
      </c>
      <c r="U2375" s="3" t="s">
        <v>5694</v>
      </c>
      <c r="V2375" s="41" t="str">
        <f>HYPERLINK("http://ictvonline.org/taxonomy/p/taxonomy-history?taxnode_id=20182365","ICTVonline=20182365")</f>
        <v>ICTVonline=20182365</v>
      </c>
    </row>
    <row r="2376" spans="1:22">
      <c r="A2376" s="3">
        <v>2375</v>
      </c>
      <c r="J2376" s="1" t="s">
        <v>1174</v>
      </c>
      <c r="L2376" s="1" t="s">
        <v>1343</v>
      </c>
      <c r="N2376" s="1" t="s">
        <v>1488</v>
      </c>
      <c r="P2376" s="1" t="s">
        <v>1468</v>
      </c>
      <c r="Q2376" s="3">
        <v>0</v>
      </c>
      <c r="R2376" s="22" t="s">
        <v>2766</v>
      </c>
      <c r="S2376" s="22" t="s">
        <v>5099</v>
      </c>
      <c r="T2376" s="51">
        <v>25</v>
      </c>
      <c r="U2376" s="3" t="s">
        <v>5694</v>
      </c>
      <c r="V2376" s="41" t="str">
        <f>HYPERLINK("http://ictvonline.org/taxonomy/p/taxonomy-history?taxnode_id=20182366","ICTVonline=20182366")</f>
        <v>ICTVonline=20182366</v>
      </c>
    </row>
    <row r="2377" spans="1:22">
      <c r="A2377" s="3">
        <v>2376</v>
      </c>
      <c r="J2377" s="1" t="s">
        <v>1174</v>
      </c>
      <c r="L2377" s="1" t="s">
        <v>1343</v>
      </c>
      <c r="N2377" s="1" t="s">
        <v>1488</v>
      </c>
      <c r="P2377" s="1" t="s">
        <v>1469</v>
      </c>
      <c r="Q2377" s="3">
        <v>0</v>
      </c>
      <c r="R2377" s="22" t="s">
        <v>2766</v>
      </c>
      <c r="S2377" s="22" t="s">
        <v>5099</v>
      </c>
      <c r="T2377" s="51">
        <v>25</v>
      </c>
      <c r="U2377" s="3" t="s">
        <v>5694</v>
      </c>
      <c r="V2377" s="41" t="str">
        <f>HYPERLINK("http://ictvonline.org/taxonomy/p/taxonomy-history?taxnode_id=20182367","ICTVonline=20182367")</f>
        <v>ICTVonline=20182367</v>
      </c>
    </row>
    <row r="2378" spans="1:22">
      <c r="A2378" s="3">
        <v>2377</v>
      </c>
      <c r="J2378" s="1" t="s">
        <v>1174</v>
      </c>
      <c r="L2378" s="1" t="s">
        <v>1343</v>
      </c>
      <c r="N2378" s="1" t="s">
        <v>1488</v>
      </c>
      <c r="P2378" s="1" t="s">
        <v>363</v>
      </c>
      <c r="Q2378" s="3">
        <v>0</v>
      </c>
      <c r="R2378" s="22" t="s">
        <v>2766</v>
      </c>
      <c r="S2378" s="22" t="s">
        <v>5099</v>
      </c>
      <c r="T2378" s="51">
        <v>25</v>
      </c>
      <c r="U2378" s="3" t="s">
        <v>5694</v>
      </c>
      <c r="V2378" s="41" t="str">
        <f>HYPERLINK("http://ictvonline.org/taxonomy/p/taxonomy-history?taxnode_id=20182368","ICTVonline=20182368")</f>
        <v>ICTVonline=20182368</v>
      </c>
    </row>
    <row r="2379" spans="1:22">
      <c r="A2379" s="3">
        <v>2378</v>
      </c>
      <c r="J2379" s="1" t="s">
        <v>1174</v>
      </c>
      <c r="L2379" s="1" t="s">
        <v>1343</v>
      </c>
      <c r="N2379" s="1" t="s">
        <v>1488</v>
      </c>
      <c r="P2379" s="1" t="s">
        <v>364</v>
      </c>
      <c r="Q2379" s="3">
        <v>0</v>
      </c>
      <c r="R2379" s="22" t="s">
        <v>2766</v>
      </c>
      <c r="S2379" s="22" t="s">
        <v>5099</v>
      </c>
      <c r="T2379" s="51">
        <v>25</v>
      </c>
      <c r="U2379" s="3" t="s">
        <v>5694</v>
      </c>
      <c r="V2379" s="41" t="str">
        <f>HYPERLINK("http://ictvonline.org/taxonomy/p/taxonomy-history?taxnode_id=20182369","ICTVonline=20182369")</f>
        <v>ICTVonline=20182369</v>
      </c>
    </row>
    <row r="2380" spans="1:22">
      <c r="A2380" s="3">
        <v>2379</v>
      </c>
      <c r="J2380" s="1" t="s">
        <v>1174</v>
      </c>
      <c r="L2380" s="1" t="s">
        <v>1343</v>
      </c>
      <c r="N2380" s="1" t="s">
        <v>1488</v>
      </c>
      <c r="P2380" s="1" t="s">
        <v>365</v>
      </c>
      <c r="Q2380" s="3">
        <v>0</v>
      </c>
      <c r="R2380" s="22" t="s">
        <v>2766</v>
      </c>
      <c r="S2380" s="22" t="s">
        <v>5099</v>
      </c>
      <c r="T2380" s="51">
        <v>25</v>
      </c>
      <c r="U2380" s="3" t="s">
        <v>5694</v>
      </c>
      <c r="V2380" s="41" t="str">
        <f>HYPERLINK("http://ictvonline.org/taxonomy/p/taxonomy-history?taxnode_id=20182370","ICTVonline=20182370")</f>
        <v>ICTVonline=20182370</v>
      </c>
    </row>
    <row r="2381" spans="1:22">
      <c r="A2381" s="3">
        <v>2380</v>
      </c>
      <c r="J2381" s="1" t="s">
        <v>1174</v>
      </c>
      <c r="L2381" s="1" t="s">
        <v>1343</v>
      </c>
      <c r="N2381" s="1" t="s">
        <v>1488</v>
      </c>
      <c r="P2381" s="1" t="s">
        <v>1473</v>
      </c>
      <c r="Q2381" s="3">
        <v>0</v>
      </c>
      <c r="R2381" s="22" t="s">
        <v>2766</v>
      </c>
      <c r="S2381" s="22" t="s">
        <v>5099</v>
      </c>
      <c r="T2381" s="51">
        <v>25</v>
      </c>
      <c r="U2381" s="3" t="s">
        <v>5694</v>
      </c>
      <c r="V2381" s="41" t="str">
        <f>HYPERLINK("http://ictvonline.org/taxonomy/p/taxonomy-history?taxnode_id=20182371","ICTVonline=20182371")</f>
        <v>ICTVonline=20182371</v>
      </c>
    </row>
    <row r="2382" spans="1:22">
      <c r="A2382" s="3">
        <v>2381</v>
      </c>
      <c r="J2382" s="1" t="s">
        <v>1174</v>
      </c>
      <c r="L2382" s="1" t="s">
        <v>1343</v>
      </c>
      <c r="N2382" s="1" t="s">
        <v>1488</v>
      </c>
      <c r="P2382" s="1" t="s">
        <v>1474</v>
      </c>
      <c r="Q2382" s="3">
        <v>0</v>
      </c>
      <c r="R2382" s="22" t="s">
        <v>2766</v>
      </c>
      <c r="S2382" s="22" t="s">
        <v>5099</v>
      </c>
      <c r="T2382" s="51">
        <v>25</v>
      </c>
      <c r="U2382" s="3" t="s">
        <v>5694</v>
      </c>
      <c r="V2382" s="41" t="str">
        <f>HYPERLINK("http://ictvonline.org/taxonomy/p/taxonomy-history?taxnode_id=20182372","ICTVonline=20182372")</f>
        <v>ICTVonline=20182372</v>
      </c>
    </row>
    <row r="2383" spans="1:22">
      <c r="A2383" s="3">
        <v>2382</v>
      </c>
      <c r="J2383" s="1" t="s">
        <v>1174</v>
      </c>
      <c r="L2383" s="1" t="s">
        <v>1343</v>
      </c>
      <c r="N2383" s="1" t="s">
        <v>1488</v>
      </c>
      <c r="P2383" s="1" t="s">
        <v>367</v>
      </c>
      <c r="Q2383" s="3">
        <v>0</v>
      </c>
      <c r="R2383" s="22" t="s">
        <v>2766</v>
      </c>
      <c r="S2383" s="22" t="s">
        <v>5099</v>
      </c>
      <c r="T2383" s="51">
        <v>25</v>
      </c>
      <c r="U2383" s="3" t="s">
        <v>5694</v>
      </c>
      <c r="V2383" s="41" t="str">
        <f>HYPERLINK("http://ictvonline.org/taxonomy/p/taxonomy-history?taxnode_id=20182373","ICTVonline=20182373")</f>
        <v>ICTVonline=20182373</v>
      </c>
    </row>
    <row r="2384" spans="1:22">
      <c r="A2384" s="3">
        <v>2383</v>
      </c>
      <c r="J2384" s="1" t="s">
        <v>1174</v>
      </c>
      <c r="L2384" s="1" t="s">
        <v>1343</v>
      </c>
      <c r="N2384" s="1" t="s">
        <v>1488</v>
      </c>
      <c r="P2384" s="1" t="s">
        <v>368</v>
      </c>
      <c r="Q2384" s="3">
        <v>0</v>
      </c>
      <c r="R2384" s="22" t="s">
        <v>2766</v>
      </c>
      <c r="S2384" s="22" t="s">
        <v>5099</v>
      </c>
      <c r="T2384" s="51">
        <v>25</v>
      </c>
      <c r="U2384" s="3" t="s">
        <v>5694</v>
      </c>
      <c r="V2384" s="41" t="str">
        <f>HYPERLINK("http://ictvonline.org/taxonomy/p/taxonomy-history?taxnode_id=20182374","ICTVonline=20182374")</f>
        <v>ICTVonline=20182374</v>
      </c>
    </row>
    <row r="2385" spans="1:22">
      <c r="A2385" s="3">
        <v>2384</v>
      </c>
      <c r="J2385" s="1" t="s">
        <v>1174</v>
      </c>
      <c r="L2385" s="1" t="s">
        <v>1343</v>
      </c>
      <c r="N2385" s="1" t="s">
        <v>1488</v>
      </c>
      <c r="P2385" s="1" t="s">
        <v>369</v>
      </c>
      <c r="Q2385" s="3">
        <v>0</v>
      </c>
      <c r="R2385" s="22" t="s">
        <v>2766</v>
      </c>
      <c r="S2385" s="22" t="s">
        <v>5099</v>
      </c>
      <c r="T2385" s="51">
        <v>25</v>
      </c>
      <c r="U2385" s="3" t="s">
        <v>5694</v>
      </c>
      <c r="V2385" s="41" t="str">
        <f>HYPERLINK("http://ictvonline.org/taxonomy/p/taxonomy-history?taxnode_id=20182375","ICTVonline=20182375")</f>
        <v>ICTVonline=20182375</v>
      </c>
    </row>
    <row r="2386" spans="1:22">
      <c r="A2386" s="3">
        <v>2385</v>
      </c>
      <c r="J2386" s="1" t="s">
        <v>1174</v>
      </c>
      <c r="L2386" s="1" t="s">
        <v>1343</v>
      </c>
      <c r="N2386" s="1" t="s">
        <v>1488</v>
      </c>
      <c r="P2386" s="1" t="s">
        <v>370</v>
      </c>
      <c r="Q2386" s="3">
        <v>0</v>
      </c>
      <c r="R2386" s="22" t="s">
        <v>2766</v>
      </c>
      <c r="S2386" s="22" t="s">
        <v>5099</v>
      </c>
      <c r="T2386" s="51">
        <v>25</v>
      </c>
      <c r="U2386" s="3" t="s">
        <v>5694</v>
      </c>
      <c r="V2386" s="41" t="str">
        <f>HYPERLINK("http://ictvonline.org/taxonomy/p/taxonomy-history?taxnode_id=20182376","ICTVonline=20182376")</f>
        <v>ICTVonline=20182376</v>
      </c>
    </row>
    <row r="2387" spans="1:22">
      <c r="A2387" s="3">
        <v>2386</v>
      </c>
      <c r="J2387" s="1" t="s">
        <v>1174</v>
      </c>
      <c r="L2387" s="1" t="s">
        <v>1343</v>
      </c>
      <c r="N2387" s="1" t="s">
        <v>1488</v>
      </c>
      <c r="P2387" s="1" t="s">
        <v>371</v>
      </c>
      <c r="Q2387" s="3">
        <v>0</v>
      </c>
      <c r="R2387" s="22" t="s">
        <v>2766</v>
      </c>
      <c r="S2387" s="22" t="s">
        <v>5099</v>
      </c>
      <c r="T2387" s="51">
        <v>25</v>
      </c>
      <c r="U2387" s="3" t="s">
        <v>5694</v>
      </c>
      <c r="V2387" s="41" t="str">
        <f>HYPERLINK("http://ictvonline.org/taxonomy/p/taxonomy-history?taxnode_id=20182377","ICTVonline=20182377")</f>
        <v>ICTVonline=20182377</v>
      </c>
    </row>
    <row r="2388" spans="1:22">
      <c r="A2388" s="3">
        <v>2387</v>
      </c>
      <c r="J2388" s="1" t="s">
        <v>1174</v>
      </c>
      <c r="L2388" s="1" t="s">
        <v>1343</v>
      </c>
      <c r="N2388" s="1" t="s">
        <v>1488</v>
      </c>
      <c r="P2388" s="1" t="s">
        <v>245</v>
      </c>
      <c r="Q2388" s="3">
        <v>0</v>
      </c>
      <c r="R2388" s="22" t="s">
        <v>2766</v>
      </c>
      <c r="S2388" s="22" t="s">
        <v>5099</v>
      </c>
      <c r="T2388" s="51">
        <v>25</v>
      </c>
      <c r="U2388" s="3" t="s">
        <v>5694</v>
      </c>
      <c r="V2388" s="41" t="str">
        <f>HYPERLINK("http://ictvonline.org/taxonomy/p/taxonomy-history?taxnode_id=20182378","ICTVonline=20182378")</f>
        <v>ICTVonline=20182378</v>
      </c>
    </row>
    <row r="2389" spans="1:22">
      <c r="A2389" s="3">
        <v>2388</v>
      </c>
      <c r="J2389" s="1" t="s">
        <v>1174</v>
      </c>
      <c r="L2389" s="1" t="s">
        <v>1343</v>
      </c>
      <c r="N2389" s="1" t="s">
        <v>1488</v>
      </c>
      <c r="P2389" s="1" t="s">
        <v>4784</v>
      </c>
      <c r="Q2389" s="3">
        <v>0</v>
      </c>
      <c r="R2389" s="22" t="s">
        <v>2766</v>
      </c>
      <c r="S2389" s="22" t="s">
        <v>5097</v>
      </c>
      <c r="T2389" s="51">
        <v>31</v>
      </c>
      <c r="U2389" s="3" t="s">
        <v>5699</v>
      </c>
      <c r="V2389" s="41" t="str">
        <f>HYPERLINK("http://ictvonline.org/taxonomy/p/taxonomy-history?taxnode_id=20182379","ICTVonline=20182379")</f>
        <v>ICTVonline=20182379</v>
      </c>
    </row>
    <row r="2390" spans="1:22">
      <c r="A2390" s="3">
        <v>2389</v>
      </c>
      <c r="J2390" s="1" t="s">
        <v>1174</v>
      </c>
      <c r="L2390" s="1" t="s">
        <v>1343</v>
      </c>
      <c r="N2390" s="1" t="s">
        <v>1488</v>
      </c>
      <c r="P2390" s="1" t="s">
        <v>1258</v>
      </c>
      <c r="Q2390" s="3">
        <v>1</v>
      </c>
      <c r="R2390" s="22" t="s">
        <v>2766</v>
      </c>
      <c r="S2390" s="22" t="s">
        <v>5099</v>
      </c>
      <c r="T2390" s="51">
        <v>25</v>
      </c>
      <c r="U2390" s="3" t="s">
        <v>5694</v>
      </c>
      <c r="V2390" s="41" t="str">
        <f>HYPERLINK("http://ictvonline.org/taxonomy/p/taxonomy-history?taxnode_id=20182380","ICTVonline=20182380")</f>
        <v>ICTVonline=20182380</v>
      </c>
    </row>
    <row r="2391" spans="1:22">
      <c r="A2391" s="3">
        <v>2390</v>
      </c>
      <c r="J2391" s="1" t="s">
        <v>1174</v>
      </c>
      <c r="L2391" s="1" t="s">
        <v>1343</v>
      </c>
      <c r="N2391" s="1" t="s">
        <v>1488</v>
      </c>
      <c r="P2391" s="1" t="s">
        <v>1259</v>
      </c>
      <c r="Q2391" s="3">
        <v>0</v>
      </c>
      <c r="R2391" s="22" t="s">
        <v>2766</v>
      </c>
      <c r="S2391" s="22" t="s">
        <v>5099</v>
      </c>
      <c r="T2391" s="51">
        <v>25</v>
      </c>
      <c r="U2391" s="3" t="s">
        <v>5694</v>
      </c>
      <c r="V2391" s="41" t="str">
        <f>HYPERLINK("http://ictvonline.org/taxonomy/p/taxonomy-history?taxnode_id=20182381","ICTVonline=20182381")</f>
        <v>ICTVonline=20182381</v>
      </c>
    </row>
    <row r="2392" spans="1:22">
      <c r="A2392" s="3">
        <v>2391</v>
      </c>
      <c r="J2392" s="1" t="s">
        <v>1174</v>
      </c>
      <c r="L2392" s="1" t="s">
        <v>1343</v>
      </c>
      <c r="N2392" s="1" t="s">
        <v>1488</v>
      </c>
      <c r="P2392" s="1" t="s">
        <v>1260</v>
      </c>
      <c r="Q2392" s="3">
        <v>0</v>
      </c>
      <c r="R2392" s="22" t="s">
        <v>2766</v>
      </c>
      <c r="S2392" s="22" t="s">
        <v>5099</v>
      </c>
      <c r="T2392" s="51">
        <v>25</v>
      </c>
      <c r="U2392" s="3" t="s">
        <v>5694</v>
      </c>
      <c r="V2392" s="41" t="str">
        <f>HYPERLINK("http://ictvonline.org/taxonomy/p/taxonomy-history?taxnode_id=20182382","ICTVonline=20182382")</f>
        <v>ICTVonline=20182382</v>
      </c>
    </row>
    <row r="2393" spans="1:22">
      <c r="A2393" s="3">
        <v>2392</v>
      </c>
      <c r="J2393" s="1" t="s">
        <v>1174</v>
      </c>
      <c r="L2393" s="1" t="s">
        <v>1343</v>
      </c>
      <c r="P2393" s="1" t="s">
        <v>12</v>
      </c>
      <c r="Q2393" s="3">
        <v>0</v>
      </c>
      <c r="R2393" s="22" t="s">
        <v>2766</v>
      </c>
      <c r="S2393" s="22" t="s">
        <v>5097</v>
      </c>
      <c r="T2393" s="51">
        <v>26</v>
      </c>
      <c r="U2393" s="3" t="s">
        <v>5704</v>
      </c>
      <c r="V2393" s="41" t="str">
        <f>HYPERLINK("http://ictvonline.org/taxonomy/p/taxonomy-history?taxnode_id=20182384","ICTVonline=20182384")</f>
        <v>ICTVonline=20182384</v>
      </c>
    </row>
    <row r="2394" spans="1:22">
      <c r="A2394" s="3">
        <v>2393</v>
      </c>
      <c r="J2394" s="1" t="s">
        <v>1174</v>
      </c>
      <c r="L2394" s="1" t="s">
        <v>1343</v>
      </c>
      <c r="P2394" s="1" t="s">
        <v>13</v>
      </c>
      <c r="Q2394" s="3">
        <v>0</v>
      </c>
      <c r="R2394" s="22" t="s">
        <v>2766</v>
      </c>
      <c r="S2394" s="22" t="s">
        <v>5097</v>
      </c>
      <c r="T2394" s="51">
        <v>26</v>
      </c>
      <c r="U2394" s="3" t="s">
        <v>5705</v>
      </c>
      <c r="V2394" s="41" t="str">
        <f>HYPERLINK("http://ictvonline.org/taxonomy/p/taxonomy-history?taxnode_id=20182385","ICTVonline=20182385")</f>
        <v>ICTVonline=20182385</v>
      </c>
    </row>
    <row r="2395" spans="1:22">
      <c r="A2395" s="3">
        <v>2394</v>
      </c>
      <c r="L2395" s="1" t="s">
        <v>1792</v>
      </c>
      <c r="N2395" s="1" t="s">
        <v>1793</v>
      </c>
      <c r="P2395" s="1" t="s">
        <v>2341</v>
      </c>
      <c r="Q2395" s="3">
        <v>0</v>
      </c>
      <c r="R2395" s="22" t="s">
        <v>2764</v>
      </c>
      <c r="S2395" s="22" t="s">
        <v>5100</v>
      </c>
      <c r="T2395" s="51">
        <v>28</v>
      </c>
      <c r="U2395" s="3" t="s">
        <v>5706</v>
      </c>
      <c r="V2395" s="41" t="str">
        <f>HYPERLINK("http://ictvonline.org/taxonomy/p/taxonomy-history?taxnode_id=20182390","ICTVonline=20182390")</f>
        <v>ICTVonline=20182390</v>
      </c>
    </row>
    <row r="2396" spans="1:22">
      <c r="A2396" s="3">
        <v>2395</v>
      </c>
      <c r="L2396" s="1" t="s">
        <v>1792</v>
      </c>
      <c r="N2396" s="1" t="s">
        <v>1793</v>
      </c>
      <c r="P2396" s="1" t="s">
        <v>5707</v>
      </c>
      <c r="Q2396" s="3">
        <v>0</v>
      </c>
      <c r="R2396" s="22" t="s">
        <v>2764</v>
      </c>
      <c r="S2396" s="22" t="s">
        <v>5097</v>
      </c>
      <c r="T2396" s="51">
        <v>32</v>
      </c>
      <c r="U2396" s="3" t="s">
        <v>5708</v>
      </c>
      <c r="V2396" s="41" t="str">
        <f>HYPERLINK("http://ictvonline.org/taxonomy/p/taxonomy-history?taxnode_id=20185652","ICTVonline=20185652")</f>
        <v>ICTVonline=20185652</v>
      </c>
    </row>
    <row r="2397" spans="1:22">
      <c r="A2397" s="3">
        <v>2396</v>
      </c>
      <c r="L2397" s="1" t="s">
        <v>1792</v>
      </c>
      <c r="N2397" s="1" t="s">
        <v>1793</v>
      </c>
      <c r="P2397" s="1" t="s">
        <v>2342</v>
      </c>
      <c r="Q2397" s="3">
        <v>0</v>
      </c>
      <c r="R2397" s="22" t="s">
        <v>2764</v>
      </c>
      <c r="S2397" s="22" t="s">
        <v>5100</v>
      </c>
      <c r="T2397" s="51">
        <v>28</v>
      </c>
      <c r="U2397" s="3" t="s">
        <v>5706</v>
      </c>
      <c r="V2397" s="41" t="str">
        <f>HYPERLINK("http://ictvonline.org/taxonomy/p/taxonomy-history?taxnode_id=20182391","ICTVonline=20182391")</f>
        <v>ICTVonline=20182391</v>
      </c>
    </row>
    <row r="2398" spans="1:22">
      <c r="A2398" s="3">
        <v>2397</v>
      </c>
      <c r="L2398" s="1" t="s">
        <v>1792</v>
      </c>
      <c r="N2398" s="1" t="s">
        <v>1793</v>
      </c>
      <c r="P2398" s="1" t="s">
        <v>4785</v>
      </c>
      <c r="Q2398" s="3">
        <v>0</v>
      </c>
      <c r="R2398" s="22" t="s">
        <v>2764</v>
      </c>
      <c r="S2398" s="22" t="s">
        <v>5097</v>
      </c>
      <c r="T2398" s="51">
        <v>31</v>
      </c>
      <c r="U2398" s="3" t="s">
        <v>5709</v>
      </c>
      <c r="V2398" s="41" t="str">
        <f>HYPERLINK("http://ictvonline.org/taxonomy/p/taxonomy-history?taxnode_id=20182392","ICTVonline=20182392")</f>
        <v>ICTVonline=20182392</v>
      </c>
    </row>
    <row r="2399" spans="1:22">
      <c r="A2399" s="3">
        <v>2398</v>
      </c>
      <c r="L2399" s="1" t="s">
        <v>1792</v>
      </c>
      <c r="N2399" s="1" t="s">
        <v>1793</v>
      </c>
      <c r="P2399" s="1" t="s">
        <v>2343</v>
      </c>
      <c r="Q2399" s="3">
        <v>1</v>
      </c>
      <c r="R2399" s="22" t="s">
        <v>2764</v>
      </c>
      <c r="S2399" s="22" t="s">
        <v>5100</v>
      </c>
      <c r="T2399" s="51">
        <v>28</v>
      </c>
      <c r="U2399" s="3" t="s">
        <v>5706</v>
      </c>
      <c r="V2399" s="41" t="str">
        <f>HYPERLINK("http://ictvonline.org/taxonomy/p/taxonomy-history?taxnode_id=20182393","ICTVonline=20182393")</f>
        <v>ICTVonline=20182393</v>
      </c>
    </row>
    <row r="2400" spans="1:22">
      <c r="A2400" s="3">
        <v>2399</v>
      </c>
      <c r="L2400" s="1" t="s">
        <v>1792</v>
      </c>
      <c r="N2400" s="1" t="s">
        <v>1793</v>
      </c>
      <c r="P2400" s="1" t="s">
        <v>2344</v>
      </c>
      <c r="Q2400" s="3">
        <v>0</v>
      </c>
      <c r="R2400" s="22" t="s">
        <v>2764</v>
      </c>
      <c r="S2400" s="22" t="s">
        <v>5100</v>
      </c>
      <c r="T2400" s="51">
        <v>28</v>
      </c>
      <c r="U2400" s="3" t="s">
        <v>5706</v>
      </c>
      <c r="V2400" s="41" t="str">
        <f>HYPERLINK("http://ictvonline.org/taxonomy/p/taxonomy-history?taxnode_id=20182394","ICTVonline=20182394")</f>
        <v>ICTVonline=20182394</v>
      </c>
    </row>
    <row r="2401" spans="1:22">
      <c r="A2401" s="3">
        <v>2400</v>
      </c>
      <c r="L2401" s="1" t="s">
        <v>1792</v>
      </c>
      <c r="N2401" s="1" t="s">
        <v>1793</v>
      </c>
      <c r="P2401" s="1" t="s">
        <v>4786</v>
      </c>
      <c r="Q2401" s="3">
        <v>0</v>
      </c>
      <c r="R2401" s="22" t="s">
        <v>2764</v>
      </c>
      <c r="S2401" s="22" t="s">
        <v>5097</v>
      </c>
      <c r="T2401" s="51">
        <v>31</v>
      </c>
      <c r="U2401" s="3" t="s">
        <v>5709</v>
      </c>
      <c r="V2401" s="41" t="str">
        <f>HYPERLINK("http://ictvonline.org/taxonomy/p/taxonomy-history?taxnode_id=20182395","ICTVonline=20182395")</f>
        <v>ICTVonline=20182395</v>
      </c>
    </row>
    <row r="2402" spans="1:22">
      <c r="A2402" s="3">
        <v>2401</v>
      </c>
      <c r="L2402" s="1" t="s">
        <v>1792</v>
      </c>
      <c r="N2402" s="1" t="s">
        <v>1793</v>
      </c>
      <c r="P2402" s="1" t="s">
        <v>2345</v>
      </c>
      <c r="Q2402" s="3">
        <v>0</v>
      </c>
      <c r="R2402" s="22" t="s">
        <v>2764</v>
      </c>
      <c r="S2402" s="22" t="s">
        <v>5100</v>
      </c>
      <c r="T2402" s="51">
        <v>28</v>
      </c>
      <c r="U2402" s="3" t="s">
        <v>5706</v>
      </c>
      <c r="V2402" s="41" t="str">
        <f>HYPERLINK("http://ictvonline.org/taxonomy/p/taxonomy-history?taxnode_id=20182396","ICTVonline=20182396")</f>
        <v>ICTVonline=20182396</v>
      </c>
    </row>
    <row r="2403" spans="1:22">
      <c r="A2403" s="3">
        <v>2402</v>
      </c>
      <c r="L2403" s="1" t="s">
        <v>1792</v>
      </c>
      <c r="N2403" s="1" t="s">
        <v>1391</v>
      </c>
      <c r="P2403" s="1" t="s">
        <v>3785</v>
      </c>
      <c r="Q2403" s="3">
        <v>0</v>
      </c>
      <c r="R2403" s="22" t="s">
        <v>2764</v>
      </c>
      <c r="S2403" s="22" t="s">
        <v>5097</v>
      </c>
      <c r="T2403" s="51">
        <v>30</v>
      </c>
      <c r="U2403" s="3" t="s">
        <v>5710</v>
      </c>
      <c r="V2403" s="41" t="str">
        <f>HYPERLINK("http://ictvonline.org/taxonomy/p/taxonomy-history?taxnode_id=20182398","ICTVonline=20182398")</f>
        <v>ICTVonline=20182398</v>
      </c>
    </row>
    <row r="2404" spans="1:22">
      <c r="A2404" s="3">
        <v>2403</v>
      </c>
      <c r="L2404" s="1" t="s">
        <v>1792</v>
      </c>
      <c r="N2404" s="1" t="s">
        <v>1391</v>
      </c>
      <c r="P2404" s="1" t="s">
        <v>2346</v>
      </c>
      <c r="Q2404" s="3">
        <v>0</v>
      </c>
      <c r="R2404" s="22" t="s">
        <v>2764</v>
      </c>
      <c r="S2404" s="22" t="s">
        <v>5100</v>
      </c>
      <c r="T2404" s="51">
        <v>28</v>
      </c>
      <c r="U2404" s="3" t="s">
        <v>5706</v>
      </c>
      <c r="V2404" s="41" t="str">
        <f>HYPERLINK("http://ictvonline.org/taxonomy/p/taxonomy-history?taxnode_id=20182399","ICTVonline=20182399")</f>
        <v>ICTVonline=20182399</v>
      </c>
    </row>
    <row r="2405" spans="1:22">
      <c r="A2405" s="3">
        <v>2404</v>
      </c>
      <c r="L2405" s="1" t="s">
        <v>1792</v>
      </c>
      <c r="N2405" s="1" t="s">
        <v>1391</v>
      </c>
      <c r="P2405" s="1" t="s">
        <v>2347</v>
      </c>
      <c r="Q2405" s="3">
        <v>1</v>
      </c>
      <c r="R2405" s="22" t="s">
        <v>2764</v>
      </c>
      <c r="S2405" s="22" t="s">
        <v>5100</v>
      </c>
      <c r="T2405" s="51">
        <v>28</v>
      </c>
      <c r="U2405" s="3" t="s">
        <v>5706</v>
      </c>
      <c r="V2405" s="41" t="str">
        <f>HYPERLINK("http://ictvonline.org/taxonomy/p/taxonomy-history?taxnode_id=20182400","ICTVonline=20182400")</f>
        <v>ICTVonline=20182400</v>
      </c>
    </row>
    <row r="2406" spans="1:22">
      <c r="A2406" s="3">
        <v>2405</v>
      </c>
      <c r="L2406" s="1" t="s">
        <v>1792</v>
      </c>
      <c r="N2406" s="1" t="s">
        <v>1391</v>
      </c>
      <c r="P2406" s="1" t="s">
        <v>2348</v>
      </c>
      <c r="Q2406" s="3">
        <v>0</v>
      </c>
      <c r="R2406" s="22" t="s">
        <v>2764</v>
      </c>
      <c r="S2406" s="22" t="s">
        <v>5100</v>
      </c>
      <c r="T2406" s="51">
        <v>28</v>
      </c>
      <c r="U2406" s="3" t="s">
        <v>5706</v>
      </c>
      <c r="V2406" s="41" t="str">
        <f>HYPERLINK("http://ictvonline.org/taxonomy/p/taxonomy-history?taxnode_id=20182401","ICTVonline=20182401")</f>
        <v>ICTVonline=20182401</v>
      </c>
    </row>
    <row r="2407" spans="1:22">
      <c r="A2407" s="3">
        <v>2406</v>
      </c>
      <c r="L2407" s="1" t="s">
        <v>1792</v>
      </c>
      <c r="N2407" s="1" t="s">
        <v>1391</v>
      </c>
      <c r="P2407" s="1" t="s">
        <v>2349</v>
      </c>
      <c r="Q2407" s="3">
        <v>0</v>
      </c>
      <c r="R2407" s="22" t="s">
        <v>2764</v>
      </c>
      <c r="S2407" s="22" t="s">
        <v>5100</v>
      </c>
      <c r="T2407" s="51">
        <v>28</v>
      </c>
      <c r="U2407" s="3" t="s">
        <v>5706</v>
      </c>
      <c r="V2407" s="41" t="str">
        <f>HYPERLINK("http://ictvonline.org/taxonomy/p/taxonomy-history?taxnode_id=20182402","ICTVonline=20182402")</f>
        <v>ICTVonline=20182402</v>
      </c>
    </row>
    <row r="2408" spans="1:22">
      <c r="A2408" s="3">
        <v>2407</v>
      </c>
      <c r="L2408" s="1" t="s">
        <v>1792</v>
      </c>
      <c r="N2408" s="1" t="s">
        <v>1391</v>
      </c>
      <c r="P2408" s="1" t="s">
        <v>2350</v>
      </c>
      <c r="Q2408" s="3">
        <v>0</v>
      </c>
      <c r="R2408" s="22" t="s">
        <v>2764</v>
      </c>
      <c r="S2408" s="22" t="s">
        <v>5100</v>
      </c>
      <c r="T2408" s="51">
        <v>28</v>
      </c>
      <c r="U2408" s="3" t="s">
        <v>5706</v>
      </c>
      <c r="V2408" s="41" t="str">
        <f>HYPERLINK("http://ictvonline.org/taxonomy/p/taxonomy-history?taxnode_id=20182403","ICTVonline=20182403")</f>
        <v>ICTVonline=20182403</v>
      </c>
    </row>
    <row r="2409" spans="1:22">
      <c r="A2409" s="3">
        <v>2408</v>
      </c>
      <c r="L2409" s="1" t="s">
        <v>1792</v>
      </c>
      <c r="N2409" s="1" t="s">
        <v>1391</v>
      </c>
      <c r="P2409" s="1" t="s">
        <v>2351</v>
      </c>
      <c r="Q2409" s="3">
        <v>0</v>
      </c>
      <c r="R2409" s="22" t="s">
        <v>2764</v>
      </c>
      <c r="S2409" s="22" t="s">
        <v>5100</v>
      </c>
      <c r="T2409" s="51">
        <v>28</v>
      </c>
      <c r="U2409" s="3" t="s">
        <v>5706</v>
      </c>
      <c r="V2409" s="41" t="str">
        <f>HYPERLINK("http://ictvonline.org/taxonomy/p/taxonomy-history?taxnode_id=20182404","ICTVonline=20182404")</f>
        <v>ICTVonline=20182404</v>
      </c>
    </row>
    <row r="2410" spans="1:22">
      <c r="A2410" s="3">
        <v>2409</v>
      </c>
      <c r="L2410" s="1" t="s">
        <v>1792</v>
      </c>
      <c r="N2410" s="1" t="s">
        <v>1391</v>
      </c>
      <c r="P2410" s="1" t="s">
        <v>2352</v>
      </c>
      <c r="Q2410" s="3">
        <v>0</v>
      </c>
      <c r="R2410" s="22" t="s">
        <v>2764</v>
      </c>
      <c r="S2410" s="22" t="s">
        <v>5100</v>
      </c>
      <c r="T2410" s="51">
        <v>28</v>
      </c>
      <c r="U2410" s="3" t="s">
        <v>5706</v>
      </c>
      <c r="V2410" s="41" t="str">
        <f>HYPERLINK("http://ictvonline.org/taxonomy/p/taxonomy-history?taxnode_id=20182405","ICTVonline=20182405")</f>
        <v>ICTVonline=20182405</v>
      </c>
    </row>
    <row r="2411" spans="1:22">
      <c r="A2411" s="3">
        <v>2410</v>
      </c>
      <c r="L2411" s="1" t="s">
        <v>1792</v>
      </c>
      <c r="N2411" s="1" t="s">
        <v>1391</v>
      </c>
      <c r="P2411" s="1" t="s">
        <v>3786</v>
      </c>
      <c r="Q2411" s="3">
        <v>0</v>
      </c>
      <c r="R2411" s="22" t="s">
        <v>2764</v>
      </c>
      <c r="S2411" s="22" t="s">
        <v>5097</v>
      </c>
      <c r="T2411" s="51">
        <v>30</v>
      </c>
      <c r="U2411" s="3" t="s">
        <v>5710</v>
      </c>
      <c r="V2411" s="41" t="str">
        <f>HYPERLINK("http://ictvonline.org/taxonomy/p/taxonomy-history?taxnode_id=20182406","ICTVonline=20182406")</f>
        <v>ICTVonline=20182406</v>
      </c>
    </row>
    <row r="2412" spans="1:22">
      <c r="A2412" s="3">
        <v>2411</v>
      </c>
      <c r="L2412" s="1" t="s">
        <v>1792</v>
      </c>
      <c r="N2412" s="1" t="s">
        <v>1391</v>
      </c>
      <c r="P2412" s="1" t="s">
        <v>5711</v>
      </c>
      <c r="Q2412" s="3">
        <v>0</v>
      </c>
      <c r="R2412" s="22" t="s">
        <v>2764</v>
      </c>
      <c r="S2412" s="22" t="s">
        <v>5097</v>
      </c>
      <c r="T2412" s="51">
        <v>32</v>
      </c>
      <c r="U2412" s="3" t="s">
        <v>5712</v>
      </c>
      <c r="V2412" s="41" t="str">
        <f>HYPERLINK("http://ictvonline.org/taxonomy/p/taxonomy-history?taxnode_id=20185653","ICTVonline=20185653")</f>
        <v>ICTVonline=20185653</v>
      </c>
    </row>
    <row r="2413" spans="1:22">
      <c r="A2413" s="3">
        <v>2412</v>
      </c>
      <c r="L2413" s="1" t="s">
        <v>1792</v>
      </c>
      <c r="N2413" s="1" t="s">
        <v>1391</v>
      </c>
      <c r="P2413" s="1" t="s">
        <v>5713</v>
      </c>
      <c r="Q2413" s="3">
        <v>0</v>
      </c>
      <c r="R2413" s="22" t="s">
        <v>2764</v>
      </c>
      <c r="S2413" s="22" t="s">
        <v>5097</v>
      </c>
      <c r="T2413" s="51">
        <v>32</v>
      </c>
      <c r="U2413" s="3" t="s">
        <v>5712</v>
      </c>
      <c r="V2413" s="41" t="str">
        <f>HYPERLINK("http://ictvonline.org/taxonomy/p/taxonomy-history?taxnode_id=20185654","ICTVonline=20185654")</f>
        <v>ICTVonline=20185654</v>
      </c>
    </row>
    <row r="2414" spans="1:22">
      <c r="A2414" s="3">
        <v>2413</v>
      </c>
      <c r="L2414" s="1" t="s">
        <v>1792</v>
      </c>
      <c r="N2414" s="1" t="s">
        <v>1391</v>
      </c>
      <c r="P2414" s="1" t="s">
        <v>2353</v>
      </c>
      <c r="Q2414" s="3">
        <v>0</v>
      </c>
      <c r="R2414" s="22" t="s">
        <v>2764</v>
      </c>
      <c r="S2414" s="22" t="s">
        <v>5100</v>
      </c>
      <c r="T2414" s="51">
        <v>28</v>
      </c>
      <c r="U2414" s="3" t="s">
        <v>5706</v>
      </c>
      <c r="V2414" s="41" t="str">
        <f>HYPERLINK("http://ictvonline.org/taxonomy/p/taxonomy-history?taxnode_id=20182407","ICTVonline=20182407")</f>
        <v>ICTVonline=20182407</v>
      </c>
    </row>
    <row r="2415" spans="1:22">
      <c r="A2415" s="3">
        <v>2414</v>
      </c>
      <c r="L2415" s="1" t="s">
        <v>1792</v>
      </c>
      <c r="N2415" s="1" t="s">
        <v>1391</v>
      </c>
      <c r="P2415" s="1" t="s">
        <v>3787</v>
      </c>
      <c r="Q2415" s="3">
        <v>0</v>
      </c>
      <c r="R2415" s="22" t="s">
        <v>2764</v>
      </c>
      <c r="S2415" s="22" t="s">
        <v>5097</v>
      </c>
      <c r="T2415" s="51">
        <v>30</v>
      </c>
      <c r="U2415" s="3" t="s">
        <v>5710</v>
      </c>
      <c r="V2415" s="41" t="str">
        <f>HYPERLINK("http://ictvonline.org/taxonomy/p/taxonomy-history?taxnode_id=20182408","ICTVonline=20182408")</f>
        <v>ICTVonline=20182408</v>
      </c>
    </row>
    <row r="2416" spans="1:22">
      <c r="A2416" s="3">
        <v>2415</v>
      </c>
      <c r="L2416" s="1" t="s">
        <v>1792</v>
      </c>
      <c r="N2416" s="1" t="s">
        <v>1391</v>
      </c>
      <c r="P2416" s="1" t="s">
        <v>3788</v>
      </c>
      <c r="Q2416" s="3">
        <v>0</v>
      </c>
      <c r="R2416" s="22" t="s">
        <v>2764</v>
      </c>
      <c r="S2416" s="22" t="s">
        <v>5097</v>
      </c>
      <c r="T2416" s="51">
        <v>30</v>
      </c>
      <c r="U2416" s="3" t="s">
        <v>5710</v>
      </c>
      <c r="V2416" s="41" t="str">
        <f>HYPERLINK("http://ictvonline.org/taxonomy/p/taxonomy-history?taxnode_id=20182409","ICTVonline=20182409")</f>
        <v>ICTVonline=20182409</v>
      </c>
    </row>
    <row r="2417" spans="1:22">
      <c r="A2417" s="3">
        <v>2416</v>
      </c>
      <c r="L2417" s="1" t="s">
        <v>1792</v>
      </c>
      <c r="N2417" s="1" t="s">
        <v>1008</v>
      </c>
      <c r="P2417" s="1" t="s">
        <v>2354</v>
      </c>
      <c r="Q2417" s="3">
        <v>1</v>
      </c>
      <c r="R2417" s="22" t="s">
        <v>2764</v>
      </c>
      <c r="S2417" s="22" t="s">
        <v>5100</v>
      </c>
      <c r="T2417" s="51">
        <v>28</v>
      </c>
      <c r="U2417" s="3" t="s">
        <v>5706</v>
      </c>
      <c r="V2417" s="41" t="str">
        <f>HYPERLINK("http://ictvonline.org/taxonomy/p/taxonomy-history?taxnode_id=20182411","ICTVonline=20182411")</f>
        <v>ICTVonline=20182411</v>
      </c>
    </row>
    <row r="2418" spans="1:22">
      <c r="A2418" s="3">
        <v>2417</v>
      </c>
      <c r="L2418" s="1" t="s">
        <v>1792</v>
      </c>
      <c r="N2418" s="1" t="s">
        <v>1450</v>
      </c>
      <c r="P2418" s="1" t="s">
        <v>2355</v>
      </c>
      <c r="Q2418" s="3">
        <v>0</v>
      </c>
      <c r="R2418" s="22" t="s">
        <v>2764</v>
      </c>
      <c r="S2418" s="22" t="s">
        <v>5100</v>
      </c>
      <c r="T2418" s="51">
        <v>28</v>
      </c>
      <c r="U2418" s="3" t="s">
        <v>5706</v>
      </c>
      <c r="V2418" s="41" t="str">
        <f>HYPERLINK("http://ictvonline.org/taxonomy/p/taxonomy-history?taxnode_id=20182413","ICTVonline=20182413")</f>
        <v>ICTVonline=20182413</v>
      </c>
    </row>
    <row r="2419" spans="1:22">
      <c r="A2419" s="3">
        <v>2418</v>
      </c>
      <c r="L2419" s="1" t="s">
        <v>1792</v>
      </c>
      <c r="N2419" s="1" t="s">
        <v>1450</v>
      </c>
      <c r="P2419" s="1" t="s">
        <v>2356</v>
      </c>
      <c r="Q2419" s="3">
        <v>0</v>
      </c>
      <c r="R2419" s="22" t="s">
        <v>2764</v>
      </c>
      <c r="S2419" s="22" t="s">
        <v>5100</v>
      </c>
      <c r="T2419" s="51">
        <v>28</v>
      </c>
      <c r="U2419" s="3" t="s">
        <v>5706</v>
      </c>
      <c r="V2419" s="41" t="str">
        <f>HYPERLINK("http://ictvonline.org/taxonomy/p/taxonomy-history?taxnode_id=20182414","ICTVonline=20182414")</f>
        <v>ICTVonline=20182414</v>
      </c>
    </row>
    <row r="2420" spans="1:22">
      <c r="A2420" s="3">
        <v>2419</v>
      </c>
      <c r="L2420" s="1" t="s">
        <v>1792</v>
      </c>
      <c r="N2420" s="1" t="s">
        <v>1450</v>
      </c>
      <c r="P2420" s="1" t="s">
        <v>5714</v>
      </c>
      <c r="Q2420" s="3">
        <v>0</v>
      </c>
      <c r="R2420" s="22" t="s">
        <v>2764</v>
      </c>
      <c r="S2420" s="22" t="s">
        <v>5097</v>
      </c>
      <c r="T2420" s="51">
        <v>32</v>
      </c>
      <c r="U2420" s="3" t="s">
        <v>5712</v>
      </c>
      <c r="V2420" s="41" t="str">
        <f>HYPERLINK("http://ictvonline.org/taxonomy/p/taxonomy-history?taxnode_id=20185655","ICTVonline=20185655")</f>
        <v>ICTVonline=20185655</v>
      </c>
    </row>
    <row r="2421" spans="1:22">
      <c r="A2421" s="3">
        <v>2420</v>
      </c>
      <c r="L2421" s="1" t="s">
        <v>1792</v>
      </c>
      <c r="N2421" s="1" t="s">
        <v>1450</v>
      </c>
      <c r="P2421" s="1" t="s">
        <v>5715</v>
      </c>
      <c r="Q2421" s="3">
        <v>0</v>
      </c>
      <c r="R2421" s="22" t="s">
        <v>2764</v>
      </c>
      <c r="S2421" s="22" t="s">
        <v>5097</v>
      </c>
      <c r="T2421" s="51">
        <v>32</v>
      </c>
      <c r="U2421" s="3" t="s">
        <v>5712</v>
      </c>
      <c r="V2421" s="41" t="str">
        <f>HYPERLINK("http://ictvonline.org/taxonomy/p/taxonomy-history?taxnode_id=20185656","ICTVonline=20185656")</f>
        <v>ICTVonline=20185656</v>
      </c>
    </row>
    <row r="2422" spans="1:22">
      <c r="A2422" s="3">
        <v>2421</v>
      </c>
      <c r="L2422" s="1" t="s">
        <v>1792</v>
      </c>
      <c r="N2422" s="1" t="s">
        <v>1450</v>
      </c>
      <c r="P2422" s="1" t="s">
        <v>5716</v>
      </c>
      <c r="Q2422" s="3">
        <v>0</v>
      </c>
      <c r="R2422" s="22" t="s">
        <v>2764</v>
      </c>
      <c r="S2422" s="22" t="s">
        <v>5097</v>
      </c>
      <c r="T2422" s="51">
        <v>32</v>
      </c>
      <c r="U2422" s="3" t="s">
        <v>5712</v>
      </c>
      <c r="V2422" s="41" t="str">
        <f>HYPERLINK("http://ictvonline.org/taxonomy/p/taxonomy-history?taxnode_id=20185657","ICTVonline=20185657")</f>
        <v>ICTVonline=20185657</v>
      </c>
    </row>
    <row r="2423" spans="1:22">
      <c r="A2423" s="3">
        <v>2422</v>
      </c>
      <c r="L2423" s="1" t="s">
        <v>1792</v>
      </c>
      <c r="N2423" s="1" t="s">
        <v>1450</v>
      </c>
      <c r="P2423" s="1" t="s">
        <v>5717</v>
      </c>
      <c r="Q2423" s="3">
        <v>0</v>
      </c>
      <c r="R2423" s="22" t="s">
        <v>2764</v>
      </c>
      <c r="S2423" s="22" t="s">
        <v>5097</v>
      </c>
      <c r="T2423" s="51">
        <v>32</v>
      </c>
      <c r="U2423" s="3" t="s">
        <v>5712</v>
      </c>
      <c r="V2423" s="41" t="str">
        <f>HYPERLINK("http://ictvonline.org/taxonomy/p/taxonomy-history?taxnode_id=20185658","ICTVonline=20185658")</f>
        <v>ICTVonline=20185658</v>
      </c>
    </row>
    <row r="2424" spans="1:22">
      <c r="A2424" s="3">
        <v>2423</v>
      </c>
      <c r="L2424" s="1" t="s">
        <v>1792</v>
      </c>
      <c r="N2424" s="1" t="s">
        <v>1450</v>
      </c>
      <c r="P2424" s="1" t="s">
        <v>5718</v>
      </c>
      <c r="Q2424" s="3">
        <v>0</v>
      </c>
      <c r="R2424" s="22" t="s">
        <v>2764</v>
      </c>
      <c r="S2424" s="22" t="s">
        <v>5097</v>
      </c>
      <c r="T2424" s="51">
        <v>32</v>
      </c>
      <c r="U2424" s="3" t="s">
        <v>5712</v>
      </c>
      <c r="V2424" s="41" t="str">
        <f>HYPERLINK("http://ictvonline.org/taxonomy/p/taxonomy-history?taxnode_id=20185659","ICTVonline=20185659")</f>
        <v>ICTVonline=20185659</v>
      </c>
    </row>
    <row r="2425" spans="1:22">
      <c r="A2425" s="3">
        <v>2424</v>
      </c>
      <c r="L2425" s="1" t="s">
        <v>1792</v>
      </c>
      <c r="N2425" s="1" t="s">
        <v>1450</v>
      </c>
      <c r="P2425" s="1" t="s">
        <v>2357</v>
      </c>
      <c r="Q2425" s="3">
        <v>0</v>
      </c>
      <c r="R2425" s="22" t="s">
        <v>2764</v>
      </c>
      <c r="S2425" s="22" t="s">
        <v>5100</v>
      </c>
      <c r="T2425" s="51">
        <v>28</v>
      </c>
      <c r="U2425" s="3" t="s">
        <v>5706</v>
      </c>
      <c r="V2425" s="41" t="str">
        <f>HYPERLINK("http://ictvonline.org/taxonomy/p/taxonomy-history?taxnode_id=20182415","ICTVonline=20182415")</f>
        <v>ICTVonline=20182415</v>
      </c>
    </row>
    <row r="2426" spans="1:22">
      <c r="A2426" s="3">
        <v>2425</v>
      </c>
      <c r="L2426" s="1" t="s">
        <v>1792</v>
      </c>
      <c r="N2426" s="1" t="s">
        <v>1450</v>
      </c>
      <c r="P2426" s="1" t="s">
        <v>2358</v>
      </c>
      <c r="Q2426" s="3">
        <v>0</v>
      </c>
      <c r="R2426" s="22" t="s">
        <v>2764</v>
      </c>
      <c r="S2426" s="22" t="s">
        <v>5100</v>
      </c>
      <c r="T2426" s="51">
        <v>28</v>
      </c>
      <c r="U2426" s="3" t="s">
        <v>5706</v>
      </c>
      <c r="V2426" s="41" t="str">
        <f>HYPERLINK("http://ictvonline.org/taxonomy/p/taxonomy-history?taxnode_id=20182416","ICTVonline=20182416")</f>
        <v>ICTVonline=20182416</v>
      </c>
    </row>
    <row r="2427" spans="1:22">
      <c r="A2427" s="3">
        <v>2426</v>
      </c>
      <c r="L2427" s="1" t="s">
        <v>1792</v>
      </c>
      <c r="N2427" s="1" t="s">
        <v>1450</v>
      </c>
      <c r="P2427" s="1" t="s">
        <v>2359</v>
      </c>
      <c r="Q2427" s="3">
        <v>0</v>
      </c>
      <c r="R2427" s="22" t="s">
        <v>2764</v>
      </c>
      <c r="S2427" s="22" t="s">
        <v>5100</v>
      </c>
      <c r="T2427" s="51">
        <v>28</v>
      </c>
      <c r="U2427" s="3" t="s">
        <v>5706</v>
      </c>
      <c r="V2427" s="41" t="str">
        <f>HYPERLINK("http://ictvonline.org/taxonomy/p/taxonomy-history?taxnode_id=20182417","ICTVonline=20182417")</f>
        <v>ICTVonline=20182417</v>
      </c>
    </row>
    <row r="2428" spans="1:22">
      <c r="A2428" s="3">
        <v>2427</v>
      </c>
      <c r="L2428" s="1" t="s">
        <v>1792</v>
      </c>
      <c r="N2428" s="1" t="s">
        <v>1450</v>
      </c>
      <c r="P2428" s="1" t="s">
        <v>2360</v>
      </c>
      <c r="Q2428" s="3">
        <v>0</v>
      </c>
      <c r="R2428" s="22" t="s">
        <v>2764</v>
      </c>
      <c r="S2428" s="22" t="s">
        <v>5100</v>
      </c>
      <c r="T2428" s="51">
        <v>28</v>
      </c>
      <c r="U2428" s="3" t="s">
        <v>5706</v>
      </c>
      <c r="V2428" s="41" t="str">
        <f>HYPERLINK("http://ictvonline.org/taxonomy/p/taxonomy-history?taxnode_id=20182418","ICTVonline=20182418")</f>
        <v>ICTVonline=20182418</v>
      </c>
    </row>
    <row r="2429" spans="1:22">
      <c r="A2429" s="3">
        <v>2428</v>
      </c>
      <c r="L2429" s="1" t="s">
        <v>1792</v>
      </c>
      <c r="N2429" s="1" t="s">
        <v>1450</v>
      </c>
      <c r="P2429" s="1" t="s">
        <v>5719</v>
      </c>
      <c r="Q2429" s="3">
        <v>0</v>
      </c>
      <c r="R2429" s="22" t="s">
        <v>2764</v>
      </c>
      <c r="S2429" s="22" t="s">
        <v>5097</v>
      </c>
      <c r="T2429" s="51">
        <v>32</v>
      </c>
      <c r="U2429" s="3" t="s">
        <v>5708</v>
      </c>
      <c r="V2429" s="41" t="str">
        <f>HYPERLINK("http://ictvonline.org/taxonomy/p/taxonomy-history?taxnode_id=20185660","ICTVonline=20185660")</f>
        <v>ICTVonline=20185660</v>
      </c>
    </row>
    <row r="2430" spans="1:22">
      <c r="A2430" s="3">
        <v>2429</v>
      </c>
      <c r="L2430" s="1" t="s">
        <v>1792</v>
      </c>
      <c r="N2430" s="1" t="s">
        <v>1450</v>
      </c>
      <c r="P2430" s="1" t="s">
        <v>4787</v>
      </c>
      <c r="Q2430" s="3">
        <v>0</v>
      </c>
      <c r="R2430" s="22" t="s">
        <v>2764</v>
      </c>
      <c r="S2430" s="22" t="s">
        <v>5097</v>
      </c>
      <c r="T2430" s="51">
        <v>31</v>
      </c>
      <c r="U2430" s="3" t="s">
        <v>5720</v>
      </c>
      <c r="V2430" s="41" t="str">
        <f>HYPERLINK("http://ictvonline.org/taxonomy/p/taxonomy-history?taxnode_id=20182419","ICTVonline=20182419")</f>
        <v>ICTVonline=20182419</v>
      </c>
    </row>
    <row r="2431" spans="1:22">
      <c r="A2431" s="3">
        <v>2430</v>
      </c>
      <c r="L2431" s="1" t="s">
        <v>1792</v>
      </c>
      <c r="N2431" s="1" t="s">
        <v>1450</v>
      </c>
      <c r="P2431" s="1" t="s">
        <v>5721</v>
      </c>
      <c r="Q2431" s="3">
        <v>0</v>
      </c>
      <c r="R2431" s="22" t="s">
        <v>2764</v>
      </c>
      <c r="S2431" s="22" t="s">
        <v>5097</v>
      </c>
      <c r="T2431" s="51">
        <v>32</v>
      </c>
      <c r="U2431" s="3" t="s">
        <v>5708</v>
      </c>
      <c r="V2431" s="41" t="str">
        <f>HYPERLINK("http://ictvonline.org/taxonomy/p/taxonomy-history?taxnode_id=20185661","ICTVonline=20185661")</f>
        <v>ICTVonline=20185661</v>
      </c>
    </row>
    <row r="2432" spans="1:22">
      <c r="A2432" s="3">
        <v>2431</v>
      </c>
      <c r="L2432" s="1" t="s">
        <v>1792</v>
      </c>
      <c r="N2432" s="1" t="s">
        <v>1450</v>
      </c>
      <c r="P2432" s="1" t="s">
        <v>2361</v>
      </c>
      <c r="Q2432" s="3">
        <v>0</v>
      </c>
      <c r="R2432" s="22" t="s">
        <v>2764</v>
      </c>
      <c r="S2432" s="22" t="s">
        <v>5100</v>
      </c>
      <c r="T2432" s="51">
        <v>28</v>
      </c>
      <c r="U2432" s="3" t="s">
        <v>5706</v>
      </c>
      <c r="V2432" s="41" t="str">
        <f>HYPERLINK("http://ictvonline.org/taxonomy/p/taxonomy-history?taxnode_id=20182420","ICTVonline=20182420")</f>
        <v>ICTVonline=20182420</v>
      </c>
    </row>
    <row r="2433" spans="1:22">
      <c r="A2433" s="3">
        <v>2432</v>
      </c>
      <c r="L2433" s="1" t="s">
        <v>1792</v>
      </c>
      <c r="N2433" s="1" t="s">
        <v>1450</v>
      </c>
      <c r="P2433" s="1" t="s">
        <v>2362</v>
      </c>
      <c r="Q2433" s="3">
        <v>0</v>
      </c>
      <c r="R2433" s="22" t="s">
        <v>2764</v>
      </c>
      <c r="S2433" s="22" t="s">
        <v>5100</v>
      </c>
      <c r="T2433" s="51">
        <v>28</v>
      </c>
      <c r="U2433" s="3" t="s">
        <v>5706</v>
      </c>
      <c r="V2433" s="41" t="str">
        <f>HYPERLINK("http://ictvonline.org/taxonomy/p/taxonomy-history?taxnode_id=20182421","ICTVonline=20182421")</f>
        <v>ICTVonline=20182421</v>
      </c>
    </row>
    <row r="2434" spans="1:22">
      <c r="A2434" s="3">
        <v>2433</v>
      </c>
      <c r="L2434" s="1" t="s">
        <v>1792</v>
      </c>
      <c r="N2434" s="1" t="s">
        <v>1450</v>
      </c>
      <c r="P2434" s="1" t="s">
        <v>2363</v>
      </c>
      <c r="Q2434" s="3">
        <v>0</v>
      </c>
      <c r="R2434" s="22" t="s">
        <v>2764</v>
      </c>
      <c r="S2434" s="22" t="s">
        <v>5100</v>
      </c>
      <c r="T2434" s="51">
        <v>28</v>
      </c>
      <c r="U2434" s="3" t="s">
        <v>5706</v>
      </c>
      <c r="V2434" s="41" t="str">
        <f>HYPERLINK("http://ictvonline.org/taxonomy/p/taxonomy-history?taxnode_id=20182422","ICTVonline=20182422")</f>
        <v>ICTVonline=20182422</v>
      </c>
    </row>
    <row r="2435" spans="1:22">
      <c r="A2435" s="3">
        <v>2434</v>
      </c>
      <c r="L2435" s="1" t="s">
        <v>1792</v>
      </c>
      <c r="N2435" s="1" t="s">
        <v>1450</v>
      </c>
      <c r="P2435" s="1" t="s">
        <v>2364</v>
      </c>
      <c r="Q2435" s="3">
        <v>0</v>
      </c>
      <c r="R2435" s="22" t="s">
        <v>2764</v>
      </c>
      <c r="S2435" s="22" t="s">
        <v>5100</v>
      </c>
      <c r="T2435" s="51">
        <v>28</v>
      </c>
      <c r="U2435" s="3" t="s">
        <v>5706</v>
      </c>
      <c r="V2435" s="41" t="str">
        <f>HYPERLINK("http://ictvonline.org/taxonomy/p/taxonomy-history?taxnode_id=20182423","ICTVonline=20182423")</f>
        <v>ICTVonline=20182423</v>
      </c>
    </row>
    <row r="2436" spans="1:22">
      <c r="A2436" s="3">
        <v>2435</v>
      </c>
      <c r="L2436" s="1" t="s">
        <v>1792</v>
      </c>
      <c r="N2436" s="1" t="s">
        <v>1450</v>
      </c>
      <c r="P2436" s="1" t="s">
        <v>2365</v>
      </c>
      <c r="Q2436" s="3">
        <v>1</v>
      </c>
      <c r="R2436" s="22" t="s">
        <v>2764</v>
      </c>
      <c r="S2436" s="22" t="s">
        <v>5100</v>
      </c>
      <c r="T2436" s="51">
        <v>28</v>
      </c>
      <c r="U2436" s="3" t="s">
        <v>5706</v>
      </c>
      <c r="V2436" s="41" t="str">
        <f>HYPERLINK("http://ictvonline.org/taxonomy/p/taxonomy-history?taxnode_id=20182424","ICTVonline=20182424")</f>
        <v>ICTVonline=20182424</v>
      </c>
    </row>
    <row r="2437" spans="1:22">
      <c r="A2437" s="3">
        <v>2436</v>
      </c>
      <c r="L2437" s="1" t="s">
        <v>1792</v>
      </c>
      <c r="N2437" s="1" t="s">
        <v>1450</v>
      </c>
      <c r="P2437" s="1" t="s">
        <v>2366</v>
      </c>
      <c r="Q2437" s="3">
        <v>0</v>
      </c>
      <c r="R2437" s="22" t="s">
        <v>2764</v>
      </c>
      <c r="S2437" s="22" t="s">
        <v>5100</v>
      </c>
      <c r="T2437" s="51">
        <v>28</v>
      </c>
      <c r="U2437" s="3" t="s">
        <v>5706</v>
      </c>
      <c r="V2437" s="41" t="str">
        <f>HYPERLINK("http://ictvonline.org/taxonomy/p/taxonomy-history?taxnode_id=20182425","ICTVonline=20182425")</f>
        <v>ICTVonline=20182425</v>
      </c>
    </row>
    <row r="2438" spans="1:22">
      <c r="A2438" s="3">
        <v>2437</v>
      </c>
      <c r="L2438" s="1" t="s">
        <v>1792</v>
      </c>
      <c r="N2438" s="1" t="s">
        <v>1450</v>
      </c>
      <c r="P2438" s="1" t="s">
        <v>2367</v>
      </c>
      <c r="Q2438" s="3">
        <v>0</v>
      </c>
      <c r="R2438" s="22" t="s">
        <v>2764</v>
      </c>
      <c r="S2438" s="22" t="s">
        <v>5100</v>
      </c>
      <c r="T2438" s="51">
        <v>28</v>
      </c>
      <c r="U2438" s="3" t="s">
        <v>5706</v>
      </c>
      <c r="V2438" s="41" t="str">
        <f>HYPERLINK("http://ictvonline.org/taxonomy/p/taxonomy-history?taxnode_id=20182426","ICTVonline=20182426")</f>
        <v>ICTVonline=20182426</v>
      </c>
    </row>
    <row r="2439" spans="1:22">
      <c r="A2439" s="3">
        <v>2438</v>
      </c>
      <c r="L2439" s="1" t="s">
        <v>1792</v>
      </c>
      <c r="N2439" s="1" t="s">
        <v>1450</v>
      </c>
      <c r="P2439" s="1" t="s">
        <v>2368</v>
      </c>
      <c r="Q2439" s="3">
        <v>0</v>
      </c>
      <c r="R2439" s="22" t="s">
        <v>2764</v>
      </c>
      <c r="S2439" s="22" t="s">
        <v>5100</v>
      </c>
      <c r="T2439" s="51">
        <v>28</v>
      </c>
      <c r="U2439" s="3" t="s">
        <v>5706</v>
      </c>
      <c r="V2439" s="41" t="str">
        <f>HYPERLINK("http://ictvonline.org/taxonomy/p/taxonomy-history?taxnode_id=20182427","ICTVonline=20182427")</f>
        <v>ICTVonline=20182427</v>
      </c>
    </row>
    <row r="2440" spans="1:22">
      <c r="A2440" s="3">
        <v>2439</v>
      </c>
      <c r="L2440" s="1" t="s">
        <v>1792</v>
      </c>
      <c r="N2440" s="1" t="s">
        <v>1450</v>
      </c>
      <c r="P2440" s="1" t="s">
        <v>2369</v>
      </c>
      <c r="Q2440" s="3">
        <v>0</v>
      </c>
      <c r="R2440" s="22" t="s">
        <v>2764</v>
      </c>
      <c r="S2440" s="22" t="s">
        <v>5100</v>
      </c>
      <c r="T2440" s="51">
        <v>28</v>
      </c>
      <c r="U2440" s="3" t="s">
        <v>5706</v>
      </c>
      <c r="V2440" s="41" t="str">
        <f>HYPERLINK("http://ictvonline.org/taxonomy/p/taxonomy-history?taxnode_id=20182428","ICTVonline=20182428")</f>
        <v>ICTVonline=20182428</v>
      </c>
    </row>
    <row r="2441" spans="1:22">
      <c r="A2441" s="3">
        <v>2440</v>
      </c>
      <c r="L2441" s="1" t="s">
        <v>1792</v>
      </c>
      <c r="N2441" s="1" t="s">
        <v>1450</v>
      </c>
      <c r="P2441" s="1" t="s">
        <v>2370</v>
      </c>
      <c r="Q2441" s="3">
        <v>0</v>
      </c>
      <c r="R2441" s="22" t="s">
        <v>2764</v>
      </c>
      <c r="S2441" s="22" t="s">
        <v>5100</v>
      </c>
      <c r="T2441" s="51">
        <v>28</v>
      </c>
      <c r="U2441" s="3" t="s">
        <v>5706</v>
      </c>
      <c r="V2441" s="41" t="str">
        <f>HYPERLINK("http://ictvonline.org/taxonomy/p/taxonomy-history?taxnode_id=20182429","ICTVonline=20182429")</f>
        <v>ICTVonline=20182429</v>
      </c>
    </row>
    <row r="2442" spans="1:22">
      <c r="A2442" s="3">
        <v>2441</v>
      </c>
      <c r="L2442" s="1" t="s">
        <v>1792</v>
      </c>
      <c r="N2442" s="1" t="s">
        <v>1450</v>
      </c>
      <c r="P2442" s="1" t="s">
        <v>2371</v>
      </c>
      <c r="Q2442" s="3">
        <v>0</v>
      </c>
      <c r="R2442" s="22" t="s">
        <v>2764</v>
      </c>
      <c r="S2442" s="22" t="s">
        <v>5100</v>
      </c>
      <c r="T2442" s="51">
        <v>28</v>
      </c>
      <c r="U2442" s="3" t="s">
        <v>5706</v>
      </c>
      <c r="V2442" s="41" t="str">
        <f>HYPERLINK("http://ictvonline.org/taxonomy/p/taxonomy-history?taxnode_id=20182430","ICTVonline=20182430")</f>
        <v>ICTVonline=20182430</v>
      </c>
    </row>
    <row r="2443" spans="1:22">
      <c r="A2443" s="3">
        <v>2442</v>
      </c>
      <c r="L2443" s="1" t="s">
        <v>1792</v>
      </c>
      <c r="N2443" s="1" t="s">
        <v>1450</v>
      </c>
      <c r="P2443" s="1" t="s">
        <v>2372</v>
      </c>
      <c r="Q2443" s="3">
        <v>0</v>
      </c>
      <c r="R2443" s="22" t="s">
        <v>2764</v>
      </c>
      <c r="S2443" s="22" t="s">
        <v>5100</v>
      </c>
      <c r="T2443" s="51">
        <v>28</v>
      </c>
      <c r="U2443" s="3" t="s">
        <v>5706</v>
      </c>
      <c r="V2443" s="41" t="str">
        <f>HYPERLINK("http://ictvonline.org/taxonomy/p/taxonomy-history?taxnode_id=20182431","ICTVonline=20182431")</f>
        <v>ICTVonline=20182431</v>
      </c>
    </row>
    <row r="2444" spans="1:22">
      <c r="A2444" s="3">
        <v>2443</v>
      </c>
      <c r="L2444" s="1" t="s">
        <v>1792</v>
      </c>
      <c r="N2444" s="1" t="s">
        <v>1450</v>
      </c>
      <c r="P2444" s="1" t="s">
        <v>2373</v>
      </c>
      <c r="Q2444" s="3">
        <v>0</v>
      </c>
      <c r="R2444" s="22" t="s">
        <v>2764</v>
      </c>
      <c r="S2444" s="22" t="s">
        <v>5100</v>
      </c>
      <c r="T2444" s="51">
        <v>28</v>
      </c>
      <c r="U2444" s="3" t="s">
        <v>5706</v>
      </c>
      <c r="V2444" s="41" t="str">
        <f>HYPERLINK("http://ictvonline.org/taxonomy/p/taxonomy-history?taxnode_id=20182432","ICTVonline=20182432")</f>
        <v>ICTVonline=20182432</v>
      </c>
    </row>
    <row r="2445" spans="1:22">
      <c r="A2445" s="3">
        <v>2444</v>
      </c>
      <c r="L2445" s="1" t="s">
        <v>1792</v>
      </c>
      <c r="N2445" s="1" t="s">
        <v>1450</v>
      </c>
      <c r="P2445" s="1" t="s">
        <v>2374</v>
      </c>
      <c r="Q2445" s="3">
        <v>0</v>
      </c>
      <c r="R2445" s="22" t="s">
        <v>2764</v>
      </c>
      <c r="S2445" s="22" t="s">
        <v>5100</v>
      </c>
      <c r="T2445" s="51">
        <v>28</v>
      </c>
      <c r="U2445" s="3" t="s">
        <v>5706</v>
      </c>
      <c r="V2445" s="41" t="str">
        <f>HYPERLINK("http://ictvonline.org/taxonomy/p/taxonomy-history?taxnode_id=20182433","ICTVonline=20182433")</f>
        <v>ICTVonline=20182433</v>
      </c>
    </row>
    <row r="2446" spans="1:22">
      <c r="A2446" s="3">
        <v>2445</v>
      </c>
      <c r="L2446" s="1" t="s">
        <v>1792</v>
      </c>
      <c r="N2446" s="1" t="s">
        <v>1450</v>
      </c>
      <c r="P2446" s="1" t="s">
        <v>4788</v>
      </c>
      <c r="Q2446" s="3">
        <v>0</v>
      </c>
      <c r="R2446" s="22" t="s">
        <v>2764</v>
      </c>
      <c r="S2446" s="22" t="s">
        <v>5097</v>
      </c>
      <c r="T2446" s="51">
        <v>31</v>
      </c>
      <c r="U2446" s="3" t="s">
        <v>5720</v>
      </c>
      <c r="V2446" s="41" t="str">
        <f>HYPERLINK("http://ictvonline.org/taxonomy/p/taxonomy-history?taxnode_id=20182434","ICTVonline=20182434")</f>
        <v>ICTVonline=20182434</v>
      </c>
    </row>
    <row r="2447" spans="1:22">
      <c r="A2447" s="3">
        <v>2446</v>
      </c>
      <c r="L2447" s="1" t="s">
        <v>1792</v>
      </c>
      <c r="N2447" s="1" t="s">
        <v>1450</v>
      </c>
      <c r="P2447" s="1" t="s">
        <v>2375</v>
      </c>
      <c r="Q2447" s="3">
        <v>0</v>
      </c>
      <c r="R2447" s="22" t="s">
        <v>2764</v>
      </c>
      <c r="S2447" s="22" t="s">
        <v>5100</v>
      </c>
      <c r="T2447" s="51">
        <v>28</v>
      </c>
      <c r="U2447" s="3" t="s">
        <v>5706</v>
      </c>
      <c r="V2447" s="41" t="str">
        <f>HYPERLINK("http://ictvonline.org/taxonomy/p/taxonomy-history?taxnode_id=20182435","ICTVonline=20182435")</f>
        <v>ICTVonline=20182435</v>
      </c>
    </row>
    <row r="2448" spans="1:22">
      <c r="A2448" s="3">
        <v>2447</v>
      </c>
      <c r="L2448" s="1" t="s">
        <v>1792</v>
      </c>
      <c r="N2448" s="1" t="s">
        <v>1450</v>
      </c>
      <c r="P2448" s="1" t="s">
        <v>2376</v>
      </c>
      <c r="Q2448" s="3">
        <v>0</v>
      </c>
      <c r="R2448" s="22" t="s">
        <v>2764</v>
      </c>
      <c r="S2448" s="22" t="s">
        <v>5100</v>
      </c>
      <c r="T2448" s="51">
        <v>28</v>
      </c>
      <c r="U2448" s="3" t="s">
        <v>5706</v>
      </c>
      <c r="V2448" s="41" t="str">
        <f>HYPERLINK("http://ictvonline.org/taxonomy/p/taxonomy-history?taxnode_id=20182436","ICTVonline=20182436")</f>
        <v>ICTVonline=20182436</v>
      </c>
    </row>
    <row r="2449" spans="1:22">
      <c r="A2449" s="3">
        <v>2448</v>
      </c>
      <c r="L2449" s="1" t="s">
        <v>1792</v>
      </c>
      <c r="N2449" s="1" t="s">
        <v>1450</v>
      </c>
      <c r="P2449" s="1" t="s">
        <v>2377</v>
      </c>
      <c r="Q2449" s="3">
        <v>0</v>
      </c>
      <c r="R2449" s="22" t="s">
        <v>2764</v>
      </c>
      <c r="S2449" s="22" t="s">
        <v>5100</v>
      </c>
      <c r="T2449" s="51">
        <v>28</v>
      </c>
      <c r="U2449" s="3" t="s">
        <v>5706</v>
      </c>
      <c r="V2449" s="41" t="str">
        <f>HYPERLINK("http://ictvonline.org/taxonomy/p/taxonomy-history?taxnode_id=20182437","ICTVonline=20182437")</f>
        <v>ICTVonline=20182437</v>
      </c>
    </row>
    <row r="2450" spans="1:22">
      <c r="A2450" s="3">
        <v>2449</v>
      </c>
      <c r="L2450" s="1" t="s">
        <v>1792</v>
      </c>
      <c r="N2450" s="1" t="s">
        <v>1450</v>
      </c>
      <c r="P2450" s="1" t="s">
        <v>4789</v>
      </c>
      <c r="Q2450" s="3">
        <v>0</v>
      </c>
      <c r="R2450" s="22" t="s">
        <v>2764</v>
      </c>
      <c r="S2450" s="22" t="s">
        <v>5097</v>
      </c>
      <c r="T2450" s="51">
        <v>31</v>
      </c>
      <c r="U2450" s="3" t="s">
        <v>5720</v>
      </c>
      <c r="V2450" s="41" t="str">
        <f>HYPERLINK("http://ictvonline.org/taxonomy/p/taxonomy-history?taxnode_id=20182438","ICTVonline=20182438")</f>
        <v>ICTVonline=20182438</v>
      </c>
    </row>
    <row r="2451" spans="1:22">
      <c r="A2451" s="3">
        <v>2450</v>
      </c>
      <c r="L2451" s="1" t="s">
        <v>1792</v>
      </c>
      <c r="N2451" s="1" t="s">
        <v>1450</v>
      </c>
      <c r="P2451" s="1" t="s">
        <v>2378</v>
      </c>
      <c r="Q2451" s="3">
        <v>0</v>
      </c>
      <c r="R2451" s="22" t="s">
        <v>2764</v>
      </c>
      <c r="S2451" s="22" t="s">
        <v>5100</v>
      </c>
      <c r="T2451" s="51">
        <v>28</v>
      </c>
      <c r="U2451" s="3" t="s">
        <v>5706</v>
      </c>
      <c r="V2451" s="41" t="str">
        <f>HYPERLINK("http://ictvonline.org/taxonomy/p/taxonomy-history?taxnode_id=20182439","ICTVonline=20182439")</f>
        <v>ICTVonline=20182439</v>
      </c>
    </row>
    <row r="2452" spans="1:22">
      <c r="A2452" s="3">
        <v>2451</v>
      </c>
      <c r="L2452" s="1" t="s">
        <v>1792</v>
      </c>
      <c r="N2452" s="1" t="s">
        <v>1450</v>
      </c>
      <c r="P2452" s="1" t="s">
        <v>3789</v>
      </c>
      <c r="Q2452" s="3">
        <v>0</v>
      </c>
      <c r="R2452" s="22" t="s">
        <v>2764</v>
      </c>
      <c r="S2452" s="22" t="s">
        <v>5097</v>
      </c>
      <c r="T2452" s="51">
        <v>30</v>
      </c>
      <c r="U2452" s="3" t="s">
        <v>5722</v>
      </c>
      <c r="V2452" s="41" t="str">
        <f>HYPERLINK("http://ictvonline.org/taxonomy/p/taxonomy-history?taxnode_id=20182440","ICTVonline=20182440")</f>
        <v>ICTVonline=20182440</v>
      </c>
    </row>
    <row r="2453" spans="1:22">
      <c r="A2453" s="3">
        <v>2452</v>
      </c>
      <c r="L2453" s="1" t="s">
        <v>1792</v>
      </c>
      <c r="N2453" s="1" t="s">
        <v>1450</v>
      </c>
      <c r="P2453" s="1" t="s">
        <v>3790</v>
      </c>
      <c r="Q2453" s="3">
        <v>0</v>
      </c>
      <c r="R2453" s="22" t="s">
        <v>2764</v>
      </c>
      <c r="S2453" s="22" t="s">
        <v>5097</v>
      </c>
      <c r="T2453" s="51">
        <v>30</v>
      </c>
      <c r="U2453" s="3" t="s">
        <v>5722</v>
      </c>
      <c r="V2453" s="41" t="str">
        <f>HYPERLINK("http://ictvonline.org/taxonomy/p/taxonomy-history?taxnode_id=20182441","ICTVonline=20182441")</f>
        <v>ICTVonline=20182441</v>
      </c>
    </row>
    <row r="2454" spans="1:22">
      <c r="A2454" s="3">
        <v>2453</v>
      </c>
      <c r="L2454" s="1" t="s">
        <v>1792</v>
      </c>
      <c r="N2454" s="1" t="s">
        <v>1450</v>
      </c>
      <c r="P2454" s="1" t="s">
        <v>4790</v>
      </c>
      <c r="Q2454" s="3">
        <v>0</v>
      </c>
      <c r="R2454" s="22" t="s">
        <v>2764</v>
      </c>
      <c r="S2454" s="22" t="s">
        <v>5097</v>
      </c>
      <c r="T2454" s="51">
        <v>31</v>
      </c>
      <c r="U2454" s="3" t="s">
        <v>5720</v>
      </c>
      <c r="V2454" s="41" t="str">
        <f>HYPERLINK("http://ictvonline.org/taxonomy/p/taxonomy-history?taxnode_id=20182442","ICTVonline=20182442")</f>
        <v>ICTVonline=20182442</v>
      </c>
    </row>
    <row r="2455" spans="1:22">
      <c r="A2455" s="3">
        <v>2454</v>
      </c>
      <c r="L2455" s="1" t="s">
        <v>1792</v>
      </c>
      <c r="N2455" s="1" t="s">
        <v>1450</v>
      </c>
      <c r="P2455" s="1" t="s">
        <v>4791</v>
      </c>
      <c r="Q2455" s="3">
        <v>0</v>
      </c>
      <c r="R2455" s="22" t="s">
        <v>2764</v>
      </c>
      <c r="S2455" s="22" t="s">
        <v>5097</v>
      </c>
      <c r="T2455" s="51">
        <v>31</v>
      </c>
      <c r="U2455" s="3" t="s">
        <v>5720</v>
      </c>
      <c r="V2455" s="41" t="str">
        <f>HYPERLINK("http://ictvonline.org/taxonomy/p/taxonomy-history?taxnode_id=20182443","ICTVonline=20182443")</f>
        <v>ICTVonline=20182443</v>
      </c>
    </row>
    <row r="2456" spans="1:22">
      <c r="A2456" s="3">
        <v>2455</v>
      </c>
      <c r="L2456" s="1" t="s">
        <v>1792</v>
      </c>
      <c r="N2456" s="1" t="s">
        <v>1450</v>
      </c>
      <c r="P2456" s="1" t="s">
        <v>4792</v>
      </c>
      <c r="Q2456" s="3">
        <v>0</v>
      </c>
      <c r="R2456" s="22" t="s">
        <v>2764</v>
      </c>
      <c r="S2456" s="22" t="s">
        <v>5097</v>
      </c>
      <c r="T2456" s="51">
        <v>31</v>
      </c>
      <c r="U2456" s="3" t="s">
        <v>5720</v>
      </c>
      <c r="V2456" s="41" t="str">
        <f>HYPERLINK("http://ictvonline.org/taxonomy/p/taxonomy-history?taxnode_id=20182444","ICTVonline=20182444")</f>
        <v>ICTVonline=20182444</v>
      </c>
    </row>
    <row r="2457" spans="1:22">
      <c r="A2457" s="3">
        <v>2456</v>
      </c>
      <c r="L2457" s="1" t="s">
        <v>1792</v>
      </c>
      <c r="N2457" s="1" t="s">
        <v>1450</v>
      </c>
      <c r="P2457" s="1" t="s">
        <v>4793</v>
      </c>
      <c r="Q2457" s="3">
        <v>0</v>
      </c>
      <c r="R2457" s="22" t="s">
        <v>2764</v>
      </c>
      <c r="S2457" s="22" t="s">
        <v>5097</v>
      </c>
      <c r="T2457" s="51">
        <v>31</v>
      </c>
      <c r="U2457" s="3" t="s">
        <v>5720</v>
      </c>
      <c r="V2457" s="41" t="str">
        <f>HYPERLINK("http://ictvonline.org/taxonomy/p/taxonomy-history?taxnode_id=20182445","ICTVonline=20182445")</f>
        <v>ICTVonline=20182445</v>
      </c>
    </row>
    <row r="2458" spans="1:22">
      <c r="A2458" s="3">
        <v>2457</v>
      </c>
      <c r="L2458" s="1" t="s">
        <v>1792</v>
      </c>
      <c r="N2458" s="1" t="s">
        <v>1450</v>
      </c>
      <c r="P2458" s="1" t="s">
        <v>4794</v>
      </c>
      <c r="Q2458" s="3">
        <v>0</v>
      </c>
      <c r="R2458" s="22" t="s">
        <v>2764</v>
      </c>
      <c r="S2458" s="22" t="s">
        <v>5097</v>
      </c>
      <c r="T2458" s="51">
        <v>31</v>
      </c>
      <c r="U2458" s="3" t="s">
        <v>5720</v>
      </c>
      <c r="V2458" s="41" t="str">
        <f>HYPERLINK("http://ictvonline.org/taxonomy/p/taxonomy-history?taxnode_id=20182446","ICTVonline=20182446")</f>
        <v>ICTVonline=20182446</v>
      </c>
    </row>
    <row r="2459" spans="1:22">
      <c r="A2459" s="3">
        <v>2458</v>
      </c>
      <c r="L2459" s="1" t="s">
        <v>1792</v>
      </c>
      <c r="N2459" s="1" t="s">
        <v>1450</v>
      </c>
      <c r="P2459" s="1" t="s">
        <v>5723</v>
      </c>
      <c r="Q2459" s="3">
        <v>0</v>
      </c>
      <c r="R2459" s="22" t="s">
        <v>2764</v>
      </c>
      <c r="S2459" s="22" t="s">
        <v>5097</v>
      </c>
      <c r="T2459" s="51">
        <v>32</v>
      </c>
      <c r="U2459" s="3" t="s">
        <v>5712</v>
      </c>
      <c r="V2459" s="41" t="str">
        <f>HYPERLINK("http://ictvonline.org/taxonomy/p/taxonomy-history?taxnode_id=20185662","ICTVonline=20185662")</f>
        <v>ICTVonline=20185662</v>
      </c>
    </row>
    <row r="2460" spans="1:22">
      <c r="A2460" s="3">
        <v>2459</v>
      </c>
      <c r="L2460" s="1" t="s">
        <v>1792</v>
      </c>
      <c r="N2460" s="1" t="s">
        <v>1450</v>
      </c>
      <c r="P2460" s="1" t="s">
        <v>4795</v>
      </c>
      <c r="Q2460" s="3">
        <v>0</v>
      </c>
      <c r="R2460" s="22" t="s">
        <v>2764</v>
      </c>
      <c r="S2460" s="22" t="s">
        <v>5097</v>
      </c>
      <c r="T2460" s="51">
        <v>31</v>
      </c>
      <c r="U2460" s="3" t="s">
        <v>5720</v>
      </c>
      <c r="V2460" s="41" t="str">
        <f>HYPERLINK("http://ictvonline.org/taxonomy/p/taxonomy-history?taxnode_id=20182447","ICTVonline=20182447")</f>
        <v>ICTVonline=20182447</v>
      </c>
    </row>
    <row r="2461" spans="1:22">
      <c r="A2461" s="3">
        <v>2460</v>
      </c>
      <c r="L2461" s="1" t="s">
        <v>1792</v>
      </c>
      <c r="N2461" s="1" t="s">
        <v>1450</v>
      </c>
      <c r="P2461" s="1" t="s">
        <v>5724</v>
      </c>
      <c r="Q2461" s="3">
        <v>0</v>
      </c>
      <c r="R2461" s="22" t="s">
        <v>2764</v>
      </c>
      <c r="S2461" s="22" t="s">
        <v>5097</v>
      </c>
      <c r="T2461" s="51">
        <v>32</v>
      </c>
      <c r="U2461" s="3" t="s">
        <v>5708</v>
      </c>
      <c r="V2461" s="41" t="str">
        <f>HYPERLINK("http://ictvonline.org/taxonomy/p/taxonomy-history?taxnode_id=20185663","ICTVonline=20185663")</f>
        <v>ICTVonline=20185663</v>
      </c>
    </row>
    <row r="2462" spans="1:22">
      <c r="A2462" s="3">
        <v>2461</v>
      </c>
      <c r="L2462" s="1" t="s">
        <v>1792</v>
      </c>
      <c r="N2462" s="1" t="s">
        <v>1450</v>
      </c>
      <c r="P2462" s="1" t="s">
        <v>2379</v>
      </c>
      <c r="Q2462" s="3">
        <v>0</v>
      </c>
      <c r="R2462" s="22" t="s">
        <v>2764</v>
      </c>
      <c r="S2462" s="22" t="s">
        <v>5100</v>
      </c>
      <c r="T2462" s="51">
        <v>28</v>
      </c>
      <c r="U2462" s="3" t="s">
        <v>5706</v>
      </c>
      <c r="V2462" s="41" t="str">
        <f>HYPERLINK("http://ictvonline.org/taxonomy/p/taxonomy-history?taxnode_id=20182448","ICTVonline=20182448")</f>
        <v>ICTVonline=20182448</v>
      </c>
    </row>
    <row r="2463" spans="1:22">
      <c r="A2463" s="3">
        <v>2462</v>
      </c>
      <c r="L2463" s="1" t="s">
        <v>1792</v>
      </c>
      <c r="N2463" s="1" t="s">
        <v>682</v>
      </c>
      <c r="P2463" s="1" t="s">
        <v>2380</v>
      </c>
      <c r="Q2463" s="3">
        <v>1</v>
      </c>
      <c r="R2463" s="22" t="s">
        <v>2764</v>
      </c>
      <c r="S2463" s="22" t="s">
        <v>5100</v>
      </c>
      <c r="T2463" s="51">
        <v>28</v>
      </c>
      <c r="U2463" s="3" t="s">
        <v>5706</v>
      </c>
      <c r="V2463" s="41" t="str">
        <f>HYPERLINK("http://ictvonline.org/taxonomy/p/taxonomy-history?taxnode_id=20182450","ICTVonline=20182450")</f>
        <v>ICTVonline=20182450</v>
      </c>
    </row>
    <row r="2464" spans="1:22">
      <c r="A2464" s="3">
        <v>2463</v>
      </c>
      <c r="L2464" s="1" t="s">
        <v>1792</v>
      </c>
      <c r="N2464" s="1" t="s">
        <v>682</v>
      </c>
      <c r="P2464" s="1" t="s">
        <v>2381</v>
      </c>
      <c r="Q2464" s="3">
        <v>0</v>
      </c>
      <c r="R2464" s="22" t="s">
        <v>2764</v>
      </c>
      <c r="S2464" s="22" t="s">
        <v>5100</v>
      </c>
      <c r="T2464" s="51">
        <v>28</v>
      </c>
      <c r="U2464" s="3" t="s">
        <v>5706</v>
      </c>
      <c r="V2464" s="41" t="str">
        <f>HYPERLINK("http://ictvonline.org/taxonomy/p/taxonomy-history?taxnode_id=20182451","ICTVonline=20182451")</f>
        <v>ICTVonline=20182451</v>
      </c>
    </row>
    <row r="2465" spans="1:22">
      <c r="A2465" s="3">
        <v>2464</v>
      </c>
      <c r="L2465" s="1" t="s">
        <v>1792</v>
      </c>
      <c r="N2465" s="1" t="s">
        <v>682</v>
      </c>
      <c r="P2465" s="1" t="s">
        <v>4796</v>
      </c>
      <c r="Q2465" s="3">
        <v>0</v>
      </c>
      <c r="R2465" s="22" t="s">
        <v>2764</v>
      </c>
      <c r="S2465" s="22" t="s">
        <v>5097</v>
      </c>
      <c r="T2465" s="51">
        <v>31</v>
      </c>
      <c r="U2465" s="3" t="s">
        <v>5725</v>
      </c>
      <c r="V2465" s="41" t="str">
        <f>HYPERLINK("http://ictvonline.org/taxonomy/p/taxonomy-history?taxnode_id=20182452","ICTVonline=20182452")</f>
        <v>ICTVonline=20182452</v>
      </c>
    </row>
    <row r="2466" spans="1:22">
      <c r="A2466" s="3">
        <v>2465</v>
      </c>
      <c r="L2466" s="1" t="s">
        <v>1792</v>
      </c>
      <c r="N2466" s="1" t="s">
        <v>682</v>
      </c>
      <c r="P2466" s="1" t="s">
        <v>2382</v>
      </c>
      <c r="Q2466" s="3">
        <v>0</v>
      </c>
      <c r="R2466" s="22" t="s">
        <v>2764</v>
      </c>
      <c r="S2466" s="22" t="s">
        <v>5100</v>
      </c>
      <c r="T2466" s="51">
        <v>28</v>
      </c>
      <c r="U2466" s="3" t="s">
        <v>5706</v>
      </c>
      <c r="V2466" s="41" t="str">
        <f>HYPERLINK("http://ictvonline.org/taxonomy/p/taxonomy-history?taxnode_id=20182453","ICTVonline=20182453")</f>
        <v>ICTVonline=20182453</v>
      </c>
    </row>
    <row r="2467" spans="1:22">
      <c r="A2467" s="3">
        <v>2466</v>
      </c>
      <c r="L2467" s="1" t="s">
        <v>1792</v>
      </c>
      <c r="N2467" s="1" t="s">
        <v>682</v>
      </c>
      <c r="P2467" s="1" t="s">
        <v>2383</v>
      </c>
      <c r="Q2467" s="3">
        <v>0</v>
      </c>
      <c r="R2467" s="22" t="s">
        <v>2764</v>
      </c>
      <c r="S2467" s="22" t="s">
        <v>5100</v>
      </c>
      <c r="T2467" s="51">
        <v>28</v>
      </c>
      <c r="U2467" s="3" t="s">
        <v>5706</v>
      </c>
      <c r="V2467" s="41" t="str">
        <f>HYPERLINK("http://ictvonline.org/taxonomy/p/taxonomy-history?taxnode_id=20182454","ICTVonline=20182454")</f>
        <v>ICTVonline=20182454</v>
      </c>
    </row>
    <row r="2468" spans="1:22">
      <c r="A2468" s="3">
        <v>2467</v>
      </c>
      <c r="L2468" s="1" t="s">
        <v>1792</v>
      </c>
      <c r="N2468" s="1" t="s">
        <v>682</v>
      </c>
      <c r="P2468" s="1" t="s">
        <v>2384</v>
      </c>
      <c r="Q2468" s="3">
        <v>0</v>
      </c>
      <c r="R2468" s="22" t="s">
        <v>2764</v>
      </c>
      <c r="S2468" s="22" t="s">
        <v>5100</v>
      </c>
      <c r="T2468" s="51">
        <v>28</v>
      </c>
      <c r="U2468" s="3" t="s">
        <v>5706</v>
      </c>
      <c r="V2468" s="41" t="str">
        <f>HYPERLINK("http://ictvonline.org/taxonomy/p/taxonomy-history?taxnode_id=20182455","ICTVonline=20182455")</f>
        <v>ICTVonline=20182455</v>
      </c>
    </row>
    <row r="2469" spans="1:22">
      <c r="A2469" s="3">
        <v>2468</v>
      </c>
      <c r="L2469" s="1" t="s">
        <v>5726</v>
      </c>
      <c r="M2469" s="1" t="s">
        <v>5727</v>
      </c>
      <c r="N2469" s="1" t="s">
        <v>5728</v>
      </c>
      <c r="P2469" s="1" t="s">
        <v>5729</v>
      </c>
      <c r="Q2469" s="3">
        <v>1</v>
      </c>
      <c r="R2469" s="22" t="s">
        <v>2767</v>
      </c>
      <c r="S2469" s="22" t="s">
        <v>5097</v>
      </c>
      <c r="T2469" s="51">
        <v>32</v>
      </c>
      <c r="U2469" s="3" t="s">
        <v>5730</v>
      </c>
      <c r="V2469" s="41" t="str">
        <f>HYPERLINK("http://ictvonline.org/taxonomy/p/taxonomy-history?taxnode_id=20186012","ICTVonline=20186012")</f>
        <v>ICTVonline=20186012</v>
      </c>
    </row>
    <row r="2470" spans="1:22">
      <c r="A2470" s="3">
        <v>2469</v>
      </c>
      <c r="L2470" s="1" t="s">
        <v>5726</v>
      </c>
      <c r="M2470" s="1" t="s">
        <v>5727</v>
      </c>
      <c r="N2470" s="1" t="s">
        <v>5728</v>
      </c>
      <c r="P2470" s="1" t="s">
        <v>5731</v>
      </c>
      <c r="Q2470" s="3">
        <v>0</v>
      </c>
      <c r="R2470" s="22" t="s">
        <v>2767</v>
      </c>
      <c r="S2470" s="22" t="s">
        <v>5097</v>
      </c>
      <c r="T2470" s="51">
        <v>32</v>
      </c>
      <c r="U2470" s="3" t="s">
        <v>5730</v>
      </c>
      <c r="V2470" s="41" t="str">
        <f>HYPERLINK("http://ictvonline.org/taxonomy/p/taxonomy-history?taxnode_id=20185664","ICTVonline=20185664")</f>
        <v>ICTVonline=20185664</v>
      </c>
    </row>
    <row r="2471" spans="1:22">
      <c r="A2471" s="3">
        <v>2470</v>
      </c>
      <c r="L2471" s="1" t="s">
        <v>5726</v>
      </c>
      <c r="M2471" s="1" t="s">
        <v>5727</v>
      </c>
      <c r="N2471" s="1" t="s">
        <v>5732</v>
      </c>
      <c r="P2471" s="1" t="s">
        <v>5733</v>
      </c>
      <c r="Q2471" s="3">
        <v>1</v>
      </c>
      <c r="R2471" s="22" t="s">
        <v>2767</v>
      </c>
      <c r="S2471" s="22" t="s">
        <v>5097</v>
      </c>
      <c r="T2471" s="51">
        <v>32</v>
      </c>
      <c r="U2471" s="3" t="s">
        <v>5730</v>
      </c>
      <c r="V2471" s="41" t="str">
        <f>HYPERLINK("http://ictvonline.org/taxonomy/p/taxonomy-history?taxnode_id=20185666","ICTVonline=20185666")</f>
        <v>ICTVonline=20185666</v>
      </c>
    </row>
    <row r="2472" spans="1:22">
      <c r="A2472" s="3">
        <v>2471</v>
      </c>
      <c r="L2472" s="1" t="s">
        <v>5726</v>
      </c>
      <c r="M2472" s="1" t="s">
        <v>5727</v>
      </c>
      <c r="N2472" s="1" t="s">
        <v>5732</v>
      </c>
      <c r="P2472" s="1" t="s">
        <v>5734</v>
      </c>
      <c r="Q2472" s="3">
        <v>0</v>
      </c>
      <c r="R2472" s="22" t="s">
        <v>2767</v>
      </c>
      <c r="S2472" s="22" t="s">
        <v>5097</v>
      </c>
      <c r="T2472" s="51">
        <v>32</v>
      </c>
      <c r="U2472" s="3" t="s">
        <v>5730</v>
      </c>
      <c r="V2472" s="41" t="str">
        <f>HYPERLINK("http://ictvonline.org/taxonomy/p/taxonomy-history?taxnode_id=20185667","ICTVonline=20185667")</f>
        <v>ICTVonline=20185667</v>
      </c>
    </row>
    <row r="2473" spans="1:22">
      <c r="A2473" s="3">
        <v>2472</v>
      </c>
      <c r="L2473" s="1" t="s">
        <v>5726</v>
      </c>
      <c r="M2473" s="1" t="s">
        <v>5727</v>
      </c>
      <c r="N2473" s="1" t="s">
        <v>5732</v>
      </c>
      <c r="P2473" s="1" t="s">
        <v>5735</v>
      </c>
      <c r="Q2473" s="3">
        <v>0</v>
      </c>
      <c r="R2473" s="22" t="s">
        <v>2767</v>
      </c>
      <c r="S2473" s="22" t="s">
        <v>5097</v>
      </c>
      <c r="T2473" s="51">
        <v>32</v>
      </c>
      <c r="U2473" s="3" t="s">
        <v>5730</v>
      </c>
      <c r="V2473" s="41" t="str">
        <f>HYPERLINK("http://ictvonline.org/taxonomy/p/taxonomy-history?taxnode_id=20185668","ICTVonline=20185668")</f>
        <v>ICTVonline=20185668</v>
      </c>
    </row>
    <row r="2474" spans="1:22">
      <c r="A2474" s="3">
        <v>2473</v>
      </c>
      <c r="L2474" s="1" t="s">
        <v>5726</v>
      </c>
      <c r="M2474" s="1" t="s">
        <v>5727</v>
      </c>
      <c r="N2474" s="1" t="s">
        <v>5732</v>
      </c>
      <c r="P2474" s="1" t="s">
        <v>5736</v>
      </c>
      <c r="Q2474" s="3">
        <v>0</v>
      </c>
      <c r="R2474" s="22" t="s">
        <v>2767</v>
      </c>
      <c r="S2474" s="22" t="s">
        <v>5097</v>
      </c>
      <c r="T2474" s="51">
        <v>32</v>
      </c>
      <c r="U2474" s="3" t="s">
        <v>5730</v>
      </c>
      <c r="V2474" s="41" t="str">
        <f>HYPERLINK("http://ictvonline.org/taxonomy/p/taxonomy-history?taxnode_id=20185669","ICTVonline=20185669")</f>
        <v>ICTVonline=20185669</v>
      </c>
    </row>
    <row r="2475" spans="1:22">
      <c r="A2475" s="3">
        <v>2474</v>
      </c>
      <c r="L2475" s="1" t="s">
        <v>5726</v>
      </c>
      <c r="M2475" s="1" t="s">
        <v>5727</v>
      </c>
      <c r="N2475" s="1" t="s">
        <v>5732</v>
      </c>
      <c r="P2475" s="1" t="s">
        <v>5737</v>
      </c>
      <c r="Q2475" s="3">
        <v>0</v>
      </c>
      <c r="R2475" s="22" t="s">
        <v>2767</v>
      </c>
      <c r="S2475" s="22" t="s">
        <v>5097</v>
      </c>
      <c r="T2475" s="51">
        <v>32</v>
      </c>
      <c r="U2475" s="3" t="s">
        <v>5730</v>
      </c>
      <c r="V2475" s="41" t="str">
        <f>HYPERLINK("http://ictvonline.org/taxonomy/p/taxonomy-history?taxnode_id=20185670","ICTVonline=20185670")</f>
        <v>ICTVonline=20185670</v>
      </c>
    </row>
    <row r="2476" spans="1:22">
      <c r="A2476" s="3">
        <v>2475</v>
      </c>
      <c r="L2476" s="1" t="s">
        <v>5726</v>
      </c>
      <c r="M2476" s="1" t="s">
        <v>5727</v>
      </c>
      <c r="N2476" s="1" t="s">
        <v>5732</v>
      </c>
      <c r="P2476" s="1" t="s">
        <v>5738</v>
      </c>
      <c r="Q2476" s="3">
        <v>0</v>
      </c>
      <c r="R2476" s="22" t="s">
        <v>2767</v>
      </c>
      <c r="S2476" s="22" t="s">
        <v>5097</v>
      </c>
      <c r="T2476" s="51">
        <v>32</v>
      </c>
      <c r="U2476" s="3" t="s">
        <v>5730</v>
      </c>
      <c r="V2476" s="41" t="str">
        <f>HYPERLINK("http://ictvonline.org/taxonomy/p/taxonomy-history?taxnode_id=20185671","ICTVonline=20185671")</f>
        <v>ICTVonline=20185671</v>
      </c>
    </row>
    <row r="2477" spans="1:22">
      <c r="A2477" s="3">
        <v>2476</v>
      </c>
      <c r="L2477" s="1" t="s">
        <v>5726</v>
      </c>
      <c r="M2477" s="1" t="s">
        <v>5727</v>
      </c>
      <c r="N2477" s="1" t="s">
        <v>5732</v>
      </c>
      <c r="P2477" s="1" t="s">
        <v>5739</v>
      </c>
      <c r="Q2477" s="3">
        <v>0</v>
      </c>
      <c r="R2477" s="22" t="s">
        <v>2767</v>
      </c>
      <c r="S2477" s="22" t="s">
        <v>5097</v>
      </c>
      <c r="T2477" s="51">
        <v>32</v>
      </c>
      <c r="U2477" s="3" t="s">
        <v>5730</v>
      </c>
      <c r="V2477" s="41" t="str">
        <f>HYPERLINK("http://ictvonline.org/taxonomy/p/taxonomy-history?taxnode_id=20185672","ICTVonline=20185672")</f>
        <v>ICTVonline=20185672</v>
      </c>
    </row>
    <row r="2478" spans="1:22">
      <c r="A2478" s="3">
        <v>2477</v>
      </c>
      <c r="L2478" s="1" t="s">
        <v>5726</v>
      </c>
      <c r="M2478" s="1" t="s">
        <v>5727</v>
      </c>
      <c r="N2478" s="1" t="s">
        <v>5732</v>
      </c>
      <c r="P2478" s="1" t="s">
        <v>5740</v>
      </c>
      <c r="Q2478" s="3">
        <v>0</v>
      </c>
      <c r="R2478" s="22" t="s">
        <v>2767</v>
      </c>
      <c r="S2478" s="22" t="s">
        <v>5097</v>
      </c>
      <c r="T2478" s="51">
        <v>32</v>
      </c>
      <c r="U2478" s="3" t="s">
        <v>5730</v>
      </c>
      <c r="V2478" s="41" t="str">
        <f>HYPERLINK("http://ictvonline.org/taxonomy/p/taxonomy-history?taxnode_id=20185673","ICTVonline=20185673")</f>
        <v>ICTVonline=20185673</v>
      </c>
    </row>
    <row r="2479" spans="1:22">
      <c r="A2479" s="3">
        <v>2478</v>
      </c>
      <c r="L2479" s="1" t="s">
        <v>5726</v>
      </c>
      <c r="M2479" s="1" t="s">
        <v>5727</v>
      </c>
      <c r="N2479" s="1" t="s">
        <v>5741</v>
      </c>
      <c r="P2479" s="1" t="s">
        <v>5742</v>
      </c>
      <c r="Q2479" s="3">
        <v>0</v>
      </c>
      <c r="R2479" s="22" t="s">
        <v>2767</v>
      </c>
      <c r="S2479" s="22" t="s">
        <v>5097</v>
      </c>
      <c r="T2479" s="51">
        <v>32</v>
      </c>
      <c r="U2479" s="3" t="s">
        <v>5730</v>
      </c>
      <c r="V2479" s="41" t="str">
        <f>HYPERLINK("http://ictvonline.org/taxonomy/p/taxonomy-history?taxnode_id=20185675","ICTVonline=20185675")</f>
        <v>ICTVonline=20185675</v>
      </c>
    </row>
    <row r="2480" spans="1:22">
      <c r="A2480" s="3">
        <v>2479</v>
      </c>
      <c r="L2480" s="1" t="s">
        <v>5726</v>
      </c>
      <c r="M2480" s="1" t="s">
        <v>5727</v>
      </c>
      <c r="N2480" s="1" t="s">
        <v>5741</v>
      </c>
      <c r="P2480" s="1" t="s">
        <v>5743</v>
      </c>
      <c r="Q2480" s="3">
        <v>0</v>
      </c>
      <c r="R2480" s="22" t="s">
        <v>2767</v>
      </c>
      <c r="S2480" s="22" t="s">
        <v>5097</v>
      </c>
      <c r="T2480" s="51">
        <v>32</v>
      </c>
      <c r="U2480" s="3" t="s">
        <v>5730</v>
      </c>
      <c r="V2480" s="41" t="str">
        <f>HYPERLINK("http://ictvonline.org/taxonomy/p/taxonomy-history?taxnode_id=20185676","ICTVonline=20185676")</f>
        <v>ICTVonline=20185676</v>
      </c>
    </row>
    <row r="2481" spans="1:22">
      <c r="A2481" s="3">
        <v>2480</v>
      </c>
      <c r="L2481" s="1" t="s">
        <v>5726</v>
      </c>
      <c r="M2481" s="1" t="s">
        <v>5727</v>
      </c>
      <c r="N2481" s="1" t="s">
        <v>5741</v>
      </c>
      <c r="P2481" s="1" t="s">
        <v>5744</v>
      </c>
      <c r="Q2481" s="3">
        <v>0</v>
      </c>
      <c r="R2481" s="22" t="s">
        <v>2767</v>
      </c>
      <c r="S2481" s="22" t="s">
        <v>5097</v>
      </c>
      <c r="T2481" s="51">
        <v>32</v>
      </c>
      <c r="U2481" s="3" t="s">
        <v>5730</v>
      </c>
      <c r="V2481" s="41" t="str">
        <f>HYPERLINK("http://ictvonline.org/taxonomy/p/taxonomy-history?taxnode_id=20185677","ICTVonline=20185677")</f>
        <v>ICTVonline=20185677</v>
      </c>
    </row>
    <row r="2482" spans="1:22">
      <c r="A2482" s="3">
        <v>2481</v>
      </c>
      <c r="L2482" s="1" t="s">
        <v>5726</v>
      </c>
      <c r="M2482" s="1" t="s">
        <v>5727</v>
      </c>
      <c r="N2482" s="1" t="s">
        <v>5741</v>
      </c>
      <c r="P2482" s="1" t="s">
        <v>5745</v>
      </c>
      <c r="Q2482" s="3">
        <v>0</v>
      </c>
      <c r="R2482" s="22" t="s">
        <v>2767</v>
      </c>
      <c r="S2482" s="22" t="s">
        <v>5097</v>
      </c>
      <c r="T2482" s="51">
        <v>32</v>
      </c>
      <c r="U2482" s="3" t="s">
        <v>5730</v>
      </c>
      <c r="V2482" s="41" t="str">
        <f>HYPERLINK("http://ictvonline.org/taxonomy/p/taxonomy-history?taxnode_id=20185678","ICTVonline=20185678")</f>
        <v>ICTVonline=20185678</v>
      </c>
    </row>
    <row r="2483" spans="1:22">
      <c r="A2483" s="3">
        <v>2482</v>
      </c>
      <c r="L2483" s="1" t="s">
        <v>5726</v>
      </c>
      <c r="M2483" s="1" t="s">
        <v>5727</v>
      </c>
      <c r="N2483" s="1" t="s">
        <v>5741</v>
      </c>
      <c r="P2483" s="1" t="s">
        <v>5746</v>
      </c>
      <c r="Q2483" s="3">
        <v>0</v>
      </c>
      <c r="R2483" s="22" t="s">
        <v>2767</v>
      </c>
      <c r="S2483" s="22" t="s">
        <v>5097</v>
      </c>
      <c r="T2483" s="51">
        <v>32</v>
      </c>
      <c r="U2483" s="3" t="s">
        <v>5730</v>
      </c>
      <c r="V2483" s="41" t="str">
        <f>HYPERLINK("http://ictvonline.org/taxonomy/p/taxonomy-history?taxnode_id=20185679","ICTVonline=20185679")</f>
        <v>ICTVonline=20185679</v>
      </c>
    </row>
    <row r="2484" spans="1:22">
      <c r="A2484" s="3">
        <v>2483</v>
      </c>
      <c r="L2484" s="1" t="s">
        <v>5726</v>
      </c>
      <c r="M2484" s="1" t="s">
        <v>5727</v>
      </c>
      <c r="N2484" s="1" t="s">
        <v>5741</v>
      </c>
      <c r="P2484" s="1" t="s">
        <v>5747</v>
      </c>
      <c r="Q2484" s="3">
        <v>0</v>
      </c>
      <c r="R2484" s="22" t="s">
        <v>2767</v>
      </c>
      <c r="S2484" s="22" t="s">
        <v>5097</v>
      </c>
      <c r="T2484" s="51">
        <v>32</v>
      </c>
      <c r="U2484" s="3" t="s">
        <v>5730</v>
      </c>
      <c r="V2484" s="41" t="str">
        <f>HYPERLINK("http://ictvonline.org/taxonomy/p/taxonomy-history?taxnode_id=20185680","ICTVonline=20185680")</f>
        <v>ICTVonline=20185680</v>
      </c>
    </row>
    <row r="2485" spans="1:22">
      <c r="A2485" s="3">
        <v>2484</v>
      </c>
      <c r="L2485" s="1" t="s">
        <v>5726</v>
      </c>
      <c r="M2485" s="1" t="s">
        <v>5727</v>
      </c>
      <c r="N2485" s="1" t="s">
        <v>5741</v>
      </c>
      <c r="P2485" s="1" t="s">
        <v>5748</v>
      </c>
      <c r="Q2485" s="3">
        <v>0</v>
      </c>
      <c r="R2485" s="22" t="s">
        <v>2767</v>
      </c>
      <c r="S2485" s="22" t="s">
        <v>5097</v>
      </c>
      <c r="T2485" s="51">
        <v>32</v>
      </c>
      <c r="U2485" s="3" t="s">
        <v>5730</v>
      </c>
      <c r="V2485" s="41" t="str">
        <f>HYPERLINK("http://ictvonline.org/taxonomy/p/taxonomy-history?taxnode_id=20185681","ICTVonline=20185681")</f>
        <v>ICTVonline=20185681</v>
      </c>
    </row>
    <row r="2486" spans="1:22">
      <c r="A2486" s="3">
        <v>2485</v>
      </c>
      <c r="L2486" s="1" t="s">
        <v>5726</v>
      </c>
      <c r="M2486" s="1" t="s">
        <v>5727</v>
      </c>
      <c r="N2486" s="1" t="s">
        <v>5741</v>
      </c>
      <c r="P2486" s="1" t="s">
        <v>5749</v>
      </c>
      <c r="Q2486" s="3">
        <v>0</v>
      </c>
      <c r="R2486" s="22" t="s">
        <v>2767</v>
      </c>
      <c r="S2486" s="22" t="s">
        <v>5097</v>
      </c>
      <c r="T2486" s="51">
        <v>32</v>
      </c>
      <c r="U2486" s="3" t="s">
        <v>5730</v>
      </c>
      <c r="V2486" s="41" t="str">
        <f>HYPERLINK("http://ictvonline.org/taxonomy/p/taxonomy-history?taxnode_id=20185682","ICTVonline=20185682")</f>
        <v>ICTVonline=20185682</v>
      </c>
    </row>
    <row r="2487" spans="1:22">
      <c r="A2487" s="3">
        <v>2486</v>
      </c>
      <c r="L2487" s="1" t="s">
        <v>5726</v>
      </c>
      <c r="M2487" s="1" t="s">
        <v>5727</v>
      </c>
      <c r="N2487" s="1" t="s">
        <v>5741</v>
      </c>
      <c r="P2487" s="1" t="s">
        <v>5750</v>
      </c>
      <c r="Q2487" s="3">
        <v>0</v>
      </c>
      <c r="R2487" s="22" t="s">
        <v>2767</v>
      </c>
      <c r="S2487" s="22" t="s">
        <v>5097</v>
      </c>
      <c r="T2487" s="51">
        <v>32</v>
      </c>
      <c r="U2487" s="3" t="s">
        <v>5730</v>
      </c>
      <c r="V2487" s="41" t="str">
        <f>HYPERLINK("http://ictvonline.org/taxonomy/p/taxonomy-history?taxnode_id=20185683","ICTVonline=20185683")</f>
        <v>ICTVonline=20185683</v>
      </c>
    </row>
    <row r="2488" spans="1:22">
      <c r="A2488" s="3">
        <v>2487</v>
      </c>
      <c r="L2488" s="1" t="s">
        <v>5726</v>
      </c>
      <c r="M2488" s="1" t="s">
        <v>5727</v>
      </c>
      <c r="N2488" s="1" t="s">
        <v>5741</v>
      </c>
      <c r="P2488" s="1" t="s">
        <v>5751</v>
      </c>
      <c r="Q2488" s="3">
        <v>0</v>
      </c>
      <c r="R2488" s="22" t="s">
        <v>2767</v>
      </c>
      <c r="S2488" s="22" t="s">
        <v>5097</v>
      </c>
      <c r="T2488" s="51">
        <v>32</v>
      </c>
      <c r="U2488" s="3" t="s">
        <v>5730</v>
      </c>
      <c r="V2488" s="41" t="str">
        <f>HYPERLINK("http://ictvonline.org/taxonomy/p/taxonomy-history?taxnode_id=20185684","ICTVonline=20185684")</f>
        <v>ICTVonline=20185684</v>
      </c>
    </row>
    <row r="2489" spans="1:22">
      <c r="A2489" s="3">
        <v>2488</v>
      </c>
      <c r="L2489" s="1" t="s">
        <v>5726</v>
      </c>
      <c r="M2489" s="1" t="s">
        <v>5727</v>
      </c>
      <c r="N2489" s="1" t="s">
        <v>5741</v>
      </c>
      <c r="P2489" s="1" t="s">
        <v>5752</v>
      </c>
      <c r="Q2489" s="3">
        <v>1</v>
      </c>
      <c r="R2489" s="22" t="s">
        <v>2767</v>
      </c>
      <c r="S2489" s="22" t="s">
        <v>5097</v>
      </c>
      <c r="T2489" s="51">
        <v>32</v>
      </c>
      <c r="U2489" s="3" t="s">
        <v>5730</v>
      </c>
      <c r="V2489" s="41" t="str">
        <f>HYPERLINK("http://ictvonline.org/taxonomy/p/taxonomy-history?taxnode_id=20185685","ICTVonline=20185685")</f>
        <v>ICTVonline=20185685</v>
      </c>
    </row>
    <row r="2490" spans="1:22">
      <c r="A2490" s="3">
        <v>2489</v>
      </c>
      <c r="L2490" s="1" t="s">
        <v>5726</v>
      </c>
      <c r="M2490" s="1" t="s">
        <v>5727</v>
      </c>
      <c r="N2490" s="1" t="s">
        <v>5741</v>
      </c>
      <c r="P2490" s="1" t="s">
        <v>5753</v>
      </c>
      <c r="Q2490" s="3">
        <v>0</v>
      </c>
      <c r="R2490" s="22" t="s">
        <v>2767</v>
      </c>
      <c r="S2490" s="22" t="s">
        <v>5097</v>
      </c>
      <c r="T2490" s="51">
        <v>32</v>
      </c>
      <c r="U2490" s="3" t="s">
        <v>5730</v>
      </c>
      <c r="V2490" s="41" t="str">
        <f>HYPERLINK("http://ictvonline.org/taxonomy/p/taxonomy-history?taxnode_id=20185686","ICTVonline=20185686")</f>
        <v>ICTVonline=20185686</v>
      </c>
    </row>
    <row r="2491" spans="1:22">
      <c r="A2491" s="3">
        <v>2490</v>
      </c>
      <c r="L2491" s="1" t="s">
        <v>5726</v>
      </c>
      <c r="M2491" s="1" t="s">
        <v>5727</v>
      </c>
      <c r="N2491" s="1" t="s">
        <v>5741</v>
      </c>
      <c r="P2491" s="1" t="s">
        <v>5754</v>
      </c>
      <c r="Q2491" s="3">
        <v>0</v>
      </c>
      <c r="R2491" s="22" t="s">
        <v>2767</v>
      </c>
      <c r="S2491" s="22" t="s">
        <v>5097</v>
      </c>
      <c r="T2491" s="51">
        <v>32</v>
      </c>
      <c r="U2491" s="3" t="s">
        <v>5730</v>
      </c>
      <c r="V2491" s="41" t="str">
        <f>HYPERLINK("http://ictvonline.org/taxonomy/p/taxonomy-history?taxnode_id=20185687","ICTVonline=20185687")</f>
        <v>ICTVonline=20185687</v>
      </c>
    </row>
    <row r="2492" spans="1:22">
      <c r="A2492" s="3">
        <v>2491</v>
      </c>
      <c r="L2492" s="1" t="s">
        <v>5726</v>
      </c>
      <c r="M2492" s="1" t="s">
        <v>5727</v>
      </c>
      <c r="N2492" s="1" t="s">
        <v>5741</v>
      </c>
      <c r="P2492" s="1" t="s">
        <v>5755</v>
      </c>
      <c r="Q2492" s="3">
        <v>0</v>
      </c>
      <c r="R2492" s="22" t="s">
        <v>2767</v>
      </c>
      <c r="S2492" s="22" t="s">
        <v>5097</v>
      </c>
      <c r="T2492" s="51">
        <v>32</v>
      </c>
      <c r="U2492" s="3" t="s">
        <v>5730</v>
      </c>
      <c r="V2492" s="41" t="str">
        <f>HYPERLINK("http://ictvonline.org/taxonomy/p/taxonomy-history?taxnode_id=20185688","ICTVonline=20185688")</f>
        <v>ICTVonline=20185688</v>
      </c>
    </row>
    <row r="2493" spans="1:22">
      <c r="A2493" s="3">
        <v>2492</v>
      </c>
      <c r="L2493" s="1" t="s">
        <v>5726</v>
      </c>
      <c r="M2493" s="1" t="s">
        <v>5727</v>
      </c>
      <c r="N2493" s="1" t="s">
        <v>5741</v>
      </c>
      <c r="P2493" s="1" t="s">
        <v>5756</v>
      </c>
      <c r="Q2493" s="3">
        <v>0</v>
      </c>
      <c r="R2493" s="22" t="s">
        <v>2767</v>
      </c>
      <c r="S2493" s="22" t="s">
        <v>5097</v>
      </c>
      <c r="T2493" s="51">
        <v>32</v>
      </c>
      <c r="U2493" s="3" t="s">
        <v>5730</v>
      </c>
      <c r="V2493" s="41" t="str">
        <f>HYPERLINK("http://ictvonline.org/taxonomy/p/taxonomy-history?taxnode_id=20185689","ICTVonline=20185689")</f>
        <v>ICTVonline=20185689</v>
      </c>
    </row>
    <row r="2494" spans="1:22">
      <c r="A2494" s="3">
        <v>2493</v>
      </c>
      <c r="L2494" s="1" t="s">
        <v>5726</v>
      </c>
      <c r="M2494" s="1" t="s">
        <v>5727</v>
      </c>
      <c r="N2494" s="1" t="s">
        <v>5741</v>
      </c>
      <c r="P2494" s="1" t="s">
        <v>5757</v>
      </c>
      <c r="Q2494" s="3">
        <v>0</v>
      </c>
      <c r="R2494" s="22" t="s">
        <v>2767</v>
      </c>
      <c r="S2494" s="22" t="s">
        <v>5097</v>
      </c>
      <c r="T2494" s="51">
        <v>32</v>
      </c>
      <c r="U2494" s="3" t="s">
        <v>5730</v>
      </c>
      <c r="V2494" s="41" t="str">
        <f>HYPERLINK("http://ictvonline.org/taxonomy/p/taxonomy-history?taxnode_id=20185690","ICTVonline=20185690")</f>
        <v>ICTVonline=20185690</v>
      </c>
    </row>
    <row r="2495" spans="1:22">
      <c r="A2495" s="3">
        <v>2494</v>
      </c>
      <c r="L2495" s="1" t="s">
        <v>5726</v>
      </c>
      <c r="M2495" s="1" t="s">
        <v>5727</v>
      </c>
      <c r="N2495" s="1" t="s">
        <v>5741</v>
      </c>
      <c r="P2495" s="1" t="s">
        <v>5758</v>
      </c>
      <c r="Q2495" s="3">
        <v>0</v>
      </c>
      <c r="R2495" s="22" t="s">
        <v>2767</v>
      </c>
      <c r="S2495" s="22" t="s">
        <v>5097</v>
      </c>
      <c r="T2495" s="51">
        <v>32</v>
      </c>
      <c r="U2495" s="3" t="s">
        <v>5730</v>
      </c>
      <c r="V2495" s="41" t="str">
        <f>HYPERLINK("http://ictvonline.org/taxonomy/p/taxonomy-history?taxnode_id=20185691","ICTVonline=20185691")</f>
        <v>ICTVonline=20185691</v>
      </c>
    </row>
    <row r="2496" spans="1:22">
      <c r="A2496" s="3">
        <v>2495</v>
      </c>
      <c r="L2496" s="1" t="s">
        <v>5726</v>
      </c>
      <c r="M2496" s="1" t="s">
        <v>5727</v>
      </c>
      <c r="N2496" s="1" t="s">
        <v>5741</v>
      </c>
      <c r="P2496" s="1" t="s">
        <v>5759</v>
      </c>
      <c r="Q2496" s="3">
        <v>0</v>
      </c>
      <c r="R2496" s="22" t="s">
        <v>2767</v>
      </c>
      <c r="S2496" s="22" t="s">
        <v>5097</v>
      </c>
      <c r="T2496" s="51">
        <v>32</v>
      </c>
      <c r="U2496" s="3" t="s">
        <v>5730</v>
      </c>
      <c r="V2496" s="41" t="str">
        <f>HYPERLINK("http://ictvonline.org/taxonomy/p/taxonomy-history?taxnode_id=20185692","ICTVonline=20185692")</f>
        <v>ICTVonline=20185692</v>
      </c>
    </row>
    <row r="2497" spans="1:22">
      <c r="A2497" s="3">
        <v>2496</v>
      </c>
      <c r="L2497" s="1" t="s">
        <v>5726</v>
      </c>
      <c r="M2497" s="1" t="s">
        <v>5727</v>
      </c>
      <c r="N2497" s="1" t="s">
        <v>5741</v>
      </c>
      <c r="P2497" s="1" t="s">
        <v>5760</v>
      </c>
      <c r="Q2497" s="3">
        <v>0</v>
      </c>
      <c r="R2497" s="22" t="s">
        <v>2767</v>
      </c>
      <c r="S2497" s="22" t="s">
        <v>5097</v>
      </c>
      <c r="T2497" s="51">
        <v>32</v>
      </c>
      <c r="U2497" s="3" t="s">
        <v>5730</v>
      </c>
      <c r="V2497" s="41" t="str">
        <f>HYPERLINK("http://ictvonline.org/taxonomy/p/taxonomy-history?taxnode_id=20185693","ICTVonline=20185693")</f>
        <v>ICTVonline=20185693</v>
      </c>
    </row>
    <row r="2498" spans="1:22">
      <c r="A2498" s="3">
        <v>2497</v>
      </c>
      <c r="L2498" s="1" t="s">
        <v>5726</v>
      </c>
      <c r="M2498" s="1" t="s">
        <v>5727</v>
      </c>
      <c r="N2498" s="1" t="s">
        <v>5741</v>
      </c>
      <c r="P2498" s="1" t="s">
        <v>5761</v>
      </c>
      <c r="Q2498" s="3">
        <v>0</v>
      </c>
      <c r="R2498" s="22" t="s">
        <v>2767</v>
      </c>
      <c r="S2498" s="22" t="s">
        <v>5097</v>
      </c>
      <c r="T2498" s="51">
        <v>32</v>
      </c>
      <c r="U2498" s="3" t="s">
        <v>5730</v>
      </c>
      <c r="V2498" s="41" t="str">
        <f>HYPERLINK("http://ictvonline.org/taxonomy/p/taxonomy-history?taxnode_id=20185694","ICTVonline=20185694")</f>
        <v>ICTVonline=20185694</v>
      </c>
    </row>
    <row r="2499" spans="1:22">
      <c r="A2499" s="3">
        <v>2498</v>
      </c>
      <c r="L2499" s="1" t="s">
        <v>5726</v>
      </c>
      <c r="M2499" s="1" t="s">
        <v>5727</v>
      </c>
      <c r="N2499" s="1" t="s">
        <v>5741</v>
      </c>
      <c r="P2499" s="1" t="s">
        <v>5762</v>
      </c>
      <c r="Q2499" s="3">
        <v>0</v>
      </c>
      <c r="R2499" s="22" t="s">
        <v>2767</v>
      </c>
      <c r="S2499" s="22" t="s">
        <v>5097</v>
      </c>
      <c r="T2499" s="51">
        <v>32</v>
      </c>
      <c r="U2499" s="3" t="s">
        <v>5730</v>
      </c>
      <c r="V2499" s="41" t="str">
        <f>HYPERLINK("http://ictvonline.org/taxonomy/p/taxonomy-history?taxnode_id=20185695","ICTVonline=20185695")</f>
        <v>ICTVonline=20185695</v>
      </c>
    </row>
    <row r="2500" spans="1:22">
      <c r="A2500" s="3">
        <v>2499</v>
      </c>
      <c r="L2500" s="1" t="s">
        <v>5726</v>
      </c>
      <c r="M2500" s="1" t="s">
        <v>5727</v>
      </c>
      <c r="N2500" s="1" t="s">
        <v>5741</v>
      </c>
      <c r="P2500" s="1" t="s">
        <v>5763</v>
      </c>
      <c r="Q2500" s="3">
        <v>0</v>
      </c>
      <c r="R2500" s="22" t="s">
        <v>2767</v>
      </c>
      <c r="S2500" s="22" t="s">
        <v>5097</v>
      </c>
      <c r="T2500" s="51">
        <v>32</v>
      </c>
      <c r="U2500" s="3" t="s">
        <v>5730</v>
      </c>
      <c r="V2500" s="41" t="str">
        <f>HYPERLINK("http://ictvonline.org/taxonomy/p/taxonomy-history?taxnode_id=20185696","ICTVonline=20185696")</f>
        <v>ICTVonline=20185696</v>
      </c>
    </row>
    <row r="2501" spans="1:22">
      <c r="A2501" s="3">
        <v>2500</v>
      </c>
      <c r="L2501" s="1" t="s">
        <v>5726</v>
      </c>
      <c r="M2501" s="1" t="s">
        <v>5727</v>
      </c>
      <c r="N2501" s="1" t="s">
        <v>5741</v>
      </c>
      <c r="P2501" s="1" t="s">
        <v>5764</v>
      </c>
      <c r="Q2501" s="3">
        <v>0</v>
      </c>
      <c r="R2501" s="22" t="s">
        <v>2767</v>
      </c>
      <c r="S2501" s="22" t="s">
        <v>5097</v>
      </c>
      <c r="T2501" s="51">
        <v>32</v>
      </c>
      <c r="U2501" s="3" t="s">
        <v>5730</v>
      </c>
      <c r="V2501" s="41" t="str">
        <f>HYPERLINK("http://ictvonline.org/taxonomy/p/taxonomy-history?taxnode_id=20185697","ICTVonline=20185697")</f>
        <v>ICTVonline=20185697</v>
      </c>
    </row>
    <row r="2502" spans="1:22">
      <c r="A2502" s="3">
        <v>2501</v>
      </c>
      <c r="L2502" s="1" t="s">
        <v>5726</v>
      </c>
      <c r="M2502" s="1" t="s">
        <v>5727</v>
      </c>
      <c r="N2502" s="1" t="s">
        <v>5741</v>
      </c>
      <c r="P2502" s="1" t="s">
        <v>5765</v>
      </c>
      <c r="Q2502" s="3">
        <v>0</v>
      </c>
      <c r="R2502" s="22" t="s">
        <v>2767</v>
      </c>
      <c r="S2502" s="22" t="s">
        <v>5097</v>
      </c>
      <c r="T2502" s="51">
        <v>32</v>
      </c>
      <c r="U2502" s="3" t="s">
        <v>5730</v>
      </c>
      <c r="V2502" s="41" t="str">
        <f>HYPERLINK("http://ictvonline.org/taxonomy/p/taxonomy-history?taxnode_id=20185698","ICTVonline=20185698")</f>
        <v>ICTVonline=20185698</v>
      </c>
    </row>
    <row r="2503" spans="1:22">
      <c r="A2503" s="3">
        <v>2502</v>
      </c>
      <c r="L2503" s="1" t="s">
        <v>5726</v>
      </c>
      <c r="M2503" s="1" t="s">
        <v>5727</v>
      </c>
      <c r="N2503" s="1" t="s">
        <v>5741</v>
      </c>
      <c r="P2503" s="1" t="s">
        <v>5766</v>
      </c>
      <c r="Q2503" s="3">
        <v>0</v>
      </c>
      <c r="R2503" s="22" t="s">
        <v>2767</v>
      </c>
      <c r="S2503" s="22" t="s">
        <v>5097</v>
      </c>
      <c r="T2503" s="51">
        <v>32</v>
      </c>
      <c r="U2503" s="3" t="s">
        <v>5730</v>
      </c>
      <c r="V2503" s="41" t="str">
        <f>HYPERLINK("http://ictvonline.org/taxonomy/p/taxonomy-history?taxnode_id=20185699","ICTVonline=20185699")</f>
        <v>ICTVonline=20185699</v>
      </c>
    </row>
    <row r="2504" spans="1:22">
      <c r="A2504" s="3">
        <v>2503</v>
      </c>
      <c r="L2504" s="1" t="s">
        <v>5726</v>
      </c>
      <c r="M2504" s="1" t="s">
        <v>5727</v>
      </c>
      <c r="N2504" s="1" t="s">
        <v>5767</v>
      </c>
      <c r="P2504" s="1" t="s">
        <v>5768</v>
      </c>
      <c r="Q2504" s="3">
        <v>1</v>
      </c>
      <c r="R2504" s="22" t="s">
        <v>2767</v>
      </c>
      <c r="S2504" s="22" t="s">
        <v>5097</v>
      </c>
      <c r="T2504" s="51">
        <v>32</v>
      </c>
      <c r="U2504" s="3" t="s">
        <v>5730</v>
      </c>
      <c r="V2504" s="41" t="str">
        <f>HYPERLINK("http://ictvonline.org/taxonomy/p/taxonomy-history?taxnode_id=20185701","ICTVonline=20185701")</f>
        <v>ICTVonline=20185701</v>
      </c>
    </row>
    <row r="2505" spans="1:22">
      <c r="A2505" s="3">
        <v>2504</v>
      </c>
      <c r="L2505" s="1" t="s">
        <v>5726</v>
      </c>
      <c r="M2505" s="1" t="s">
        <v>5727</v>
      </c>
      <c r="N2505" s="1" t="s">
        <v>5767</v>
      </c>
      <c r="P2505" s="1" t="s">
        <v>5769</v>
      </c>
      <c r="Q2505" s="3">
        <v>0</v>
      </c>
      <c r="R2505" s="22" t="s">
        <v>2767</v>
      </c>
      <c r="S2505" s="22" t="s">
        <v>5097</v>
      </c>
      <c r="T2505" s="51">
        <v>32</v>
      </c>
      <c r="U2505" s="3" t="s">
        <v>5730</v>
      </c>
      <c r="V2505" s="41" t="str">
        <f>HYPERLINK("http://ictvonline.org/taxonomy/p/taxonomy-history?taxnode_id=20185702","ICTVonline=20185702")</f>
        <v>ICTVonline=20185702</v>
      </c>
    </row>
    <row r="2506" spans="1:22">
      <c r="A2506" s="3">
        <v>2505</v>
      </c>
      <c r="L2506" s="1" t="s">
        <v>5726</v>
      </c>
      <c r="M2506" s="1" t="s">
        <v>5727</v>
      </c>
      <c r="N2506" s="1" t="s">
        <v>5767</v>
      </c>
      <c r="P2506" s="1" t="s">
        <v>5770</v>
      </c>
      <c r="Q2506" s="3">
        <v>0</v>
      </c>
      <c r="R2506" s="22" t="s">
        <v>2767</v>
      </c>
      <c r="S2506" s="22" t="s">
        <v>5097</v>
      </c>
      <c r="T2506" s="51">
        <v>32</v>
      </c>
      <c r="U2506" s="3" t="s">
        <v>5730</v>
      </c>
      <c r="V2506" s="41" t="str">
        <f>HYPERLINK("http://ictvonline.org/taxonomy/p/taxonomy-history?taxnode_id=20185703","ICTVonline=20185703")</f>
        <v>ICTVonline=20185703</v>
      </c>
    </row>
    <row r="2507" spans="1:22">
      <c r="A2507" s="3">
        <v>2506</v>
      </c>
      <c r="L2507" s="1" t="s">
        <v>5726</v>
      </c>
      <c r="M2507" s="1" t="s">
        <v>5727</v>
      </c>
      <c r="N2507" s="1" t="s">
        <v>5767</v>
      </c>
      <c r="P2507" s="1" t="s">
        <v>5771</v>
      </c>
      <c r="Q2507" s="3">
        <v>0</v>
      </c>
      <c r="R2507" s="22" t="s">
        <v>2767</v>
      </c>
      <c r="S2507" s="22" t="s">
        <v>5097</v>
      </c>
      <c r="T2507" s="51">
        <v>32</v>
      </c>
      <c r="U2507" s="3" t="s">
        <v>5730</v>
      </c>
      <c r="V2507" s="41" t="str">
        <f>HYPERLINK("http://ictvonline.org/taxonomy/p/taxonomy-history?taxnode_id=20185704","ICTVonline=20185704")</f>
        <v>ICTVonline=20185704</v>
      </c>
    </row>
    <row r="2508" spans="1:22">
      <c r="A2508" s="3">
        <v>2507</v>
      </c>
      <c r="L2508" s="1" t="s">
        <v>5726</v>
      </c>
      <c r="M2508" s="1" t="s">
        <v>5727</v>
      </c>
      <c r="N2508" s="1" t="s">
        <v>5767</v>
      </c>
      <c r="P2508" s="1" t="s">
        <v>5772</v>
      </c>
      <c r="Q2508" s="3">
        <v>0</v>
      </c>
      <c r="R2508" s="22" t="s">
        <v>2767</v>
      </c>
      <c r="S2508" s="22" t="s">
        <v>5097</v>
      </c>
      <c r="T2508" s="51">
        <v>32</v>
      </c>
      <c r="U2508" s="3" t="s">
        <v>5730</v>
      </c>
      <c r="V2508" s="41" t="str">
        <f>HYPERLINK("http://ictvonline.org/taxonomy/p/taxonomy-history?taxnode_id=20185705","ICTVonline=20185705")</f>
        <v>ICTVonline=20185705</v>
      </c>
    </row>
    <row r="2509" spans="1:22">
      <c r="A2509" s="3">
        <v>2508</v>
      </c>
      <c r="L2509" s="1" t="s">
        <v>5726</v>
      </c>
      <c r="M2509" s="1" t="s">
        <v>5727</v>
      </c>
      <c r="N2509" s="1" t="s">
        <v>5767</v>
      </c>
      <c r="P2509" s="1" t="s">
        <v>5773</v>
      </c>
      <c r="Q2509" s="3">
        <v>0</v>
      </c>
      <c r="R2509" s="22" t="s">
        <v>2767</v>
      </c>
      <c r="S2509" s="22" t="s">
        <v>5097</v>
      </c>
      <c r="T2509" s="51">
        <v>32</v>
      </c>
      <c r="U2509" s="3" t="s">
        <v>5730</v>
      </c>
      <c r="V2509" s="41" t="str">
        <f>HYPERLINK("http://ictvonline.org/taxonomy/p/taxonomy-history?taxnode_id=20185706","ICTVonline=20185706")</f>
        <v>ICTVonline=20185706</v>
      </c>
    </row>
    <row r="2510" spans="1:22">
      <c r="A2510" s="3">
        <v>2509</v>
      </c>
      <c r="L2510" s="1" t="s">
        <v>5726</v>
      </c>
      <c r="M2510" s="1" t="s">
        <v>5727</v>
      </c>
      <c r="P2510" s="1" t="s">
        <v>5774</v>
      </c>
      <c r="Q2510" s="3">
        <v>0</v>
      </c>
      <c r="R2510" s="22" t="s">
        <v>2767</v>
      </c>
      <c r="S2510" s="22" t="s">
        <v>5097</v>
      </c>
      <c r="T2510" s="51">
        <v>32</v>
      </c>
      <c r="U2510" s="3" t="s">
        <v>5730</v>
      </c>
      <c r="V2510" s="41" t="str">
        <f>HYPERLINK("http://ictvonline.org/taxonomy/p/taxonomy-history?taxnode_id=20185708","ICTVonline=20185708")</f>
        <v>ICTVonline=20185708</v>
      </c>
    </row>
    <row r="2511" spans="1:22">
      <c r="A2511" s="3">
        <v>2510</v>
      </c>
      <c r="L2511" s="1" t="s">
        <v>5726</v>
      </c>
      <c r="M2511" s="1" t="s">
        <v>5727</v>
      </c>
      <c r="P2511" s="1" t="s">
        <v>5775</v>
      </c>
      <c r="Q2511" s="3">
        <v>0</v>
      </c>
      <c r="R2511" s="22" t="s">
        <v>2767</v>
      </c>
      <c r="S2511" s="22" t="s">
        <v>5097</v>
      </c>
      <c r="T2511" s="51">
        <v>32</v>
      </c>
      <c r="U2511" s="3" t="s">
        <v>5730</v>
      </c>
      <c r="V2511" s="41" t="str">
        <f>HYPERLINK("http://ictvonline.org/taxonomy/p/taxonomy-history?taxnode_id=20185709","ICTVonline=20185709")</f>
        <v>ICTVonline=20185709</v>
      </c>
    </row>
    <row r="2512" spans="1:22">
      <c r="A2512" s="3">
        <v>2511</v>
      </c>
      <c r="L2512" s="1" t="s">
        <v>5726</v>
      </c>
      <c r="M2512" s="1" t="s">
        <v>5776</v>
      </c>
      <c r="N2512" s="1" t="s">
        <v>5777</v>
      </c>
      <c r="P2512" s="1" t="s">
        <v>5778</v>
      </c>
      <c r="Q2512" s="3">
        <v>1</v>
      </c>
      <c r="R2512" s="22" t="s">
        <v>2767</v>
      </c>
      <c r="S2512" s="22" t="s">
        <v>5097</v>
      </c>
      <c r="T2512" s="51">
        <v>32</v>
      </c>
      <c r="U2512" s="3" t="s">
        <v>5730</v>
      </c>
      <c r="V2512" s="41" t="str">
        <f>HYPERLINK("http://ictvonline.org/taxonomy/p/taxonomy-history?taxnode_id=20185712","ICTVonline=20185712")</f>
        <v>ICTVonline=20185712</v>
      </c>
    </row>
    <row r="2513" spans="1:22">
      <c r="A2513" s="3">
        <v>2512</v>
      </c>
      <c r="L2513" s="1" t="s">
        <v>5726</v>
      </c>
      <c r="M2513" s="1" t="s">
        <v>5776</v>
      </c>
      <c r="N2513" s="1" t="s">
        <v>5777</v>
      </c>
      <c r="P2513" s="1" t="s">
        <v>6697</v>
      </c>
      <c r="Q2513" s="3">
        <v>0</v>
      </c>
      <c r="R2513" s="22" t="s">
        <v>2767</v>
      </c>
      <c r="S2513" s="22" t="s">
        <v>5097</v>
      </c>
      <c r="T2513" s="51">
        <v>32</v>
      </c>
      <c r="U2513" s="3" t="s">
        <v>5730</v>
      </c>
      <c r="V2513" s="41" t="str">
        <f>HYPERLINK("http://ictvonline.org/taxonomy/p/taxonomy-history?taxnode_id=20185711","ICTVonline=20185711")</f>
        <v>ICTVonline=20185711</v>
      </c>
    </row>
    <row r="2514" spans="1:22">
      <c r="A2514" s="3">
        <v>2513</v>
      </c>
      <c r="L2514" s="1" t="s">
        <v>5726</v>
      </c>
      <c r="M2514" s="1" t="s">
        <v>5776</v>
      </c>
      <c r="N2514" s="1" t="s">
        <v>5777</v>
      </c>
      <c r="P2514" s="1" t="s">
        <v>5779</v>
      </c>
      <c r="Q2514" s="3">
        <v>0</v>
      </c>
      <c r="R2514" s="22" t="s">
        <v>2767</v>
      </c>
      <c r="S2514" s="22" t="s">
        <v>5097</v>
      </c>
      <c r="T2514" s="51">
        <v>32</v>
      </c>
      <c r="U2514" s="3" t="s">
        <v>5730</v>
      </c>
      <c r="V2514" s="41" t="str">
        <f>HYPERLINK("http://ictvonline.org/taxonomy/p/taxonomy-history?taxnode_id=20185713","ICTVonline=20185713")</f>
        <v>ICTVonline=20185713</v>
      </c>
    </row>
    <row r="2515" spans="1:22">
      <c r="A2515" s="3">
        <v>2514</v>
      </c>
      <c r="L2515" s="1" t="s">
        <v>5726</v>
      </c>
      <c r="M2515" s="1" t="s">
        <v>5776</v>
      </c>
      <c r="N2515" s="1" t="s">
        <v>5777</v>
      </c>
      <c r="P2515" s="1" t="s">
        <v>5780</v>
      </c>
      <c r="Q2515" s="3">
        <v>0</v>
      </c>
      <c r="R2515" s="22" t="s">
        <v>2767</v>
      </c>
      <c r="S2515" s="22" t="s">
        <v>5097</v>
      </c>
      <c r="T2515" s="51">
        <v>32</v>
      </c>
      <c r="U2515" s="3" t="s">
        <v>5730</v>
      </c>
      <c r="V2515" s="41" t="str">
        <f>HYPERLINK("http://ictvonline.org/taxonomy/p/taxonomy-history?taxnode_id=20185714","ICTVonline=20185714")</f>
        <v>ICTVonline=20185714</v>
      </c>
    </row>
    <row r="2516" spans="1:22">
      <c r="A2516" s="3">
        <v>2515</v>
      </c>
      <c r="L2516" s="1" t="s">
        <v>5726</v>
      </c>
      <c r="M2516" s="1" t="s">
        <v>5776</v>
      </c>
      <c r="N2516" s="1" t="s">
        <v>5781</v>
      </c>
      <c r="P2516" s="1" t="s">
        <v>6698</v>
      </c>
      <c r="Q2516" s="3">
        <v>0</v>
      </c>
      <c r="R2516" s="22" t="s">
        <v>2767</v>
      </c>
      <c r="S2516" s="22" t="s">
        <v>5097</v>
      </c>
      <c r="T2516" s="51">
        <v>32</v>
      </c>
      <c r="U2516" s="3" t="s">
        <v>5730</v>
      </c>
      <c r="V2516" s="41" t="str">
        <f>HYPERLINK("http://ictvonline.org/taxonomy/p/taxonomy-history?taxnode_id=20185716","ICTVonline=20185716")</f>
        <v>ICTVonline=20185716</v>
      </c>
    </row>
    <row r="2517" spans="1:22">
      <c r="A2517" s="3">
        <v>2516</v>
      </c>
      <c r="L2517" s="1" t="s">
        <v>5726</v>
      </c>
      <c r="M2517" s="1" t="s">
        <v>5776</v>
      </c>
      <c r="N2517" s="1" t="s">
        <v>5781</v>
      </c>
      <c r="P2517" s="1" t="s">
        <v>6699</v>
      </c>
      <c r="Q2517" s="3">
        <v>0</v>
      </c>
      <c r="R2517" s="22" t="s">
        <v>2767</v>
      </c>
      <c r="S2517" s="22" t="s">
        <v>5097</v>
      </c>
      <c r="T2517" s="51">
        <v>32</v>
      </c>
      <c r="U2517" s="3" t="s">
        <v>5730</v>
      </c>
      <c r="V2517" s="41" t="str">
        <f>HYPERLINK("http://ictvonline.org/taxonomy/p/taxonomy-history?taxnode_id=20185717","ICTVonline=20185717")</f>
        <v>ICTVonline=20185717</v>
      </c>
    </row>
    <row r="2518" spans="1:22">
      <c r="A2518" s="3">
        <v>2517</v>
      </c>
      <c r="L2518" s="1" t="s">
        <v>5726</v>
      </c>
      <c r="M2518" s="1" t="s">
        <v>5776</v>
      </c>
      <c r="N2518" s="1" t="s">
        <v>5781</v>
      </c>
      <c r="P2518" s="1" t="s">
        <v>6700</v>
      </c>
      <c r="Q2518" s="3">
        <v>0</v>
      </c>
      <c r="R2518" s="22" t="s">
        <v>2767</v>
      </c>
      <c r="S2518" s="22" t="s">
        <v>5097</v>
      </c>
      <c r="T2518" s="51">
        <v>32</v>
      </c>
      <c r="U2518" s="3" t="s">
        <v>5730</v>
      </c>
      <c r="V2518" s="41" t="str">
        <f>HYPERLINK("http://ictvonline.org/taxonomy/p/taxonomy-history?taxnode_id=20185718","ICTVonline=20185718")</f>
        <v>ICTVonline=20185718</v>
      </c>
    </row>
    <row r="2519" spans="1:22">
      <c r="A2519" s="3">
        <v>2518</v>
      </c>
      <c r="L2519" s="1" t="s">
        <v>5726</v>
      </c>
      <c r="M2519" s="1" t="s">
        <v>5776</v>
      </c>
      <c r="N2519" s="1" t="s">
        <v>5781</v>
      </c>
      <c r="P2519" s="1" t="s">
        <v>6701</v>
      </c>
      <c r="Q2519" s="3">
        <v>0</v>
      </c>
      <c r="R2519" s="22" t="s">
        <v>2767</v>
      </c>
      <c r="S2519" s="22" t="s">
        <v>5097</v>
      </c>
      <c r="T2519" s="51">
        <v>32</v>
      </c>
      <c r="U2519" s="3" t="s">
        <v>5730</v>
      </c>
      <c r="V2519" s="41" t="str">
        <f>HYPERLINK("http://ictvonline.org/taxonomy/p/taxonomy-history?taxnode_id=20185719","ICTVonline=20185719")</f>
        <v>ICTVonline=20185719</v>
      </c>
    </row>
    <row r="2520" spans="1:22">
      <c r="A2520" s="3">
        <v>2519</v>
      </c>
      <c r="L2520" s="1" t="s">
        <v>5726</v>
      </c>
      <c r="M2520" s="1" t="s">
        <v>5776</v>
      </c>
      <c r="N2520" s="1" t="s">
        <v>5781</v>
      </c>
      <c r="P2520" s="1" t="s">
        <v>5782</v>
      </c>
      <c r="Q2520" s="3">
        <v>1</v>
      </c>
      <c r="R2520" s="22" t="s">
        <v>2767</v>
      </c>
      <c r="S2520" s="22" t="s">
        <v>5097</v>
      </c>
      <c r="T2520" s="51">
        <v>32</v>
      </c>
      <c r="U2520" s="3" t="s">
        <v>5730</v>
      </c>
      <c r="V2520" s="41" t="str">
        <f>HYPERLINK("http://ictvonline.org/taxonomy/p/taxonomy-history?taxnode_id=20185720","ICTVonline=20185720")</f>
        <v>ICTVonline=20185720</v>
      </c>
    </row>
    <row r="2521" spans="1:22">
      <c r="A2521" s="3">
        <v>2520</v>
      </c>
      <c r="L2521" s="1" t="s">
        <v>5726</v>
      </c>
      <c r="M2521" s="1" t="s">
        <v>5776</v>
      </c>
      <c r="N2521" s="1" t="s">
        <v>5783</v>
      </c>
      <c r="P2521" s="1" t="s">
        <v>5784</v>
      </c>
      <c r="Q2521" s="3">
        <v>1</v>
      </c>
      <c r="R2521" s="22" t="s">
        <v>2767</v>
      </c>
      <c r="S2521" s="22" t="s">
        <v>5097</v>
      </c>
      <c r="T2521" s="51">
        <v>32</v>
      </c>
      <c r="U2521" s="3" t="s">
        <v>5730</v>
      </c>
      <c r="V2521" s="41" t="str">
        <f>HYPERLINK("http://ictvonline.org/taxonomy/p/taxonomy-history?taxnode_id=20185722","ICTVonline=20185722")</f>
        <v>ICTVonline=20185722</v>
      </c>
    </row>
    <row r="2522" spans="1:22">
      <c r="A2522" s="3">
        <v>2521</v>
      </c>
      <c r="L2522" s="1" t="s">
        <v>5726</v>
      </c>
      <c r="M2522" s="1" t="s">
        <v>5776</v>
      </c>
      <c r="N2522" s="1" t="s">
        <v>5785</v>
      </c>
      <c r="P2522" s="1" t="s">
        <v>6702</v>
      </c>
      <c r="Q2522" s="3">
        <v>1</v>
      </c>
      <c r="R2522" s="22" t="s">
        <v>2767</v>
      </c>
      <c r="S2522" s="22" t="s">
        <v>5097</v>
      </c>
      <c r="T2522" s="51">
        <v>32</v>
      </c>
      <c r="U2522" s="3" t="s">
        <v>5730</v>
      </c>
      <c r="V2522" s="41" t="str">
        <f>HYPERLINK("http://ictvonline.org/taxonomy/p/taxonomy-history?taxnode_id=20185724","ICTVonline=20185724")</f>
        <v>ICTVonline=20185724</v>
      </c>
    </row>
    <row r="2523" spans="1:22">
      <c r="A2523" s="3">
        <v>2522</v>
      </c>
      <c r="L2523" s="1" t="s">
        <v>5726</v>
      </c>
      <c r="M2523" s="1" t="s">
        <v>5776</v>
      </c>
      <c r="N2523" s="1" t="s">
        <v>5786</v>
      </c>
      <c r="P2523" s="1" t="s">
        <v>5787</v>
      </c>
      <c r="Q2523" s="3">
        <v>0</v>
      </c>
      <c r="R2523" s="22" t="s">
        <v>2767</v>
      </c>
      <c r="S2523" s="22" t="s">
        <v>5097</v>
      </c>
      <c r="T2523" s="51">
        <v>32</v>
      </c>
      <c r="U2523" s="3" t="s">
        <v>5730</v>
      </c>
      <c r="V2523" s="41" t="str">
        <f>HYPERLINK("http://ictvonline.org/taxonomy/p/taxonomy-history?taxnode_id=20185726","ICTVonline=20185726")</f>
        <v>ICTVonline=20185726</v>
      </c>
    </row>
    <row r="2524" spans="1:22">
      <c r="A2524" s="3">
        <v>2523</v>
      </c>
      <c r="L2524" s="1" t="s">
        <v>5726</v>
      </c>
      <c r="M2524" s="1" t="s">
        <v>5776</v>
      </c>
      <c r="N2524" s="1" t="s">
        <v>5786</v>
      </c>
      <c r="P2524" s="1" t="s">
        <v>6703</v>
      </c>
      <c r="Q2524" s="3">
        <v>1</v>
      </c>
      <c r="R2524" s="22" t="s">
        <v>2767</v>
      </c>
      <c r="S2524" s="22" t="s">
        <v>5097</v>
      </c>
      <c r="T2524" s="51">
        <v>32</v>
      </c>
      <c r="U2524" s="3" t="s">
        <v>5730</v>
      </c>
      <c r="V2524" s="41" t="str">
        <f>HYPERLINK("http://ictvonline.org/taxonomy/p/taxonomy-history?taxnode_id=20185727","ICTVonline=20185727")</f>
        <v>ICTVonline=20185727</v>
      </c>
    </row>
    <row r="2525" spans="1:22">
      <c r="A2525" s="3">
        <v>2524</v>
      </c>
      <c r="L2525" s="1" t="s">
        <v>5726</v>
      </c>
      <c r="M2525" s="1" t="s">
        <v>5776</v>
      </c>
      <c r="N2525" s="1" t="s">
        <v>5786</v>
      </c>
      <c r="P2525" s="1" t="s">
        <v>6704</v>
      </c>
      <c r="Q2525" s="3">
        <v>0</v>
      </c>
      <c r="R2525" s="22" t="s">
        <v>2767</v>
      </c>
      <c r="S2525" s="22" t="s">
        <v>5097</v>
      </c>
      <c r="T2525" s="51">
        <v>32</v>
      </c>
      <c r="U2525" s="3" t="s">
        <v>5730</v>
      </c>
      <c r="V2525" s="41" t="str">
        <f>HYPERLINK("http://ictvonline.org/taxonomy/p/taxonomy-history?taxnode_id=20185728","ICTVonline=20185728")</f>
        <v>ICTVonline=20185728</v>
      </c>
    </row>
    <row r="2526" spans="1:22">
      <c r="A2526" s="3">
        <v>2525</v>
      </c>
      <c r="L2526" s="1" t="s">
        <v>5726</v>
      </c>
      <c r="M2526" s="1" t="s">
        <v>5776</v>
      </c>
      <c r="N2526" s="1" t="s">
        <v>5786</v>
      </c>
      <c r="P2526" s="1" t="s">
        <v>5788</v>
      </c>
      <c r="Q2526" s="3">
        <v>0</v>
      </c>
      <c r="R2526" s="22" t="s">
        <v>2767</v>
      </c>
      <c r="S2526" s="22" t="s">
        <v>5097</v>
      </c>
      <c r="T2526" s="51">
        <v>32</v>
      </c>
      <c r="U2526" s="3" t="s">
        <v>5730</v>
      </c>
      <c r="V2526" s="41" t="str">
        <f>HYPERLINK("http://ictvonline.org/taxonomy/p/taxonomy-history?taxnode_id=20185729","ICTVonline=20185729")</f>
        <v>ICTVonline=20185729</v>
      </c>
    </row>
    <row r="2527" spans="1:22">
      <c r="A2527" s="3">
        <v>2526</v>
      </c>
      <c r="L2527" s="1" t="s">
        <v>5726</v>
      </c>
      <c r="M2527" s="1" t="s">
        <v>5776</v>
      </c>
      <c r="N2527" s="1" t="s">
        <v>5789</v>
      </c>
      <c r="P2527" s="1" t="s">
        <v>5790</v>
      </c>
      <c r="Q2527" s="3">
        <v>1</v>
      </c>
      <c r="R2527" s="22" t="s">
        <v>2767</v>
      </c>
      <c r="S2527" s="22" t="s">
        <v>5097</v>
      </c>
      <c r="T2527" s="51">
        <v>32</v>
      </c>
      <c r="U2527" s="3" t="s">
        <v>5730</v>
      </c>
      <c r="V2527" s="41" t="str">
        <f>HYPERLINK("http://ictvonline.org/taxonomy/p/taxonomy-history?taxnode_id=20185731","ICTVonline=20185731")</f>
        <v>ICTVonline=20185731</v>
      </c>
    </row>
    <row r="2528" spans="1:22">
      <c r="A2528" s="3">
        <v>2527</v>
      </c>
      <c r="L2528" s="1" t="s">
        <v>5726</v>
      </c>
      <c r="M2528" s="1" t="s">
        <v>5776</v>
      </c>
      <c r="N2528" s="1" t="s">
        <v>5791</v>
      </c>
      <c r="P2528" s="1" t="s">
        <v>5792</v>
      </c>
      <c r="Q2528" s="3">
        <v>0</v>
      </c>
      <c r="R2528" s="22" t="s">
        <v>2767</v>
      </c>
      <c r="S2528" s="22" t="s">
        <v>5097</v>
      </c>
      <c r="T2528" s="51">
        <v>32</v>
      </c>
      <c r="U2528" s="3" t="s">
        <v>5730</v>
      </c>
      <c r="V2528" s="41" t="str">
        <f>HYPERLINK("http://ictvonline.org/taxonomy/p/taxonomy-history?taxnode_id=20185733","ICTVonline=20185733")</f>
        <v>ICTVonline=20185733</v>
      </c>
    </row>
    <row r="2529" spans="1:22">
      <c r="A2529" s="3">
        <v>2528</v>
      </c>
      <c r="L2529" s="1" t="s">
        <v>5726</v>
      </c>
      <c r="M2529" s="1" t="s">
        <v>5776</v>
      </c>
      <c r="N2529" s="1" t="s">
        <v>5791</v>
      </c>
      <c r="P2529" s="1" t="s">
        <v>5793</v>
      </c>
      <c r="Q2529" s="3">
        <v>0</v>
      </c>
      <c r="R2529" s="22" t="s">
        <v>2767</v>
      </c>
      <c r="S2529" s="22" t="s">
        <v>5097</v>
      </c>
      <c r="T2529" s="51">
        <v>32</v>
      </c>
      <c r="U2529" s="3" t="s">
        <v>5730</v>
      </c>
      <c r="V2529" s="41" t="str">
        <f>HYPERLINK("http://ictvonline.org/taxonomy/p/taxonomy-history?taxnode_id=20185734","ICTVonline=20185734")</f>
        <v>ICTVonline=20185734</v>
      </c>
    </row>
    <row r="2530" spans="1:22">
      <c r="A2530" s="3">
        <v>2529</v>
      </c>
      <c r="L2530" s="1" t="s">
        <v>5726</v>
      </c>
      <c r="M2530" s="1" t="s">
        <v>5776</v>
      </c>
      <c r="N2530" s="1" t="s">
        <v>5791</v>
      </c>
      <c r="P2530" s="1" t="s">
        <v>5794</v>
      </c>
      <c r="Q2530" s="3">
        <v>1</v>
      </c>
      <c r="R2530" s="22" t="s">
        <v>2767</v>
      </c>
      <c r="S2530" s="22" t="s">
        <v>5097</v>
      </c>
      <c r="T2530" s="51">
        <v>32</v>
      </c>
      <c r="U2530" s="3" t="s">
        <v>5730</v>
      </c>
      <c r="V2530" s="41" t="str">
        <f>HYPERLINK("http://ictvonline.org/taxonomy/p/taxonomy-history?taxnode_id=20185735","ICTVonline=20185735")</f>
        <v>ICTVonline=20185735</v>
      </c>
    </row>
    <row r="2531" spans="1:22">
      <c r="A2531" s="3">
        <v>2530</v>
      </c>
      <c r="L2531" s="1" t="s">
        <v>5726</v>
      </c>
      <c r="P2531" s="1" t="s">
        <v>5795</v>
      </c>
      <c r="Q2531" s="3">
        <v>0</v>
      </c>
      <c r="R2531" s="22" t="s">
        <v>2767</v>
      </c>
      <c r="S2531" s="22" t="s">
        <v>5097</v>
      </c>
      <c r="T2531" s="51">
        <v>32</v>
      </c>
      <c r="U2531" s="3" t="s">
        <v>5730</v>
      </c>
      <c r="V2531" s="41" t="str">
        <f>HYPERLINK("http://ictvonline.org/taxonomy/p/taxonomy-history?taxnode_id=20185738","ICTVonline=20185738")</f>
        <v>ICTVonline=20185738</v>
      </c>
    </row>
    <row r="2532" spans="1:22">
      <c r="A2532" s="3">
        <v>2531</v>
      </c>
      <c r="L2532" s="1" t="s">
        <v>18</v>
      </c>
      <c r="N2532" s="1" t="s">
        <v>1887</v>
      </c>
      <c r="P2532" s="1" t="s">
        <v>1888</v>
      </c>
      <c r="Q2532" s="3">
        <v>0</v>
      </c>
      <c r="R2532" s="22" t="s">
        <v>2766</v>
      </c>
      <c r="S2532" s="22" t="s">
        <v>5099</v>
      </c>
      <c r="T2532" s="51">
        <v>26</v>
      </c>
      <c r="U2532" s="3" t="s">
        <v>5796</v>
      </c>
      <c r="V2532" s="41" t="str">
        <f>HYPERLINK("http://ictvonline.org/taxonomy/p/taxonomy-history?taxnode_id=20182459","ICTVonline=20182459")</f>
        <v>ICTVonline=20182459</v>
      </c>
    </row>
    <row r="2533" spans="1:22">
      <c r="A2533" s="3">
        <v>2532</v>
      </c>
      <c r="L2533" s="1" t="s">
        <v>18</v>
      </c>
      <c r="N2533" s="1" t="s">
        <v>1887</v>
      </c>
      <c r="P2533" s="1" t="s">
        <v>1889</v>
      </c>
      <c r="Q2533" s="3">
        <v>0</v>
      </c>
      <c r="R2533" s="22" t="s">
        <v>2766</v>
      </c>
      <c r="S2533" s="22" t="s">
        <v>5099</v>
      </c>
      <c r="T2533" s="51">
        <v>26</v>
      </c>
      <c r="U2533" s="3" t="s">
        <v>5796</v>
      </c>
      <c r="V2533" s="41" t="str">
        <f>HYPERLINK("http://ictvonline.org/taxonomy/p/taxonomy-history?taxnode_id=20182460","ICTVonline=20182460")</f>
        <v>ICTVonline=20182460</v>
      </c>
    </row>
    <row r="2534" spans="1:22">
      <c r="A2534" s="3">
        <v>2533</v>
      </c>
      <c r="L2534" s="1" t="s">
        <v>18</v>
      </c>
      <c r="N2534" s="1" t="s">
        <v>1887</v>
      </c>
      <c r="P2534" s="1" t="s">
        <v>1866</v>
      </c>
      <c r="Q2534" s="3">
        <v>0</v>
      </c>
      <c r="R2534" s="22" t="s">
        <v>2766</v>
      </c>
      <c r="S2534" s="22" t="s">
        <v>5099</v>
      </c>
      <c r="T2534" s="51">
        <v>26</v>
      </c>
      <c r="U2534" s="3" t="s">
        <v>5796</v>
      </c>
      <c r="V2534" s="41" t="str">
        <f>HYPERLINK("http://ictvonline.org/taxonomy/p/taxonomy-history?taxnode_id=20182461","ICTVonline=20182461")</f>
        <v>ICTVonline=20182461</v>
      </c>
    </row>
    <row r="2535" spans="1:22">
      <c r="A2535" s="3">
        <v>2534</v>
      </c>
      <c r="L2535" s="1" t="s">
        <v>18</v>
      </c>
      <c r="N2535" s="1" t="s">
        <v>1887</v>
      </c>
      <c r="P2535" s="1" t="s">
        <v>1868</v>
      </c>
      <c r="Q2535" s="3">
        <v>1</v>
      </c>
      <c r="R2535" s="22" t="s">
        <v>2766</v>
      </c>
      <c r="S2535" s="22" t="s">
        <v>5099</v>
      </c>
      <c r="T2535" s="51">
        <v>26</v>
      </c>
      <c r="U2535" s="3" t="s">
        <v>5796</v>
      </c>
      <c r="V2535" s="41" t="str">
        <f>HYPERLINK("http://ictvonline.org/taxonomy/p/taxonomy-history?taxnode_id=20182462","ICTVonline=20182462")</f>
        <v>ICTVonline=20182462</v>
      </c>
    </row>
    <row r="2536" spans="1:22">
      <c r="A2536" s="3">
        <v>2535</v>
      </c>
      <c r="L2536" s="1" t="s">
        <v>18</v>
      </c>
      <c r="N2536" s="1" t="s">
        <v>1887</v>
      </c>
      <c r="P2536" s="1" t="s">
        <v>1579</v>
      </c>
      <c r="Q2536" s="3">
        <v>0</v>
      </c>
      <c r="R2536" s="22" t="s">
        <v>2766</v>
      </c>
      <c r="S2536" s="22" t="s">
        <v>5099</v>
      </c>
      <c r="T2536" s="51">
        <v>26</v>
      </c>
      <c r="U2536" s="3" t="s">
        <v>5796</v>
      </c>
      <c r="V2536" s="41" t="str">
        <f>HYPERLINK("http://ictvonline.org/taxonomy/p/taxonomy-history?taxnode_id=20182463","ICTVonline=20182463")</f>
        <v>ICTVonline=20182463</v>
      </c>
    </row>
    <row r="2537" spans="1:22">
      <c r="A2537" s="3">
        <v>2536</v>
      </c>
      <c r="L2537" s="1" t="s">
        <v>18</v>
      </c>
      <c r="N2537" s="1" t="s">
        <v>1887</v>
      </c>
      <c r="P2537" s="1" t="s">
        <v>1870</v>
      </c>
      <c r="Q2537" s="3">
        <v>0</v>
      </c>
      <c r="R2537" s="22" t="s">
        <v>2766</v>
      </c>
      <c r="S2537" s="22" t="s">
        <v>5099</v>
      </c>
      <c r="T2537" s="51">
        <v>26</v>
      </c>
      <c r="U2537" s="3" t="s">
        <v>5796</v>
      </c>
      <c r="V2537" s="41" t="str">
        <f>HYPERLINK("http://ictvonline.org/taxonomy/p/taxonomy-history?taxnode_id=20182464","ICTVonline=20182464")</f>
        <v>ICTVonline=20182464</v>
      </c>
    </row>
    <row r="2538" spans="1:22">
      <c r="A2538" s="3">
        <v>2537</v>
      </c>
      <c r="L2538" s="1" t="s">
        <v>18</v>
      </c>
      <c r="N2538" s="1" t="s">
        <v>1887</v>
      </c>
      <c r="P2538" s="1" t="s">
        <v>1872</v>
      </c>
      <c r="Q2538" s="3">
        <v>0</v>
      </c>
      <c r="R2538" s="22" t="s">
        <v>2766</v>
      </c>
      <c r="S2538" s="22" t="s">
        <v>5099</v>
      </c>
      <c r="T2538" s="51">
        <v>26</v>
      </c>
      <c r="U2538" s="3" t="s">
        <v>5796</v>
      </c>
      <c r="V2538" s="41" t="str">
        <f>HYPERLINK("http://ictvonline.org/taxonomy/p/taxonomy-history?taxnode_id=20182465","ICTVonline=20182465")</f>
        <v>ICTVonline=20182465</v>
      </c>
    </row>
    <row r="2539" spans="1:22">
      <c r="A2539" s="3">
        <v>2538</v>
      </c>
      <c r="L2539" s="1" t="s">
        <v>18</v>
      </c>
      <c r="N2539" s="1" t="s">
        <v>844</v>
      </c>
      <c r="P2539" s="1" t="s">
        <v>845</v>
      </c>
      <c r="Q2539" s="3">
        <v>0</v>
      </c>
      <c r="R2539" s="22" t="s">
        <v>2766</v>
      </c>
      <c r="S2539" s="22" t="s">
        <v>5099</v>
      </c>
      <c r="T2539" s="51">
        <v>26</v>
      </c>
      <c r="U2539" s="3" t="s">
        <v>5796</v>
      </c>
      <c r="V2539" s="41" t="str">
        <f>HYPERLINK("http://ictvonline.org/taxonomy/p/taxonomy-history?taxnode_id=20182467","ICTVonline=20182467")</f>
        <v>ICTVonline=20182467</v>
      </c>
    </row>
    <row r="2540" spans="1:22">
      <c r="A2540" s="3">
        <v>2539</v>
      </c>
      <c r="L2540" s="1" t="s">
        <v>18</v>
      </c>
      <c r="N2540" s="1" t="s">
        <v>844</v>
      </c>
      <c r="P2540" s="1" t="s">
        <v>846</v>
      </c>
      <c r="Q2540" s="3">
        <v>0</v>
      </c>
      <c r="R2540" s="22" t="s">
        <v>2766</v>
      </c>
      <c r="S2540" s="22" t="s">
        <v>5099</v>
      </c>
      <c r="T2540" s="51">
        <v>26</v>
      </c>
      <c r="U2540" s="3" t="s">
        <v>5796</v>
      </c>
      <c r="V2540" s="41" t="str">
        <f>HYPERLINK("http://ictvonline.org/taxonomy/p/taxonomy-history?taxnode_id=20182468","ICTVonline=20182468")</f>
        <v>ICTVonline=20182468</v>
      </c>
    </row>
    <row r="2541" spans="1:22">
      <c r="A2541" s="3">
        <v>2540</v>
      </c>
      <c r="L2541" s="1" t="s">
        <v>18</v>
      </c>
      <c r="N2541" s="1" t="s">
        <v>844</v>
      </c>
      <c r="P2541" s="1" t="s">
        <v>847</v>
      </c>
      <c r="Q2541" s="3">
        <v>1</v>
      </c>
      <c r="R2541" s="22" t="s">
        <v>2766</v>
      </c>
      <c r="S2541" s="22" t="s">
        <v>5099</v>
      </c>
      <c r="T2541" s="51">
        <v>26</v>
      </c>
      <c r="U2541" s="3" t="s">
        <v>5796</v>
      </c>
      <c r="V2541" s="41" t="str">
        <f>HYPERLINK("http://ictvonline.org/taxonomy/p/taxonomy-history?taxnode_id=20182469","ICTVonline=20182469")</f>
        <v>ICTVonline=20182469</v>
      </c>
    </row>
    <row r="2542" spans="1:22">
      <c r="A2542" s="3">
        <v>2541</v>
      </c>
      <c r="L2542" s="1" t="s">
        <v>19</v>
      </c>
      <c r="N2542" s="1" t="s">
        <v>20</v>
      </c>
      <c r="P2542" s="1" t="s">
        <v>21</v>
      </c>
      <c r="Q2542" s="3">
        <v>1</v>
      </c>
      <c r="R2542" s="22" t="s">
        <v>2766</v>
      </c>
      <c r="S2542" s="22" t="s">
        <v>5102</v>
      </c>
      <c r="T2542" s="51">
        <v>26</v>
      </c>
      <c r="U2542" s="3" t="s">
        <v>5797</v>
      </c>
      <c r="V2542" s="41" t="str">
        <f>HYPERLINK("http://ictvonline.org/taxonomy/p/taxonomy-history?taxnode_id=20182473","ICTVonline=20182473")</f>
        <v>ICTVonline=20182473</v>
      </c>
    </row>
    <row r="2543" spans="1:22">
      <c r="A2543" s="3">
        <v>2542</v>
      </c>
      <c r="L2543" s="1" t="s">
        <v>2385</v>
      </c>
      <c r="N2543" s="1" t="s">
        <v>2386</v>
      </c>
      <c r="P2543" s="1" t="s">
        <v>2387</v>
      </c>
      <c r="Q2543" s="3">
        <v>0</v>
      </c>
      <c r="R2543" s="22" t="s">
        <v>2768</v>
      </c>
      <c r="S2543" s="22" t="s">
        <v>5097</v>
      </c>
      <c r="T2543" s="51">
        <v>28</v>
      </c>
      <c r="U2543" s="3" t="s">
        <v>5798</v>
      </c>
      <c r="V2543" s="41" t="str">
        <f>HYPERLINK("http://ictvonline.org/taxonomy/p/taxonomy-history?taxnode_id=20182477","ICTVonline=20182477")</f>
        <v>ICTVonline=20182477</v>
      </c>
    </row>
    <row r="2544" spans="1:22">
      <c r="A2544" s="3">
        <v>2543</v>
      </c>
      <c r="L2544" s="1" t="s">
        <v>2385</v>
      </c>
      <c r="N2544" s="1" t="s">
        <v>2386</v>
      </c>
      <c r="P2544" s="1" t="s">
        <v>2388</v>
      </c>
      <c r="Q2544" s="3">
        <v>0</v>
      </c>
      <c r="R2544" s="22" t="s">
        <v>2768</v>
      </c>
      <c r="S2544" s="22" t="s">
        <v>5097</v>
      </c>
      <c r="T2544" s="51">
        <v>28</v>
      </c>
      <c r="U2544" s="3" t="s">
        <v>5798</v>
      </c>
      <c r="V2544" s="41" t="str">
        <f>HYPERLINK("http://ictvonline.org/taxonomy/p/taxonomy-history?taxnode_id=20182478","ICTVonline=20182478")</f>
        <v>ICTVonline=20182478</v>
      </c>
    </row>
    <row r="2545" spans="1:22">
      <c r="A2545" s="3">
        <v>2544</v>
      </c>
      <c r="L2545" s="1" t="s">
        <v>2385</v>
      </c>
      <c r="N2545" s="1" t="s">
        <v>2386</v>
      </c>
      <c r="P2545" s="1" t="s">
        <v>2389</v>
      </c>
      <c r="Q2545" s="3">
        <v>1</v>
      </c>
      <c r="R2545" s="22" t="s">
        <v>2768</v>
      </c>
      <c r="S2545" s="22" t="s">
        <v>5097</v>
      </c>
      <c r="T2545" s="51">
        <v>28</v>
      </c>
      <c r="U2545" s="3" t="s">
        <v>5798</v>
      </c>
      <c r="V2545" s="41" t="str">
        <f>HYPERLINK("http://ictvonline.org/taxonomy/p/taxonomy-history?taxnode_id=20182479","ICTVonline=20182479")</f>
        <v>ICTVonline=20182479</v>
      </c>
    </row>
    <row r="2546" spans="1:22">
      <c r="A2546" s="3">
        <v>2545</v>
      </c>
      <c r="L2546" s="1" t="s">
        <v>2385</v>
      </c>
      <c r="N2546" s="1" t="s">
        <v>2386</v>
      </c>
      <c r="P2546" s="1" t="s">
        <v>2390</v>
      </c>
      <c r="Q2546" s="3">
        <v>0</v>
      </c>
      <c r="R2546" s="22" t="s">
        <v>2768</v>
      </c>
      <c r="S2546" s="22" t="s">
        <v>5097</v>
      </c>
      <c r="T2546" s="51">
        <v>28</v>
      </c>
      <c r="U2546" s="3" t="s">
        <v>5798</v>
      </c>
      <c r="V2546" s="41" t="str">
        <f>HYPERLINK("http://ictvonline.org/taxonomy/p/taxonomy-history?taxnode_id=20182480","ICTVonline=20182480")</f>
        <v>ICTVonline=20182480</v>
      </c>
    </row>
    <row r="2547" spans="1:22">
      <c r="A2547" s="3">
        <v>2546</v>
      </c>
      <c r="L2547" s="1" t="s">
        <v>1066</v>
      </c>
      <c r="N2547" s="1" t="s">
        <v>1067</v>
      </c>
      <c r="P2547" s="1" t="s">
        <v>1068</v>
      </c>
      <c r="Q2547" s="3">
        <v>1</v>
      </c>
      <c r="R2547" s="22" t="s">
        <v>2764</v>
      </c>
      <c r="S2547" s="22" t="s">
        <v>5102</v>
      </c>
      <c r="T2547" s="51">
        <v>24</v>
      </c>
      <c r="U2547" s="3" t="s">
        <v>5799</v>
      </c>
      <c r="V2547" s="41" t="str">
        <f>HYPERLINK("http://ictvonline.org/taxonomy/p/taxonomy-history?taxnode_id=20182484","ICTVonline=20182484")</f>
        <v>ICTVonline=20182484</v>
      </c>
    </row>
    <row r="2548" spans="1:22">
      <c r="A2548" s="3">
        <v>2547</v>
      </c>
      <c r="L2548" s="1" t="s">
        <v>309</v>
      </c>
      <c r="N2548" s="1" t="s">
        <v>310</v>
      </c>
      <c r="P2548" s="1" t="s">
        <v>1707</v>
      </c>
      <c r="Q2548" s="3">
        <v>1</v>
      </c>
      <c r="R2548" s="22" t="s">
        <v>3791</v>
      </c>
      <c r="S2548" s="22" t="s">
        <v>5102</v>
      </c>
      <c r="T2548" s="51">
        <v>25</v>
      </c>
      <c r="U2548" s="3" t="s">
        <v>5800</v>
      </c>
      <c r="V2548" s="41" t="str">
        <f>HYPERLINK("http://ictvonline.org/taxonomy/p/taxonomy-history?taxnode_id=20182488","ICTVonline=20182488")</f>
        <v>ICTVonline=20182488</v>
      </c>
    </row>
    <row r="2549" spans="1:22">
      <c r="A2549" s="3">
        <v>2548</v>
      </c>
      <c r="L2549" s="1" t="s">
        <v>309</v>
      </c>
      <c r="N2549" s="1" t="s">
        <v>310</v>
      </c>
      <c r="P2549" s="1" t="s">
        <v>1708</v>
      </c>
      <c r="Q2549" s="3">
        <v>0</v>
      </c>
      <c r="R2549" s="22" t="s">
        <v>3791</v>
      </c>
      <c r="S2549" s="22" t="s">
        <v>5097</v>
      </c>
      <c r="T2549" s="51">
        <v>25</v>
      </c>
      <c r="U2549" s="3" t="s">
        <v>5800</v>
      </c>
      <c r="V2549" s="41" t="str">
        <f>HYPERLINK("http://ictvonline.org/taxonomy/p/taxonomy-history?taxnode_id=20182489","ICTVonline=20182489")</f>
        <v>ICTVonline=20182489</v>
      </c>
    </row>
    <row r="2550" spans="1:22">
      <c r="A2550" s="3">
        <v>2549</v>
      </c>
      <c r="L2550" s="1" t="s">
        <v>309</v>
      </c>
      <c r="N2550" s="1" t="s">
        <v>310</v>
      </c>
      <c r="P2550" s="1" t="s">
        <v>1709</v>
      </c>
      <c r="Q2550" s="3">
        <v>0</v>
      </c>
      <c r="R2550" s="22" t="s">
        <v>3791</v>
      </c>
      <c r="S2550" s="22" t="s">
        <v>5097</v>
      </c>
      <c r="T2550" s="51">
        <v>25</v>
      </c>
      <c r="U2550" s="3" t="s">
        <v>5800</v>
      </c>
      <c r="V2550" s="41" t="str">
        <f>HYPERLINK("http://ictvonline.org/taxonomy/p/taxonomy-history?taxnode_id=20182490","ICTVonline=20182490")</f>
        <v>ICTVonline=20182490</v>
      </c>
    </row>
    <row r="2551" spans="1:22">
      <c r="A2551" s="3">
        <v>2550</v>
      </c>
      <c r="L2551" s="1" t="s">
        <v>309</v>
      </c>
      <c r="N2551" s="1" t="s">
        <v>310</v>
      </c>
      <c r="P2551" s="1" t="s">
        <v>314</v>
      </c>
      <c r="Q2551" s="3">
        <v>0</v>
      </c>
      <c r="R2551" s="22" t="s">
        <v>3791</v>
      </c>
      <c r="S2551" s="22" t="s">
        <v>5097</v>
      </c>
      <c r="T2551" s="51">
        <v>25</v>
      </c>
      <c r="U2551" s="3" t="s">
        <v>5800</v>
      </c>
      <c r="V2551" s="41" t="str">
        <f>HYPERLINK("http://ictvonline.org/taxonomy/p/taxonomy-history?taxnode_id=20182491","ICTVonline=20182491")</f>
        <v>ICTVonline=20182491</v>
      </c>
    </row>
    <row r="2552" spans="1:22">
      <c r="A2552" s="3">
        <v>2551</v>
      </c>
      <c r="L2552" s="1" t="s">
        <v>309</v>
      </c>
      <c r="N2552" s="1" t="s">
        <v>310</v>
      </c>
      <c r="P2552" s="1" t="s">
        <v>315</v>
      </c>
      <c r="Q2552" s="3">
        <v>0</v>
      </c>
      <c r="R2552" s="22" t="s">
        <v>3791</v>
      </c>
      <c r="S2552" s="22" t="s">
        <v>5097</v>
      </c>
      <c r="T2552" s="51">
        <v>25</v>
      </c>
      <c r="U2552" s="3" t="s">
        <v>5800</v>
      </c>
      <c r="V2552" s="41" t="str">
        <f>HYPERLINK("http://ictvonline.org/taxonomy/p/taxonomy-history?taxnode_id=20182492","ICTVonline=20182492")</f>
        <v>ICTVonline=20182492</v>
      </c>
    </row>
    <row r="2553" spans="1:22">
      <c r="A2553" s="3">
        <v>2552</v>
      </c>
      <c r="L2553" s="1" t="s">
        <v>309</v>
      </c>
      <c r="N2553" s="1" t="s">
        <v>310</v>
      </c>
      <c r="P2553" s="1" t="s">
        <v>316</v>
      </c>
      <c r="Q2553" s="3">
        <v>0</v>
      </c>
      <c r="R2553" s="22" t="s">
        <v>3791</v>
      </c>
      <c r="S2553" s="22" t="s">
        <v>5097</v>
      </c>
      <c r="T2553" s="51">
        <v>25</v>
      </c>
      <c r="U2553" s="3" t="s">
        <v>5800</v>
      </c>
      <c r="V2553" s="41" t="str">
        <f>HYPERLINK("http://ictvonline.org/taxonomy/p/taxonomy-history?taxnode_id=20182493","ICTVonline=20182493")</f>
        <v>ICTVonline=20182493</v>
      </c>
    </row>
    <row r="2554" spans="1:22">
      <c r="A2554" s="3">
        <v>2553</v>
      </c>
      <c r="L2554" s="1" t="s">
        <v>309</v>
      </c>
      <c r="N2554" s="1" t="s">
        <v>310</v>
      </c>
      <c r="P2554" s="1" t="s">
        <v>317</v>
      </c>
      <c r="Q2554" s="3">
        <v>0</v>
      </c>
      <c r="R2554" s="22" t="s">
        <v>3791</v>
      </c>
      <c r="S2554" s="22" t="s">
        <v>5097</v>
      </c>
      <c r="T2554" s="51">
        <v>25</v>
      </c>
      <c r="U2554" s="3" t="s">
        <v>5800</v>
      </c>
      <c r="V2554" s="41" t="str">
        <f>HYPERLINK("http://ictvonline.org/taxonomy/p/taxonomy-history?taxnode_id=20182494","ICTVonline=20182494")</f>
        <v>ICTVonline=20182494</v>
      </c>
    </row>
    <row r="2555" spans="1:22">
      <c r="A2555" s="3">
        <v>2554</v>
      </c>
      <c r="L2555" s="1" t="s">
        <v>309</v>
      </c>
      <c r="N2555" s="1" t="s">
        <v>310</v>
      </c>
      <c r="P2555" s="1" t="s">
        <v>318</v>
      </c>
      <c r="Q2555" s="3">
        <v>0</v>
      </c>
      <c r="R2555" s="22" t="s">
        <v>3791</v>
      </c>
      <c r="S2555" s="22" t="s">
        <v>5097</v>
      </c>
      <c r="T2555" s="51">
        <v>25</v>
      </c>
      <c r="U2555" s="3" t="s">
        <v>5800</v>
      </c>
      <c r="V2555" s="41" t="str">
        <f>HYPERLINK("http://ictvonline.org/taxonomy/p/taxonomy-history?taxnode_id=20182495","ICTVonline=20182495")</f>
        <v>ICTVonline=20182495</v>
      </c>
    </row>
    <row r="2556" spans="1:22">
      <c r="A2556" s="3">
        <v>2555</v>
      </c>
      <c r="L2556" s="1" t="s">
        <v>309</v>
      </c>
      <c r="N2556" s="1" t="s">
        <v>310</v>
      </c>
      <c r="P2556" s="1" t="s">
        <v>319</v>
      </c>
      <c r="Q2556" s="3">
        <v>0</v>
      </c>
      <c r="R2556" s="22" t="s">
        <v>3791</v>
      </c>
      <c r="S2556" s="22" t="s">
        <v>5097</v>
      </c>
      <c r="T2556" s="51">
        <v>25</v>
      </c>
      <c r="U2556" s="3" t="s">
        <v>5800</v>
      </c>
      <c r="V2556" s="41" t="str">
        <f>HYPERLINK("http://ictvonline.org/taxonomy/p/taxonomy-history?taxnode_id=20182496","ICTVonline=20182496")</f>
        <v>ICTVonline=20182496</v>
      </c>
    </row>
    <row r="2557" spans="1:22">
      <c r="A2557" s="3">
        <v>2556</v>
      </c>
      <c r="L2557" s="1" t="s">
        <v>309</v>
      </c>
      <c r="N2557" s="1" t="s">
        <v>310</v>
      </c>
      <c r="P2557" s="1" t="s">
        <v>320</v>
      </c>
      <c r="Q2557" s="3">
        <v>0</v>
      </c>
      <c r="R2557" s="22" t="s">
        <v>3791</v>
      </c>
      <c r="S2557" s="22" t="s">
        <v>5097</v>
      </c>
      <c r="T2557" s="51">
        <v>25</v>
      </c>
      <c r="U2557" s="3" t="s">
        <v>5800</v>
      </c>
      <c r="V2557" s="41" t="str">
        <f>HYPERLINK("http://ictvonline.org/taxonomy/p/taxonomy-history?taxnode_id=20182497","ICTVonline=20182497")</f>
        <v>ICTVonline=20182497</v>
      </c>
    </row>
    <row r="2558" spans="1:22">
      <c r="A2558" s="3">
        <v>2557</v>
      </c>
      <c r="L2558" s="1" t="s">
        <v>309</v>
      </c>
      <c r="N2558" s="1" t="s">
        <v>310</v>
      </c>
      <c r="P2558" s="1" t="s">
        <v>321</v>
      </c>
      <c r="Q2558" s="3">
        <v>0</v>
      </c>
      <c r="R2558" s="22" t="s">
        <v>3791</v>
      </c>
      <c r="S2558" s="22" t="s">
        <v>5097</v>
      </c>
      <c r="T2558" s="51">
        <v>25</v>
      </c>
      <c r="U2558" s="3" t="s">
        <v>5800</v>
      </c>
      <c r="V2558" s="41" t="str">
        <f>HYPERLINK("http://ictvonline.org/taxonomy/p/taxonomy-history?taxnode_id=20182498","ICTVonline=20182498")</f>
        <v>ICTVonline=20182498</v>
      </c>
    </row>
    <row r="2559" spans="1:22">
      <c r="A2559" s="3">
        <v>2558</v>
      </c>
      <c r="L2559" s="1" t="s">
        <v>309</v>
      </c>
      <c r="N2559" s="1" t="s">
        <v>310</v>
      </c>
      <c r="P2559" s="1" t="s">
        <v>322</v>
      </c>
      <c r="Q2559" s="3">
        <v>0</v>
      </c>
      <c r="R2559" s="22" t="s">
        <v>3791</v>
      </c>
      <c r="S2559" s="22" t="s">
        <v>5097</v>
      </c>
      <c r="T2559" s="51">
        <v>25</v>
      </c>
      <c r="U2559" s="3" t="s">
        <v>5800</v>
      </c>
      <c r="V2559" s="41" t="str">
        <f>HYPERLINK("http://ictvonline.org/taxonomy/p/taxonomy-history?taxnode_id=20182499","ICTVonline=20182499")</f>
        <v>ICTVonline=20182499</v>
      </c>
    </row>
    <row r="2560" spans="1:22">
      <c r="A2560" s="3">
        <v>2559</v>
      </c>
      <c r="L2560" s="1" t="s">
        <v>309</v>
      </c>
      <c r="N2560" s="1" t="s">
        <v>310</v>
      </c>
      <c r="P2560" s="1" t="s">
        <v>323</v>
      </c>
      <c r="Q2560" s="3">
        <v>0</v>
      </c>
      <c r="R2560" s="22" t="s">
        <v>3791</v>
      </c>
      <c r="S2560" s="22" t="s">
        <v>5097</v>
      </c>
      <c r="T2560" s="51">
        <v>25</v>
      </c>
      <c r="U2560" s="3" t="s">
        <v>5800</v>
      </c>
      <c r="V2560" s="41" t="str">
        <f>HYPERLINK("http://ictvonline.org/taxonomy/p/taxonomy-history?taxnode_id=20182500","ICTVonline=20182500")</f>
        <v>ICTVonline=20182500</v>
      </c>
    </row>
    <row r="2561" spans="1:22">
      <c r="A2561" s="3">
        <v>2560</v>
      </c>
      <c r="L2561" s="1" t="s">
        <v>309</v>
      </c>
      <c r="N2561" s="1" t="s">
        <v>310</v>
      </c>
      <c r="P2561" s="1" t="s">
        <v>324</v>
      </c>
      <c r="Q2561" s="3">
        <v>0</v>
      </c>
      <c r="R2561" s="22" t="s">
        <v>3791</v>
      </c>
      <c r="S2561" s="22" t="s">
        <v>5097</v>
      </c>
      <c r="T2561" s="51">
        <v>25</v>
      </c>
      <c r="U2561" s="3" t="s">
        <v>5800</v>
      </c>
      <c r="V2561" s="41" t="str">
        <f>HYPERLINK("http://ictvonline.org/taxonomy/p/taxonomy-history?taxnode_id=20182501","ICTVonline=20182501")</f>
        <v>ICTVonline=20182501</v>
      </c>
    </row>
    <row r="2562" spans="1:22">
      <c r="A2562" s="3">
        <v>2561</v>
      </c>
      <c r="L2562" s="1" t="s">
        <v>309</v>
      </c>
      <c r="N2562" s="1" t="s">
        <v>310</v>
      </c>
      <c r="P2562" s="1" t="s">
        <v>325</v>
      </c>
      <c r="Q2562" s="3">
        <v>0</v>
      </c>
      <c r="R2562" s="22" t="s">
        <v>3791</v>
      </c>
      <c r="S2562" s="22" t="s">
        <v>5097</v>
      </c>
      <c r="T2562" s="51">
        <v>25</v>
      </c>
      <c r="U2562" s="3" t="s">
        <v>5800</v>
      </c>
      <c r="V2562" s="41" t="str">
        <f>HYPERLINK("http://ictvonline.org/taxonomy/p/taxonomy-history?taxnode_id=20182502","ICTVonline=20182502")</f>
        <v>ICTVonline=20182502</v>
      </c>
    </row>
    <row r="2563" spans="1:22">
      <c r="A2563" s="3">
        <v>2562</v>
      </c>
      <c r="L2563" s="1" t="s">
        <v>309</v>
      </c>
      <c r="N2563" s="1" t="s">
        <v>310</v>
      </c>
      <c r="P2563" s="1" t="s">
        <v>326</v>
      </c>
      <c r="Q2563" s="3">
        <v>0</v>
      </c>
      <c r="R2563" s="22" t="s">
        <v>3791</v>
      </c>
      <c r="S2563" s="22" t="s">
        <v>5097</v>
      </c>
      <c r="T2563" s="51">
        <v>25</v>
      </c>
      <c r="U2563" s="3" t="s">
        <v>5800</v>
      </c>
      <c r="V2563" s="41" t="str">
        <f>HYPERLINK("http://ictvonline.org/taxonomy/p/taxonomy-history?taxnode_id=20182503","ICTVonline=20182503")</f>
        <v>ICTVonline=20182503</v>
      </c>
    </row>
    <row r="2564" spans="1:22">
      <c r="A2564" s="3">
        <v>2563</v>
      </c>
      <c r="L2564" s="1" t="s">
        <v>309</v>
      </c>
      <c r="N2564" s="1" t="s">
        <v>310</v>
      </c>
      <c r="P2564" s="1" t="s">
        <v>327</v>
      </c>
      <c r="Q2564" s="3">
        <v>0</v>
      </c>
      <c r="R2564" s="22" t="s">
        <v>3791</v>
      </c>
      <c r="S2564" s="22" t="s">
        <v>5097</v>
      </c>
      <c r="T2564" s="51">
        <v>25</v>
      </c>
      <c r="U2564" s="3" t="s">
        <v>5800</v>
      </c>
      <c r="V2564" s="41" t="str">
        <f>HYPERLINK("http://ictvonline.org/taxonomy/p/taxonomy-history?taxnode_id=20182504","ICTVonline=20182504")</f>
        <v>ICTVonline=20182504</v>
      </c>
    </row>
    <row r="2565" spans="1:22">
      <c r="A2565" s="3">
        <v>2564</v>
      </c>
      <c r="L2565" s="1" t="s">
        <v>309</v>
      </c>
      <c r="N2565" s="1" t="s">
        <v>310</v>
      </c>
      <c r="P2565" s="1" t="s">
        <v>328</v>
      </c>
      <c r="Q2565" s="3">
        <v>0</v>
      </c>
      <c r="R2565" s="22" t="s">
        <v>3791</v>
      </c>
      <c r="S2565" s="22" t="s">
        <v>5097</v>
      </c>
      <c r="T2565" s="51">
        <v>25</v>
      </c>
      <c r="U2565" s="3" t="s">
        <v>5800</v>
      </c>
      <c r="V2565" s="41" t="str">
        <f>HYPERLINK("http://ictvonline.org/taxonomy/p/taxonomy-history?taxnode_id=20182505","ICTVonline=20182505")</f>
        <v>ICTVonline=20182505</v>
      </c>
    </row>
    <row r="2566" spans="1:22">
      <c r="A2566" s="3">
        <v>2565</v>
      </c>
      <c r="L2566" s="1" t="s">
        <v>309</v>
      </c>
      <c r="N2566" s="1" t="s">
        <v>310</v>
      </c>
      <c r="P2566" s="1" t="s">
        <v>329</v>
      </c>
      <c r="Q2566" s="3">
        <v>0</v>
      </c>
      <c r="R2566" s="22" t="s">
        <v>3791</v>
      </c>
      <c r="S2566" s="22" t="s">
        <v>5097</v>
      </c>
      <c r="T2566" s="51">
        <v>25</v>
      </c>
      <c r="U2566" s="3" t="s">
        <v>5800</v>
      </c>
      <c r="V2566" s="41" t="str">
        <f>HYPERLINK("http://ictvonline.org/taxonomy/p/taxonomy-history?taxnode_id=20182506","ICTVonline=20182506")</f>
        <v>ICTVonline=20182506</v>
      </c>
    </row>
    <row r="2567" spans="1:22">
      <c r="A2567" s="3">
        <v>2566</v>
      </c>
      <c r="L2567" s="1" t="s">
        <v>309</v>
      </c>
      <c r="N2567" s="1" t="s">
        <v>310</v>
      </c>
      <c r="P2567" s="1" t="s">
        <v>330</v>
      </c>
      <c r="Q2567" s="3">
        <v>0</v>
      </c>
      <c r="R2567" s="22" t="s">
        <v>3791</v>
      </c>
      <c r="S2567" s="22" t="s">
        <v>5097</v>
      </c>
      <c r="T2567" s="51">
        <v>25</v>
      </c>
      <c r="U2567" s="3" t="s">
        <v>5800</v>
      </c>
      <c r="V2567" s="41" t="str">
        <f>HYPERLINK("http://ictvonline.org/taxonomy/p/taxonomy-history?taxnode_id=20182507","ICTVonline=20182507")</f>
        <v>ICTVonline=20182507</v>
      </c>
    </row>
    <row r="2568" spans="1:22">
      <c r="A2568" s="3">
        <v>2567</v>
      </c>
      <c r="L2568" s="1" t="s">
        <v>309</v>
      </c>
      <c r="N2568" s="1" t="s">
        <v>310</v>
      </c>
      <c r="P2568" s="1" t="s">
        <v>331</v>
      </c>
      <c r="Q2568" s="3">
        <v>0</v>
      </c>
      <c r="R2568" s="22" t="s">
        <v>3791</v>
      </c>
      <c r="S2568" s="22" t="s">
        <v>5097</v>
      </c>
      <c r="T2568" s="51">
        <v>25</v>
      </c>
      <c r="U2568" s="3" t="s">
        <v>5800</v>
      </c>
      <c r="V2568" s="41" t="str">
        <f>HYPERLINK("http://ictvonline.org/taxonomy/p/taxonomy-history?taxnode_id=20182508","ICTVonline=20182508")</f>
        <v>ICTVonline=20182508</v>
      </c>
    </row>
    <row r="2569" spans="1:22">
      <c r="A2569" s="3">
        <v>2568</v>
      </c>
      <c r="L2569" s="1" t="s">
        <v>309</v>
      </c>
      <c r="N2569" s="1" t="s">
        <v>310</v>
      </c>
      <c r="P2569" s="1" t="s">
        <v>332</v>
      </c>
      <c r="Q2569" s="3">
        <v>0</v>
      </c>
      <c r="R2569" s="22" t="s">
        <v>3791</v>
      </c>
      <c r="S2569" s="22" t="s">
        <v>5097</v>
      </c>
      <c r="T2569" s="51">
        <v>25</v>
      </c>
      <c r="U2569" s="3" t="s">
        <v>5800</v>
      </c>
      <c r="V2569" s="41" t="str">
        <f>HYPERLINK("http://ictvonline.org/taxonomy/p/taxonomy-history?taxnode_id=20182509","ICTVonline=20182509")</f>
        <v>ICTVonline=20182509</v>
      </c>
    </row>
    <row r="2570" spans="1:22">
      <c r="A2570" s="3">
        <v>2569</v>
      </c>
      <c r="L2570" s="1" t="s">
        <v>309</v>
      </c>
      <c r="N2570" s="1" t="s">
        <v>310</v>
      </c>
      <c r="P2570" s="1" t="s">
        <v>333</v>
      </c>
      <c r="Q2570" s="3">
        <v>0</v>
      </c>
      <c r="R2570" s="22" t="s">
        <v>3791</v>
      </c>
      <c r="S2570" s="22" t="s">
        <v>5097</v>
      </c>
      <c r="T2570" s="51">
        <v>25</v>
      </c>
      <c r="U2570" s="3" t="s">
        <v>5800</v>
      </c>
      <c r="V2570" s="41" t="str">
        <f>HYPERLINK("http://ictvonline.org/taxonomy/p/taxonomy-history?taxnode_id=20182510","ICTVonline=20182510")</f>
        <v>ICTVonline=20182510</v>
      </c>
    </row>
    <row r="2571" spans="1:22">
      <c r="A2571" s="3">
        <v>2570</v>
      </c>
      <c r="L2571" s="1" t="s">
        <v>309</v>
      </c>
      <c r="N2571" s="1" t="s">
        <v>310</v>
      </c>
      <c r="P2571" s="1" t="s">
        <v>334</v>
      </c>
      <c r="Q2571" s="3">
        <v>0</v>
      </c>
      <c r="R2571" s="22" t="s">
        <v>3791</v>
      </c>
      <c r="S2571" s="22" t="s">
        <v>5097</v>
      </c>
      <c r="T2571" s="51">
        <v>25</v>
      </c>
      <c r="U2571" s="3" t="s">
        <v>5800</v>
      </c>
      <c r="V2571" s="41" t="str">
        <f>HYPERLINK("http://ictvonline.org/taxonomy/p/taxonomy-history?taxnode_id=20182511","ICTVonline=20182511")</f>
        <v>ICTVonline=20182511</v>
      </c>
    </row>
    <row r="2572" spans="1:22">
      <c r="A2572" s="3">
        <v>2571</v>
      </c>
      <c r="L2572" s="1" t="s">
        <v>309</v>
      </c>
      <c r="N2572" s="1" t="s">
        <v>310</v>
      </c>
      <c r="P2572" s="1" t="s">
        <v>449</v>
      </c>
      <c r="Q2572" s="3">
        <v>0</v>
      </c>
      <c r="R2572" s="22" t="s">
        <v>3791</v>
      </c>
      <c r="S2572" s="22" t="s">
        <v>5097</v>
      </c>
      <c r="T2572" s="51">
        <v>25</v>
      </c>
      <c r="U2572" s="3" t="s">
        <v>5800</v>
      </c>
      <c r="V2572" s="41" t="str">
        <f>HYPERLINK("http://ictvonline.org/taxonomy/p/taxonomy-history?taxnode_id=20182512","ICTVonline=20182512")</f>
        <v>ICTVonline=20182512</v>
      </c>
    </row>
    <row r="2573" spans="1:22">
      <c r="A2573" s="3">
        <v>2572</v>
      </c>
      <c r="L2573" s="1" t="s">
        <v>309</v>
      </c>
      <c r="N2573" s="1" t="s">
        <v>310</v>
      </c>
      <c r="P2573" s="1" t="s">
        <v>450</v>
      </c>
      <c r="Q2573" s="3">
        <v>0</v>
      </c>
      <c r="R2573" s="22" t="s">
        <v>3791</v>
      </c>
      <c r="S2573" s="22" t="s">
        <v>5097</v>
      </c>
      <c r="T2573" s="51">
        <v>25</v>
      </c>
      <c r="U2573" s="3" t="s">
        <v>5800</v>
      </c>
      <c r="V2573" s="41" t="str">
        <f>HYPERLINK("http://ictvonline.org/taxonomy/p/taxonomy-history?taxnode_id=20182513","ICTVonline=20182513")</f>
        <v>ICTVonline=20182513</v>
      </c>
    </row>
    <row r="2574" spans="1:22">
      <c r="A2574" s="3">
        <v>2573</v>
      </c>
      <c r="L2574" s="1" t="s">
        <v>309</v>
      </c>
      <c r="N2574" s="1" t="s">
        <v>310</v>
      </c>
      <c r="P2574" s="1" t="s">
        <v>451</v>
      </c>
      <c r="Q2574" s="3">
        <v>0</v>
      </c>
      <c r="R2574" s="22" t="s">
        <v>3791</v>
      </c>
      <c r="S2574" s="22" t="s">
        <v>5097</v>
      </c>
      <c r="T2574" s="51">
        <v>25</v>
      </c>
      <c r="U2574" s="3" t="s">
        <v>5800</v>
      </c>
      <c r="V2574" s="41" t="str">
        <f>HYPERLINK("http://ictvonline.org/taxonomy/p/taxonomy-history?taxnode_id=20182514","ICTVonline=20182514")</f>
        <v>ICTVonline=20182514</v>
      </c>
    </row>
    <row r="2575" spans="1:22">
      <c r="A2575" s="3">
        <v>2574</v>
      </c>
      <c r="L2575" s="1" t="s">
        <v>309</v>
      </c>
      <c r="N2575" s="1" t="s">
        <v>310</v>
      </c>
      <c r="P2575" s="1" t="s">
        <v>452</v>
      </c>
      <c r="Q2575" s="3">
        <v>0</v>
      </c>
      <c r="R2575" s="22" t="s">
        <v>3791</v>
      </c>
      <c r="S2575" s="22" t="s">
        <v>5097</v>
      </c>
      <c r="T2575" s="51">
        <v>25</v>
      </c>
      <c r="U2575" s="3" t="s">
        <v>5800</v>
      </c>
      <c r="V2575" s="41" t="str">
        <f>HYPERLINK("http://ictvonline.org/taxonomy/p/taxonomy-history?taxnode_id=20182515","ICTVonline=20182515")</f>
        <v>ICTVonline=20182515</v>
      </c>
    </row>
    <row r="2576" spans="1:22">
      <c r="A2576" s="3">
        <v>2575</v>
      </c>
      <c r="L2576" s="1" t="s">
        <v>309</v>
      </c>
      <c r="N2576" s="1" t="s">
        <v>310</v>
      </c>
      <c r="P2576" s="1" t="s">
        <v>1481</v>
      </c>
      <c r="Q2576" s="3">
        <v>0</v>
      </c>
      <c r="R2576" s="22" t="s">
        <v>3791</v>
      </c>
      <c r="S2576" s="22" t="s">
        <v>5097</v>
      </c>
      <c r="T2576" s="51">
        <v>25</v>
      </c>
      <c r="U2576" s="3" t="s">
        <v>5800</v>
      </c>
      <c r="V2576" s="41" t="str">
        <f>HYPERLINK("http://ictvonline.org/taxonomy/p/taxonomy-history?taxnode_id=20182516","ICTVonline=20182516")</f>
        <v>ICTVonline=20182516</v>
      </c>
    </row>
    <row r="2577" spans="1:22">
      <c r="A2577" s="3">
        <v>2576</v>
      </c>
      <c r="L2577" s="1" t="s">
        <v>309</v>
      </c>
      <c r="N2577" s="1" t="s">
        <v>311</v>
      </c>
      <c r="P2577" s="1" t="s">
        <v>1882</v>
      </c>
      <c r="Q2577" s="3">
        <v>1</v>
      </c>
      <c r="R2577" s="22" t="s">
        <v>3791</v>
      </c>
      <c r="S2577" s="22" t="s">
        <v>5102</v>
      </c>
      <c r="T2577" s="51">
        <v>25</v>
      </c>
      <c r="U2577" s="3" t="s">
        <v>5800</v>
      </c>
      <c r="V2577" s="41" t="str">
        <f>HYPERLINK("http://ictvonline.org/taxonomy/p/taxonomy-history?taxnode_id=20182518","ICTVonline=20182518")</f>
        <v>ICTVonline=20182518</v>
      </c>
    </row>
    <row r="2578" spans="1:22">
      <c r="A2578" s="3">
        <v>2577</v>
      </c>
      <c r="L2578" s="1" t="s">
        <v>309</v>
      </c>
      <c r="N2578" s="1" t="s">
        <v>311</v>
      </c>
      <c r="P2578" s="1" t="s">
        <v>1860</v>
      </c>
      <c r="Q2578" s="3">
        <v>0</v>
      </c>
      <c r="R2578" s="22" t="s">
        <v>3791</v>
      </c>
      <c r="S2578" s="22" t="s">
        <v>5097</v>
      </c>
      <c r="T2578" s="51">
        <v>25</v>
      </c>
      <c r="U2578" s="3" t="s">
        <v>5800</v>
      </c>
      <c r="V2578" s="41" t="str">
        <f>HYPERLINK("http://ictvonline.org/taxonomy/p/taxonomy-history?taxnode_id=20182519","ICTVonline=20182519")</f>
        <v>ICTVonline=20182519</v>
      </c>
    </row>
    <row r="2579" spans="1:22">
      <c r="A2579" s="3">
        <v>2578</v>
      </c>
      <c r="L2579" s="1" t="s">
        <v>309</v>
      </c>
      <c r="N2579" s="1" t="s">
        <v>311</v>
      </c>
      <c r="P2579" s="1" t="s">
        <v>1861</v>
      </c>
      <c r="Q2579" s="3">
        <v>0</v>
      </c>
      <c r="R2579" s="22" t="s">
        <v>3791</v>
      </c>
      <c r="S2579" s="22" t="s">
        <v>5097</v>
      </c>
      <c r="T2579" s="51">
        <v>25</v>
      </c>
      <c r="U2579" s="3" t="s">
        <v>5800</v>
      </c>
      <c r="V2579" s="41" t="str">
        <f>HYPERLINK("http://ictvonline.org/taxonomy/p/taxonomy-history?taxnode_id=20182520","ICTVonline=20182520")</f>
        <v>ICTVonline=20182520</v>
      </c>
    </row>
    <row r="2580" spans="1:22">
      <c r="A2580" s="3">
        <v>2579</v>
      </c>
      <c r="L2580" s="1" t="s">
        <v>309</v>
      </c>
      <c r="N2580" s="1" t="s">
        <v>311</v>
      </c>
      <c r="P2580" s="1" t="s">
        <v>1862</v>
      </c>
      <c r="Q2580" s="3">
        <v>0</v>
      </c>
      <c r="R2580" s="22" t="s">
        <v>3791</v>
      </c>
      <c r="S2580" s="22" t="s">
        <v>5097</v>
      </c>
      <c r="T2580" s="51">
        <v>25</v>
      </c>
      <c r="U2580" s="3" t="s">
        <v>5800</v>
      </c>
      <c r="V2580" s="41" t="str">
        <f>HYPERLINK("http://ictvonline.org/taxonomy/p/taxonomy-history?taxnode_id=20182521","ICTVonline=20182521")</f>
        <v>ICTVonline=20182521</v>
      </c>
    </row>
    <row r="2581" spans="1:22">
      <c r="A2581" s="3">
        <v>2580</v>
      </c>
      <c r="L2581" s="1" t="s">
        <v>309</v>
      </c>
      <c r="N2581" s="1" t="s">
        <v>311</v>
      </c>
      <c r="P2581" s="1" t="s">
        <v>1885</v>
      </c>
      <c r="Q2581" s="3">
        <v>0</v>
      </c>
      <c r="R2581" s="22" t="s">
        <v>3791</v>
      </c>
      <c r="S2581" s="22" t="s">
        <v>5097</v>
      </c>
      <c r="T2581" s="51">
        <v>25</v>
      </c>
      <c r="U2581" s="3" t="s">
        <v>5800</v>
      </c>
      <c r="V2581" s="41" t="str">
        <f>HYPERLINK("http://ictvonline.org/taxonomy/p/taxonomy-history?taxnode_id=20182522","ICTVonline=20182522")</f>
        <v>ICTVonline=20182522</v>
      </c>
    </row>
    <row r="2582" spans="1:22">
      <c r="A2582" s="3">
        <v>2581</v>
      </c>
      <c r="L2582" s="1" t="s">
        <v>309</v>
      </c>
      <c r="N2582" s="1" t="s">
        <v>311</v>
      </c>
      <c r="P2582" s="1" t="s">
        <v>1886</v>
      </c>
      <c r="Q2582" s="3">
        <v>0</v>
      </c>
      <c r="R2582" s="22" t="s">
        <v>3791</v>
      </c>
      <c r="S2582" s="22" t="s">
        <v>5097</v>
      </c>
      <c r="T2582" s="51">
        <v>25</v>
      </c>
      <c r="U2582" s="3" t="s">
        <v>5800</v>
      </c>
      <c r="V2582" s="41" t="str">
        <f>HYPERLINK("http://ictvonline.org/taxonomy/p/taxonomy-history?taxnode_id=20182523","ICTVonline=20182523")</f>
        <v>ICTVonline=20182523</v>
      </c>
    </row>
    <row r="2583" spans="1:22">
      <c r="A2583" s="3">
        <v>2582</v>
      </c>
      <c r="L2583" s="1" t="s">
        <v>309</v>
      </c>
      <c r="N2583" s="1" t="s">
        <v>311</v>
      </c>
      <c r="P2583" s="1" t="s">
        <v>1571</v>
      </c>
      <c r="Q2583" s="3">
        <v>0</v>
      </c>
      <c r="R2583" s="22" t="s">
        <v>3791</v>
      </c>
      <c r="S2583" s="22" t="s">
        <v>5097</v>
      </c>
      <c r="T2583" s="51">
        <v>25</v>
      </c>
      <c r="U2583" s="3" t="s">
        <v>5800</v>
      </c>
      <c r="V2583" s="41" t="str">
        <f>HYPERLINK("http://ictvonline.org/taxonomy/p/taxonomy-history?taxnode_id=20182524","ICTVonline=20182524")</f>
        <v>ICTVonline=20182524</v>
      </c>
    </row>
    <row r="2584" spans="1:22">
      <c r="A2584" s="3">
        <v>2583</v>
      </c>
      <c r="L2584" s="1" t="s">
        <v>309</v>
      </c>
      <c r="N2584" s="1" t="s">
        <v>311</v>
      </c>
      <c r="P2584" s="1" t="s">
        <v>1572</v>
      </c>
      <c r="Q2584" s="3">
        <v>0</v>
      </c>
      <c r="R2584" s="22" t="s">
        <v>3791</v>
      </c>
      <c r="S2584" s="22" t="s">
        <v>5097</v>
      </c>
      <c r="T2584" s="51">
        <v>25</v>
      </c>
      <c r="U2584" s="3" t="s">
        <v>5800</v>
      </c>
      <c r="V2584" s="41" t="str">
        <f>HYPERLINK("http://ictvonline.org/taxonomy/p/taxonomy-history?taxnode_id=20182525","ICTVonline=20182525")</f>
        <v>ICTVonline=20182525</v>
      </c>
    </row>
    <row r="2585" spans="1:22">
      <c r="A2585" s="3">
        <v>2584</v>
      </c>
      <c r="L2585" s="1" t="s">
        <v>309</v>
      </c>
      <c r="N2585" s="1" t="s">
        <v>311</v>
      </c>
      <c r="P2585" s="1" t="s">
        <v>1573</v>
      </c>
      <c r="Q2585" s="3">
        <v>0</v>
      </c>
      <c r="R2585" s="22" t="s">
        <v>3791</v>
      </c>
      <c r="S2585" s="22" t="s">
        <v>5097</v>
      </c>
      <c r="T2585" s="51">
        <v>25</v>
      </c>
      <c r="U2585" s="3" t="s">
        <v>5800</v>
      </c>
      <c r="V2585" s="41" t="str">
        <f>HYPERLINK("http://ictvonline.org/taxonomy/p/taxonomy-history?taxnode_id=20182526","ICTVonline=20182526")</f>
        <v>ICTVonline=20182526</v>
      </c>
    </row>
    <row r="2586" spans="1:22">
      <c r="A2586" s="3">
        <v>2585</v>
      </c>
      <c r="L2586" s="1" t="s">
        <v>309</v>
      </c>
      <c r="N2586" s="1" t="s">
        <v>311</v>
      </c>
      <c r="P2586" s="1" t="s">
        <v>22</v>
      </c>
      <c r="Q2586" s="3">
        <v>0</v>
      </c>
      <c r="R2586" s="22" t="s">
        <v>3791</v>
      </c>
      <c r="S2586" s="22" t="s">
        <v>5097</v>
      </c>
      <c r="T2586" s="51">
        <v>26</v>
      </c>
      <c r="U2586" s="3" t="s">
        <v>5801</v>
      </c>
      <c r="V2586" s="41" t="str">
        <f>HYPERLINK("http://ictvonline.org/taxonomy/p/taxonomy-history?taxnode_id=20182527","ICTVonline=20182527")</f>
        <v>ICTVonline=20182527</v>
      </c>
    </row>
    <row r="2587" spans="1:22">
      <c r="A2587" s="3">
        <v>2586</v>
      </c>
      <c r="L2587" s="1" t="s">
        <v>309</v>
      </c>
      <c r="N2587" s="1" t="s">
        <v>311</v>
      </c>
      <c r="P2587" s="1" t="s">
        <v>23</v>
      </c>
      <c r="Q2587" s="3">
        <v>0</v>
      </c>
      <c r="R2587" s="22" t="s">
        <v>3791</v>
      </c>
      <c r="S2587" s="22" t="s">
        <v>5097</v>
      </c>
      <c r="T2587" s="51">
        <v>26</v>
      </c>
      <c r="U2587" s="3" t="s">
        <v>5801</v>
      </c>
      <c r="V2587" s="41" t="str">
        <f>HYPERLINK("http://ictvonline.org/taxonomy/p/taxonomy-history?taxnode_id=20182528","ICTVonline=20182528")</f>
        <v>ICTVonline=20182528</v>
      </c>
    </row>
    <row r="2588" spans="1:22">
      <c r="A2588" s="3">
        <v>2587</v>
      </c>
      <c r="L2588" s="1" t="s">
        <v>309</v>
      </c>
      <c r="N2588" s="1" t="s">
        <v>311</v>
      </c>
      <c r="P2588" s="1" t="s">
        <v>24</v>
      </c>
      <c r="Q2588" s="3">
        <v>0</v>
      </c>
      <c r="R2588" s="22" t="s">
        <v>3791</v>
      </c>
      <c r="S2588" s="22" t="s">
        <v>5097</v>
      </c>
      <c r="T2588" s="51">
        <v>26</v>
      </c>
      <c r="U2588" s="3" t="s">
        <v>5801</v>
      </c>
      <c r="V2588" s="41" t="str">
        <f>HYPERLINK("http://ictvonline.org/taxonomy/p/taxonomy-history?taxnode_id=20182529","ICTVonline=20182529")</f>
        <v>ICTVonline=20182529</v>
      </c>
    </row>
    <row r="2589" spans="1:22">
      <c r="A2589" s="3">
        <v>2588</v>
      </c>
      <c r="L2589" s="1" t="s">
        <v>309</v>
      </c>
      <c r="N2589" s="1" t="s">
        <v>313</v>
      </c>
      <c r="P2589" s="1" t="s">
        <v>1578</v>
      </c>
      <c r="Q2589" s="3">
        <v>1</v>
      </c>
      <c r="R2589" s="22" t="s">
        <v>3791</v>
      </c>
      <c r="S2589" s="22" t="s">
        <v>5102</v>
      </c>
      <c r="T2589" s="51">
        <v>25</v>
      </c>
      <c r="U2589" s="3" t="s">
        <v>5800</v>
      </c>
      <c r="V2589" s="41" t="str">
        <f>HYPERLINK("http://ictvonline.org/taxonomy/p/taxonomy-history?taxnode_id=20182531","ICTVonline=20182531")</f>
        <v>ICTVonline=20182531</v>
      </c>
    </row>
    <row r="2590" spans="1:22">
      <c r="A2590" s="3">
        <v>2589</v>
      </c>
      <c r="L2590" s="1" t="s">
        <v>309</v>
      </c>
      <c r="N2590" s="1" t="s">
        <v>1702</v>
      </c>
      <c r="P2590" s="1" t="s">
        <v>490</v>
      </c>
      <c r="Q2590" s="3">
        <v>1</v>
      </c>
      <c r="R2590" s="22" t="s">
        <v>3791</v>
      </c>
      <c r="S2590" s="22" t="s">
        <v>5102</v>
      </c>
      <c r="T2590" s="51">
        <v>25</v>
      </c>
      <c r="U2590" s="3" t="s">
        <v>5800</v>
      </c>
      <c r="V2590" s="41" t="str">
        <f>HYPERLINK("http://ictvonline.org/taxonomy/p/taxonomy-history?taxnode_id=20182533","ICTVonline=20182533")</f>
        <v>ICTVonline=20182533</v>
      </c>
    </row>
    <row r="2591" spans="1:22">
      <c r="A2591" s="3">
        <v>2590</v>
      </c>
      <c r="L2591" s="1" t="s">
        <v>309</v>
      </c>
      <c r="N2591" s="1" t="s">
        <v>1704</v>
      </c>
      <c r="P2591" s="1" t="s">
        <v>1581</v>
      </c>
      <c r="Q2591" s="3">
        <v>1</v>
      </c>
      <c r="R2591" s="22" t="s">
        <v>3791</v>
      </c>
      <c r="S2591" s="22" t="s">
        <v>5102</v>
      </c>
      <c r="T2591" s="51">
        <v>25</v>
      </c>
      <c r="U2591" s="3" t="s">
        <v>5800</v>
      </c>
      <c r="V2591" s="41" t="str">
        <f>HYPERLINK("http://ictvonline.org/taxonomy/p/taxonomy-history?taxnode_id=20182535","ICTVonline=20182535")</f>
        <v>ICTVonline=20182535</v>
      </c>
    </row>
    <row r="2592" spans="1:22">
      <c r="A2592" s="3">
        <v>2591</v>
      </c>
      <c r="L2592" s="1" t="s">
        <v>309</v>
      </c>
      <c r="N2592" s="1" t="s">
        <v>1704</v>
      </c>
      <c r="P2592" s="1" t="s">
        <v>25</v>
      </c>
      <c r="Q2592" s="3">
        <v>0</v>
      </c>
      <c r="R2592" s="22" t="s">
        <v>3791</v>
      </c>
      <c r="S2592" s="22" t="s">
        <v>5097</v>
      </c>
      <c r="T2592" s="51">
        <v>26</v>
      </c>
      <c r="U2592" s="3" t="s">
        <v>5802</v>
      </c>
      <c r="V2592" s="41" t="str">
        <f>HYPERLINK("http://ictvonline.org/taxonomy/p/taxonomy-history?taxnode_id=20182536","ICTVonline=20182536")</f>
        <v>ICTVonline=20182536</v>
      </c>
    </row>
    <row r="2593" spans="1:22">
      <c r="A2593" s="3">
        <v>2592</v>
      </c>
      <c r="L2593" s="1" t="s">
        <v>309</v>
      </c>
      <c r="N2593" s="1" t="s">
        <v>312</v>
      </c>
      <c r="P2593" s="1" t="s">
        <v>1890</v>
      </c>
      <c r="Q2593" s="3">
        <v>1</v>
      </c>
      <c r="R2593" s="22" t="s">
        <v>3791</v>
      </c>
      <c r="S2593" s="22" t="s">
        <v>5102</v>
      </c>
      <c r="T2593" s="51">
        <v>25</v>
      </c>
      <c r="U2593" s="3" t="s">
        <v>5800</v>
      </c>
      <c r="V2593" s="41" t="str">
        <f>HYPERLINK("http://ictvonline.org/taxonomy/p/taxonomy-history?taxnode_id=20182538","ICTVonline=20182538")</f>
        <v>ICTVonline=20182538</v>
      </c>
    </row>
    <row r="2594" spans="1:22">
      <c r="A2594" s="3">
        <v>2593</v>
      </c>
      <c r="L2594" s="1" t="s">
        <v>309</v>
      </c>
      <c r="N2594" s="1" t="s">
        <v>312</v>
      </c>
      <c r="P2594" s="1" t="s">
        <v>1891</v>
      </c>
      <c r="Q2594" s="3">
        <v>0</v>
      </c>
      <c r="R2594" s="22" t="s">
        <v>3791</v>
      </c>
      <c r="S2594" s="22" t="s">
        <v>5097</v>
      </c>
      <c r="T2594" s="51">
        <v>25</v>
      </c>
      <c r="U2594" s="3" t="s">
        <v>5800</v>
      </c>
      <c r="V2594" s="41" t="str">
        <f>HYPERLINK("http://ictvonline.org/taxonomy/p/taxonomy-history?taxnode_id=20182539","ICTVonline=20182539")</f>
        <v>ICTVonline=20182539</v>
      </c>
    </row>
    <row r="2595" spans="1:22">
      <c r="A2595" s="3">
        <v>2594</v>
      </c>
      <c r="L2595" s="1" t="s">
        <v>309</v>
      </c>
      <c r="N2595" s="1" t="s">
        <v>312</v>
      </c>
      <c r="P2595" s="1" t="s">
        <v>32</v>
      </c>
      <c r="Q2595" s="3">
        <v>0</v>
      </c>
      <c r="R2595" s="22" t="s">
        <v>3791</v>
      </c>
      <c r="S2595" s="22" t="s">
        <v>5097</v>
      </c>
      <c r="T2595" s="51">
        <v>26</v>
      </c>
      <c r="U2595" s="3" t="s">
        <v>5803</v>
      </c>
      <c r="V2595" s="41" t="str">
        <f>HYPERLINK("http://ictvonline.org/taxonomy/p/taxonomy-history?taxnode_id=20182540","ICTVonline=20182540")</f>
        <v>ICTVonline=20182540</v>
      </c>
    </row>
    <row r="2596" spans="1:22">
      <c r="A2596" s="3">
        <v>2595</v>
      </c>
      <c r="L2596" s="1" t="s">
        <v>309</v>
      </c>
      <c r="N2596" s="1" t="s">
        <v>312</v>
      </c>
      <c r="P2596" s="1" t="s">
        <v>33</v>
      </c>
      <c r="Q2596" s="3">
        <v>0</v>
      </c>
      <c r="R2596" s="22" t="s">
        <v>3791</v>
      </c>
      <c r="S2596" s="22" t="s">
        <v>5097</v>
      </c>
      <c r="T2596" s="51">
        <v>26</v>
      </c>
      <c r="U2596" s="3" t="s">
        <v>5803</v>
      </c>
      <c r="V2596" s="41" t="str">
        <f>HYPERLINK("http://ictvonline.org/taxonomy/p/taxonomy-history?taxnode_id=20182541","ICTVonline=20182541")</f>
        <v>ICTVonline=20182541</v>
      </c>
    </row>
    <row r="2597" spans="1:22">
      <c r="A2597" s="3">
        <v>2596</v>
      </c>
      <c r="L2597" s="1" t="s">
        <v>309</v>
      </c>
      <c r="N2597" s="1" t="s">
        <v>312</v>
      </c>
      <c r="P2597" s="1" t="s">
        <v>34</v>
      </c>
      <c r="Q2597" s="3">
        <v>0</v>
      </c>
      <c r="R2597" s="22" t="s">
        <v>3791</v>
      </c>
      <c r="S2597" s="22" t="s">
        <v>5097</v>
      </c>
      <c r="T2597" s="51">
        <v>26</v>
      </c>
      <c r="U2597" s="3" t="s">
        <v>5803</v>
      </c>
      <c r="V2597" s="41" t="str">
        <f>HYPERLINK("http://ictvonline.org/taxonomy/p/taxonomy-history?taxnode_id=20182542","ICTVonline=20182542")</f>
        <v>ICTVonline=20182542</v>
      </c>
    </row>
    <row r="2598" spans="1:22">
      <c r="A2598" s="3">
        <v>2597</v>
      </c>
      <c r="L2598" s="1" t="s">
        <v>309</v>
      </c>
      <c r="N2598" s="1" t="s">
        <v>312</v>
      </c>
      <c r="P2598" s="1" t="s">
        <v>35</v>
      </c>
      <c r="Q2598" s="3">
        <v>0</v>
      </c>
      <c r="R2598" s="22" t="s">
        <v>3791</v>
      </c>
      <c r="S2598" s="22" t="s">
        <v>5097</v>
      </c>
      <c r="T2598" s="51">
        <v>26</v>
      </c>
      <c r="U2598" s="3" t="s">
        <v>5803</v>
      </c>
      <c r="V2598" s="41" t="str">
        <f>HYPERLINK("http://ictvonline.org/taxonomy/p/taxonomy-history?taxnode_id=20182543","ICTVonline=20182543")</f>
        <v>ICTVonline=20182543</v>
      </c>
    </row>
    <row r="2599" spans="1:22">
      <c r="A2599" s="3">
        <v>2598</v>
      </c>
      <c r="L2599" s="1" t="s">
        <v>309</v>
      </c>
      <c r="N2599" s="1" t="s">
        <v>312</v>
      </c>
      <c r="P2599" s="1" t="s">
        <v>36</v>
      </c>
      <c r="Q2599" s="3">
        <v>0</v>
      </c>
      <c r="R2599" s="22" t="s">
        <v>3791</v>
      </c>
      <c r="S2599" s="22" t="s">
        <v>5097</v>
      </c>
      <c r="T2599" s="51">
        <v>26</v>
      </c>
      <c r="U2599" s="3" t="s">
        <v>5803</v>
      </c>
      <c r="V2599" s="41" t="str">
        <f>HYPERLINK("http://ictvonline.org/taxonomy/p/taxonomy-history?taxnode_id=20182544","ICTVonline=20182544")</f>
        <v>ICTVonline=20182544</v>
      </c>
    </row>
    <row r="2600" spans="1:22">
      <c r="A2600" s="3">
        <v>2599</v>
      </c>
      <c r="L2600" s="1" t="s">
        <v>309</v>
      </c>
      <c r="N2600" s="1" t="s">
        <v>312</v>
      </c>
      <c r="P2600" s="1" t="s">
        <v>37</v>
      </c>
      <c r="Q2600" s="3">
        <v>0</v>
      </c>
      <c r="R2600" s="22" t="s">
        <v>3791</v>
      </c>
      <c r="S2600" s="22" t="s">
        <v>5097</v>
      </c>
      <c r="T2600" s="51">
        <v>26</v>
      </c>
      <c r="U2600" s="3" t="s">
        <v>5803</v>
      </c>
      <c r="V2600" s="41" t="str">
        <f>HYPERLINK("http://ictvonline.org/taxonomy/p/taxonomy-history?taxnode_id=20182545","ICTVonline=20182545")</f>
        <v>ICTVonline=20182545</v>
      </c>
    </row>
    <row r="2601" spans="1:22">
      <c r="A2601" s="3">
        <v>2600</v>
      </c>
      <c r="L2601" s="1" t="s">
        <v>309</v>
      </c>
      <c r="N2601" s="1" t="s">
        <v>312</v>
      </c>
      <c r="P2601" s="1" t="s">
        <v>38</v>
      </c>
      <c r="Q2601" s="3">
        <v>0</v>
      </c>
      <c r="R2601" s="22" t="s">
        <v>3791</v>
      </c>
      <c r="S2601" s="22" t="s">
        <v>5097</v>
      </c>
      <c r="T2601" s="51">
        <v>26</v>
      </c>
      <c r="U2601" s="3" t="s">
        <v>5803</v>
      </c>
      <c r="V2601" s="41" t="str">
        <f>HYPERLINK("http://ictvonline.org/taxonomy/p/taxonomy-history?taxnode_id=20182546","ICTVonline=20182546")</f>
        <v>ICTVonline=20182546</v>
      </c>
    </row>
    <row r="2602" spans="1:22">
      <c r="A2602" s="3">
        <v>2601</v>
      </c>
      <c r="L2602" s="1" t="s">
        <v>309</v>
      </c>
      <c r="N2602" s="1" t="s">
        <v>312</v>
      </c>
      <c r="P2602" s="1" t="s">
        <v>26</v>
      </c>
      <c r="Q2602" s="3">
        <v>0</v>
      </c>
      <c r="R2602" s="22" t="s">
        <v>3791</v>
      </c>
      <c r="S2602" s="22" t="s">
        <v>5097</v>
      </c>
      <c r="T2602" s="51">
        <v>26</v>
      </c>
      <c r="U2602" s="3" t="s">
        <v>5803</v>
      </c>
      <c r="V2602" s="41" t="str">
        <f>HYPERLINK("http://ictvonline.org/taxonomy/p/taxonomy-history?taxnode_id=20182547","ICTVonline=20182547")</f>
        <v>ICTVonline=20182547</v>
      </c>
    </row>
    <row r="2603" spans="1:22">
      <c r="A2603" s="3">
        <v>2602</v>
      </c>
      <c r="L2603" s="1" t="s">
        <v>309</v>
      </c>
      <c r="N2603" s="1" t="s">
        <v>312</v>
      </c>
      <c r="P2603" s="1" t="s">
        <v>27</v>
      </c>
      <c r="Q2603" s="3">
        <v>0</v>
      </c>
      <c r="R2603" s="22" t="s">
        <v>3791</v>
      </c>
      <c r="S2603" s="22" t="s">
        <v>5097</v>
      </c>
      <c r="T2603" s="51">
        <v>26</v>
      </c>
      <c r="U2603" s="3" t="s">
        <v>5803</v>
      </c>
      <c r="V2603" s="41" t="str">
        <f>HYPERLINK("http://ictvonline.org/taxonomy/p/taxonomy-history?taxnode_id=20182548","ICTVonline=20182548")</f>
        <v>ICTVonline=20182548</v>
      </c>
    </row>
    <row r="2604" spans="1:22">
      <c r="A2604" s="3">
        <v>2603</v>
      </c>
      <c r="L2604" s="1" t="s">
        <v>309</v>
      </c>
      <c r="N2604" s="1" t="s">
        <v>312</v>
      </c>
      <c r="P2604" s="1" t="s">
        <v>28</v>
      </c>
      <c r="Q2604" s="3">
        <v>0</v>
      </c>
      <c r="R2604" s="22" t="s">
        <v>3791</v>
      </c>
      <c r="S2604" s="22" t="s">
        <v>5097</v>
      </c>
      <c r="T2604" s="51">
        <v>26</v>
      </c>
      <c r="U2604" s="3" t="s">
        <v>5803</v>
      </c>
      <c r="V2604" s="41" t="str">
        <f>HYPERLINK("http://ictvonline.org/taxonomy/p/taxonomy-history?taxnode_id=20182549","ICTVonline=20182549")</f>
        <v>ICTVonline=20182549</v>
      </c>
    </row>
    <row r="2605" spans="1:22">
      <c r="A2605" s="3">
        <v>2604</v>
      </c>
      <c r="L2605" s="1" t="s">
        <v>309</v>
      </c>
      <c r="N2605" s="1" t="s">
        <v>312</v>
      </c>
      <c r="P2605" s="1" t="s">
        <v>29</v>
      </c>
      <c r="Q2605" s="3">
        <v>0</v>
      </c>
      <c r="R2605" s="22" t="s">
        <v>3791</v>
      </c>
      <c r="S2605" s="22" t="s">
        <v>5097</v>
      </c>
      <c r="T2605" s="51">
        <v>26</v>
      </c>
      <c r="U2605" s="3" t="s">
        <v>5803</v>
      </c>
      <c r="V2605" s="41" t="str">
        <f>HYPERLINK("http://ictvonline.org/taxonomy/p/taxonomy-history?taxnode_id=20182550","ICTVonline=20182550")</f>
        <v>ICTVonline=20182550</v>
      </c>
    </row>
    <row r="2606" spans="1:22">
      <c r="A2606" s="3">
        <v>2605</v>
      </c>
      <c r="L2606" s="1" t="s">
        <v>309</v>
      </c>
      <c r="N2606" s="1" t="s">
        <v>312</v>
      </c>
      <c r="P2606" s="1" t="s">
        <v>30</v>
      </c>
      <c r="Q2606" s="3">
        <v>0</v>
      </c>
      <c r="R2606" s="22" t="s">
        <v>3791</v>
      </c>
      <c r="S2606" s="22" t="s">
        <v>5097</v>
      </c>
      <c r="T2606" s="51">
        <v>26</v>
      </c>
      <c r="U2606" s="3" t="s">
        <v>5803</v>
      </c>
      <c r="V2606" s="41" t="str">
        <f>HYPERLINK("http://ictvonline.org/taxonomy/p/taxonomy-history?taxnode_id=20182551","ICTVonline=20182551")</f>
        <v>ICTVonline=20182551</v>
      </c>
    </row>
    <row r="2607" spans="1:22">
      <c r="A2607" s="3">
        <v>2606</v>
      </c>
      <c r="L2607" s="1" t="s">
        <v>309</v>
      </c>
      <c r="N2607" s="1" t="s">
        <v>312</v>
      </c>
      <c r="P2607" s="1" t="s">
        <v>31</v>
      </c>
      <c r="Q2607" s="3">
        <v>0</v>
      </c>
      <c r="R2607" s="22" t="s">
        <v>3791</v>
      </c>
      <c r="S2607" s="22" t="s">
        <v>5097</v>
      </c>
      <c r="T2607" s="51">
        <v>26</v>
      </c>
      <c r="U2607" s="3" t="s">
        <v>5803</v>
      </c>
      <c r="V2607" s="41" t="str">
        <f>HYPERLINK("http://ictvonline.org/taxonomy/p/taxonomy-history?taxnode_id=20182552","ICTVonline=20182552")</f>
        <v>ICTVonline=20182552</v>
      </c>
    </row>
    <row r="2608" spans="1:22">
      <c r="A2608" s="3">
        <v>2607</v>
      </c>
      <c r="L2608" s="1" t="s">
        <v>309</v>
      </c>
      <c r="N2608" s="1" t="s">
        <v>1970</v>
      </c>
      <c r="P2608" s="1" t="s">
        <v>1971</v>
      </c>
      <c r="Q2608" s="3">
        <v>1</v>
      </c>
      <c r="R2608" s="22" t="s">
        <v>3791</v>
      </c>
      <c r="S2608" s="22" t="s">
        <v>5099</v>
      </c>
      <c r="T2608" s="51">
        <v>30</v>
      </c>
      <c r="U2608" s="3" t="s">
        <v>5804</v>
      </c>
      <c r="V2608" s="41" t="str">
        <f>HYPERLINK("http://ictvonline.org/taxonomy/p/taxonomy-history?taxnode_id=20182554","ICTVonline=20182554")</f>
        <v>ICTVonline=20182554</v>
      </c>
    </row>
    <row r="2609" spans="1:22">
      <c r="A2609" s="3">
        <v>2608</v>
      </c>
      <c r="L2609" s="1" t="s">
        <v>309</v>
      </c>
      <c r="N2609" s="1" t="s">
        <v>1706</v>
      </c>
      <c r="P2609" s="1" t="s">
        <v>39</v>
      </c>
      <c r="Q2609" s="3">
        <v>1</v>
      </c>
      <c r="R2609" s="22" t="s">
        <v>3791</v>
      </c>
      <c r="S2609" s="22" t="s">
        <v>5100</v>
      </c>
      <c r="T2609" s="51">
        <v>26</v>
      </c>
      <c r="U2609" s="3" t="s">
        <v>5805</v>
      </c>
      <c r="V2609" s="41" t="str">
        <f>HYPERLINK("http://ictvonline.org/taxonomy/p/taxonomy-history?taxnode_id=20182556","ICTVonline=20182556")</f>
        <v>ICTVonline=20182556</v>
      </c>
    </row>
    <row r="2610" spans="1:22">
      <c r="A2610" s="3">
        <v>2609</v>
      </c>
      <c r="L2610" s="1" t="s">
        <v>309</v>
      </c>
      <c r="N2610" s="1" t="s">
        <v>1706</v>
      </c>
      <c r="P2610" s="1" t="s">
        <v>40</v>
      </c>
      <c r="Q2610" s="3">
        <v>0</v>
      </c>
      <c r="R2610" s="22" t="s">
        <v>3791</v>
      </c>
      <c r="S2610" s="22" t="s">
        <v>5100</v>
      </c>
      <c r="T2610" s="51">
        <v>26</v>
      </c>
      <c r="U2610" s="3" t="s">
        <v>5805</v>
      </c>
      <c r="V2610" s="41" t="str">
        <f>HYPERLINK("http://ictvonline.org/taxonomy/p/taxonomy-history?taxnode_id=20182557","ICTVonline=20182557")</f>
        <v>ICTVonline=20182557</v>
      </c>
    </row>
    <row r="2611" spans="1:22">
      <c r="A2611" s="3">
        <v>2610</v>
      </c>
      <c r="L2611" s="1" t="s">
        <v>309</v>
      </c>
      <c r="N2611" s="1" t="s">
        <v>41</v>
      </c>
      <c r="P2611" s="1" t="s">
        <v>3792</v>
      </c>
      <c r="Q2611" s="3">
        <v>1</v>
      </c>
      <c r="R2611" s="22" t="s">
        <v>3791</v>
      </c>
      <c r="S2611" s="22" t="s">
        <v>5100</v>
      </c>
      <c r="T2611" s="51">
        <v>30</v>
      </c>
      <c r="U2611" s="3" t="s">
        <v>5806</v>
      </c>
      <c r="V2611" s="41" t="str">
        <f>HYPERLINK("http://ictvonline.org/taxonomy/p/taxonomy-history?taxnode_id=20182559","ICTVonline=20182559")</f>
        <v>ICTVonline=20182559</v>
      </c>
    </row>
    <row r="2612" spans="1:22">
      <c r="A2612" s="3">
        <v>2611</v>
      </c>
      <c r="L2612" s="1" t="s">
        <v>309</v>
      </c>
      <c r="N2612" s="1" t="s">
        <v>41</v>
      </c>
      <c r="P2612" s="1" t="s">
        <v>3793</v>
      </c>
      <c r="Q2612" s="3">
        <v>0</v>
      </c>
      <c r="R2612" s="22" t="s">
        <v>3791</v>
      </c>
      <c r="S2612" s="22" t="s">
        <v>5097</v>
      </c>
      <c r="T2612" s="51">
        <v>30</v>
      </c>
      <c r="U2612" s="3" t="s">
        <v>5806</v>
      </c>
      <c r="V2612" s="41" t="str">
        <f>HYPERLINK("http://ictvonline.org/taxonomy/p/taxonomy-history?taxnode_id=20182560","ICTVonline=20182560")</f>
        <v>ICTVonline=20182560</v>
      </c>
    </row>
    <row r="2613" spans="1:22">
      <c r="A2613" s="3">
        <v>2612</v>
      </c>
      <c r="L2613" s="1" t="s">
        <v>309</v>
      </c>
      <c r="N2613" s="1" t="s">
        <v>42</v>
      </c>
      <c r="P2613" s="1" t="s">
        <v>43</v>
      </c>
      <c r="Q2613" s="3">
        <v>1</v>
      </c>
      <c r="R2613" s="22" t="s">
        <v>3791</v>
      </c>
      <c r="S2613" s="22" t="s">
        <v>5102</v>
      </c>
      <c r="T2613" s="51">
        <v>26</v>
      </c>
      <c r="U2613" s="3" t="s">
        <v>5807</v>
      </c>
      <c r="V2613" s="41" t="str">
        <f>HYPERLINK("http://ictvonline.org/taxonomy/p/taxonomy-history?taxnode_id=20182562","ICTVonline=20182562")</f>
        <v>ICTVonline=20182562</v>
      </c>
    </row>
    <row r="2614" spans="1:22">
      <c r="A2614" s="3">
        <v>2613</v>
      </c>
      <c r="L2614" s="1" t="s">
        <v>309</v>
      </c>
      <c r="N2614" s="1" t="s">
        <v>1705</v>
      </c>
      <c r="P2614" s="1" t="s">
        <v>1582</v>
      </c>
      <c r="Q2614" s="3">
        <v>1</v>
      </c>
      <c r="R2614" s="22" t="s">
        <v>3791</v>
      </c>
      <c r="S2614" s="22" t="s">
        <v>5102</v>
      </c>
      <c r="T2614" s="51">
        <v>25</v>
      </c>
      <c r="U2614" s="3" t="s">
        <v>5800</v>
      </c>
      <c r="V2614" s="41" t="str">
        <f>HYPERLINK("http://ictvonline.org/taxonomy/p/taxonomy-history?taxnode_id=20182564","ICTVonline=20182564")</f>
        <v>ICTVonline=20182564</v>
      </c>
    </row>
    <row r="2615" spans="1:22">
      <c r="A2615" s="3">
        <v>2614</v>
      </c>
      <c r="L2615" s="1" t="s">
        <v>309</v>
      </c>
      <c r="N2615" s="1" t="s">
        <v>1703</v>
      </c>
      <c r="P2615" s="1" t="s">
        <v>491</v>
      </c>
      <c r="Q2615" s="3">
        <v>1</v>
      </c>
      <c r="R2615" s="22" t="s">
        <v>3791</v>
      </c>
      <c r="S2615" s="22" t="s">
        <v>5102</v>
      </c>
      <c r="T2615" s="51">
        <v>25</v>
      </c>
      <c r="U2615" s="3" t="s">
        <v>5800</v>
      </c>
      <c r="V2615" s="41" t="str">
        <f>HYPERLINK("http://ictvonline.org/taxonomy/p/taxonomy-history?taxnode_id=20182566","ICTVonline=20182566")</f>
        <v>ICTVonline=20182566</v>
      </c>
    </row>
    <row r="2616" spans="1:22">
      <c r="A2616" s="3">
        <v>2615</v>
      </c>
      <c r="L2616" s="1" t="s">
        <v>1814</v>
      </c>
      <c r="N2616" s="1" t="s">
        <v>1815</v>
      </c>
      <c r="P2616" s="1" t="s">
        <v>663</v>
      </c>
      <c r="Q2616" s="3">
        <v>0</v>
      </c>
      <c r="R2616" s="22" t="s">
        <v>2764</v>
      </c>
      <c r="S2616" s="22" t="s">
        <v>5097</v>
      </c>
      <c r="T2616" s="51">
        <v>18</v>
      </c>
      <c r="U2616" s="3" t="s">
        <v>5486</v>
      </c>
      <c r="V2616" s="41" t="str">
        <f>HYPERLINK("http://ictvonline.org/taxonomy/p/taxonomy-history?taxnode_id=20182610","ICTVonline=20182610")</f>
        <v>ICTVonline=20182610</v>
      </c>
    </row>
    <row r="2617" spans="1:22">
      <c r="A2617" s="3">
        <v>2616</v>
      </c>
      <c r="L2617" s="1" t="s">
        <v>1814</v>
      </c>
      <c r="N2617" s="1" t="s">
        <v>1815</v>
      </c>
      <c r="P2617" s="1" t="s">
        <v>664</v>
      </c>
      <c r="Q2617" s="3">
        <v>1</v>
      </c>
      <c r="R2617" s="22" t="s">
        <v>2764</v>
      </c>
      <c r="S2617" s="22" t="s">
        <v>5100</v>
      </c>
      <c r="T2617" s="51">
        <v>18</v>
      </c>
      <c r="U2617" s="3" t="s">
        <v>5486</v>
      </c>
      <c r="V2617" s="41" t="str">
        <f>HYPERLINK("http://ictvonline.org/taxonomy/p/taxonomy-history?taxnode_id=20182611","ICTVonline=20182611")</f>
        <v>ICTVonline=20182611</v>
      </c>
    </row>
    <row r="2618" spans="1:22">
      <c r="A2618" s="3">
        <v>2617</v>
      </c>
      <c r="L2618" s="1" t="s">
        <v>1814</v>
      </c>
      <c r="N2618" s="1" t="s">
        <v>1815</v>
      </c>
      <c r="P2618" s="1" t="s">
        <v>1365</v>
      </c>
      <c r="Q2618" s="3">
        <v>0</v>
      </c>
      <c r="R2618" s="22" t="s">
        <v>2764</v>
      </c>
      <c r="S2618" s="22" t="s">
        <v>5100</v>
      </c>
      <c r="T2618" s="51">
        <v>18</v>
      </c>
      <c r="U2618" s="3" t="s">
        <v>5486</v>
      </c>
      <c r="V2618" s="41" t="str">
        <f>HYPERLINK("http://ictvonline.org/taxonomy/p/taxonomy-history?taxnode_id=20182612","ICTVonline=20182612")</f>
        <v>ICTVonline=20182612</v>
      </c>
    </row>
    <row r="2619" spans="1:22">
      <c r="A2619" s="3">
        <v>2618</v>
      </c>
      <c r="L2619" s="1" t="s">
        <v>1814</v>
      </c>
      <c r="N2619" s="1" t="s">
        <v>3799</v>
      </c>
      <c r="P2619" s="1" t="s">
        <v>5153</v>
      </c>
      <c r="Q2619" s="3">
        <v>1</v>
      </c>
      <c r="R2619" s="22" t="s">
        <v>2764</v>
      </c>
      <c r="S2619" s="22" t="s">
        <v>5100</v>
      </c>
      <c r="T2619" s="51">
        <v>31</v>
      </c>
      <c r="U2619" s="3" t="s">
        <v>5822</v>
      </c>
      <c r="V2619" s="41" t="str">
        <f>HYPERLINK("http://ictvonline.org/taxonomy/p/taxonomy-history?taxnode_id=20182614","ICTVonline=20182614")</f>
        <v>ICTVonline=20182614</v>
      </c>
    </row>
    <row r="2620" spans="1:22">
      <c r="A2620" s="3">
        <v>2619</v>
      </c>
      <c r="L2620" s="1" t="s">
        <v>667</v>
      </c>
      <c r="N2620" s="1" t="s">
        <v>668</v>
      </c>
      <c r="P2620" s="1" t="s">
        <v>669</v>
      </c>
      <c r="Q2620" s="3">
        <v>1</v>
      </c>
      <c r="R2620" s="22" t="s">
        <v>2764</v>
      </c>
      <c r="S2620" s="22" t="s">
        <v>5099</v>
      </c>
      <c r="T2620" s="51">
        <v>17</v>
      </c>
      <c r="U2620" s="3" t="s">
        <v>5823</v>
      </c>
      <c r="V2620" s="41" t="str">
        <f>HYPERLINK("http://ictvonline.org/taxonomy/p/taxonomy-history?taxnode_id=20182618","ICTVonline=20182618")</f>
        <v>ICTVonline=20182618</v>
      </c>
    </row>
    <row r="2621" spans="1:22">
      <c r="A2621" s="3">
        <v>2620</v>
      </c>
      <c r="L2621" s="1" t="s">
        <v>670</v>
      </c>
      <c r="N2621" s="1" t="s">
        <v>671</v>
      </c>
      <c r="P2621" s="1" t="s">
        <v>44</v>
      </c>
      <c r="Q2621" s="3">
        <v>1</v>
      </c>
      <c r="R2621" s="22" t="s">
        <v>2766</v>
      </c>
      <c r="S2621" s="22" t="s">
        <v>5100</v>
      </c>
      <c r="T2621" s="51">
        <v>26</v>
      </c>
      <c r="U2621" s="3" t="s">
        <v>5832</v>
      </c>
      <c r="V2621" s="41" t="str">
        <f>HYPERLINK("http://ictvonline.org/taxonomy/p/taxonomy-history?taxnode_id=20182622","ICTVonline=20182622")</f>
        <v>ICTVonline=20182622</v>
      </c>
    </row>
    <row r="2622" spans="1:22">
      <c r="A2622" s="3">
        <v>2621</v>
      </c>
      <c r="L2622" s="1" t="s">
        <v>670</v>
      </c>
      <c r="N2622" s="1" t="s">
        <v>671</v>
      </c>
      <c r="P2622" s="1" t="s">
        <v>45</v>
      </c>
      <c r="Q2622" s="3">
        <v>0</v>
      </c>
      <c r="R2622" s="22" t="s">
        <v>2766</v>
      </c>
      <c r="S2622" s="22" t="s">
        <v>5100</v>
      </c>
      <c r="T2622" s="51">
        <v>26</v>
      </c>
      <c r="U2622" s="3" t="s">
        <v>5832</v>
      </c>
      <c r="V2622" s="41" t="str">
        <f>HYPERLINK("http://ictvonline.org/taxonomy/p/taxonomy-history?taxnode_id=20182623","ICTVonline=20182623")</f>
        <v>ICTVonline=20182623</v>
      </c>
    </row>
    <row r="2623" spans="1:22">
      <c r="A2623" s="3">
        <v>2622</v>
      </c>
      <c r="L2623" s="1" t="s">
        <v>670</v>
      </c>
      <c r="N2623" s="1" t="s">
        <v>671</v>
      </c>
      <c r="P2623" s="1" t="s">
        <v>46</v>
      </c>
      <c r="Q2623" s="3">
        <v>0</v>
      </c>
      <c r="R2623" s="22" t="s">
        <v>2766</v>
      </c>
      <c r="S2623" s="22" t="s">
        <v>5100</v>
      </c>
      <c r="T2623" s="51">
        <v>26</v>
      </c>
      <c r="U2623" s="3" t="s">
        <v>5832</v>
      </c>
      <c r="V2623" s="41" t="str">
        <f>HYPERLINK("http://ictvonline.org/taxonomy/p/taxonomy-history?taxnode_id=20182624","ICTVonline=20182624")</f>
        <v>ICTVonline=20182624</v>
      </c>
    </row>
    <row r="2624" spans="1:22">
      <c r="A2624" s="3">
        <v>2623</v>
      </c>
      <c r="L2624" s="1" t="s">
        <v>670</v>
      </c>
      <c r="N2624" s="1" t="s">
        <v>579</v>
      </c>
      <c r="P2624" s="1" t="s">
        <v>47</v>
      </c>
      <c r="Q2624" s="3">
        <v>1</v>
      </c>
      <c r="R2624" s="22" t="s">
        <v>2766</v>
      </c>
      <c r="S2624" s="22" t="s">
        <v>5100</v>
      </c>
      <c r="T2624" s="51">
        <v>26</v>
      </c>
      <c r="U2624" s="3" t="s">
        <v>5833</v>
      </c>
      <c r="V2624" s="41" t="str">
        <f>HYPERLINK("http://ictvonline.org/taxonomy/p/taxonomy-history?taxnode_id=20182626","ICTVonline=20182626")</f>
        <v>ICTVonline=20182626</v>
      </c>
    </row>
    <row r="2625" spans="1:22">
      <c r="A2625" s="3">
        <v>2624</v>
      </c>
      <c r="L2625" s="1" t="s">
        <v>670</v>
      </c>
      <c r="N2625" s="1" t="s">
        <v>579</v>
      </c>
      <c r="P2625" s="1" t="s">
        <v>58</v>
      </c>
      <c r="Q2625" s="3">
        <v>0</v>
      </c>
      <c r="R2625" s="22" t="s">
        <v>2766</v>
      </c>
      <c r="S2625" s="22" t="s">
        <v>5100</v>
      </c>
      <c r="T2625" s="51">
        <v>26</v>
      </c>
      <c r="U2625" s="3" t="s">
        <v>5833</v>
      </c>
      <c r="V2625" s="41" t="str">
        <f>HYPERLINK("http://ictvonline.org/taxonomy/p/taxonomy-history?taxnode_id=20182627","ICTVonline=20182627")</f>
        <v>ICTVonline=20182627</v>
      </c>
    </row>
    <row r="2626" spans="1:22">
      <c r="A2626" s="3">
        <v>2625</v>
      </c>
      <c r="L2626" s="1" t="s">
        <v>670</v>
      </c>
      <c r="N2626" s="1" t="s">
        <v>579</v>
      </c>
      <c r="P2626" s="1" t="s">
        <v>59</v>
      </c>
      <c r="Q2626" s="3">
        <v>0</v>
      </c>
      <c r="R2626" s="22" t="s">
        <v>2766</v>
      </c>
      <c r="S2626" s="22" t="s">
        <v>5100</v>
      </c>
      <c r="T2626" s="51">
        <v>26</v>
      </c>
      <c r="U2626" s="3" t="s">
        <v>5833</v>
      </c>
      <c r="V2626" s="41" t="str">
        <f>HYPERLINK("http://ictvonline.org/taxonomy/p/taxonomy-history?taxnode_id=20182628","ICTVonline=20182628")</f>
        <v>ICTVonline=20182628</v>
      </c>
    </row>
    <row r="2627" spans="1:22">
      <c r="A2627" s="3">
        <v>2626</v>
      </c>
      <c r="L2627" s="1" t="s">
        <v>670</v>
      </c>
      <c r="N2627" s="1" t="s">
        <v>579</v>
      </c>
      <c r="P2627" s="1" t="s">
        <v>60</v>
      </c>
      <c r="Q2627" s="3">
        <v>0</v>
      </c>
      <c r="R2627" s="22" t="s">
        <v>2766</v>
      </c>
      <c r="S2627" s="22" t="s">
        <v>5097</v>
      </c>
      <c r="T2627" s="51">
        <v>26</v>
      </c>
      <c r="U2627" s="3" t="s">
        <v>5833</v>
      </c>
      <c r="V2627" s="41" t="str">
        <f>HYPERLINK("http://ictvonline.org/taxonomy/p/taxonomy-history?taxnode_id=20182629","ICTVonline=20182629")</f>
        <v>ICTVonline=20182629</v>
      </c>
    </row>
    <row r="2628" spans="1:22">
      <c r="A2628" s="3">
        <v>2627</v>
      </c>
      <c r="L2628" s="1" t="s">
        <v>670</v>
      </c>
      <c r="N2628" s="1" t="s">
        <v>579</v>
      </c>
      <c r="P2628" s="1" t="s">
        <v>61</v>
      </c>
      <c r="Q2628" s="3">
        <v>0</v>
      </c>
      <c r="R2628" s="22" t="s">
        <v>2766</v>
      </c>
      <c r="S2628" s="22" t="s">
        <v>5097</v>
      </c>
      <c r="T2628" s="51">
        <v>26</v>
      </c>
      <c r="U2628" s="3" t="s">
        <v>5833</v>
      </c>
      <c r="V2628" s="41" t="str">
        <f>HYPERLINK("http://ictvonline.org/taxonomy/p/taxonomy-history?taxnode_id=20182630","ICTVonline=20182630")</f>
        <v>ICTVonline=20182630</v>
      </c>
    </row>
    <row r="2629" spans="1:22">
      <c r="A2629" s="3">
        <v>2628</v>
      </c>
      <c r="L2629" s="1" t="s">
        <v>670</v>
      </c>
      <c r="N2629" s="1" t="s">
        <v>579</v>
      </c>
      <c r="P2629" s="1" t="s">
        <v>62</v>
      </c>
      <c r="Q2629" s="3">
        <v>0</v>
      </c>
      <c r="R2629" s="22" t="s">
        <v>2766</v>
      </c>
      <c r="S2629" s="22" t="s">
        <v>5097</v>
      </c>
      <c r="T2629" s="51">
        <v>26</v>
      </c>
      <c r="U2629" s="3" t="s">
        <v>5833</v>
      </c>
      <c r="V2629" s="41" t="str">
        <f>HYPERLINK("http://ictvonline.org/taxonomy/p/taxonomy-history?taxnode_id=20182631","ICTVonline=20182631")</f>
        <v>ICTVonline=20182631</v>
      </c>
    </row>
    <row r="2630" spans="1:22">
      <c r="A2630" s="3">
        <v>2629</v>
      </c>
      <c r="L2630" s="1" t="s">
        <v>670</v>
      </c>
      <c r="N2630" s="1" t="s">
        <v>579</v>
      </c>
      <c r="P2630" s="1" t="s">
        <v>63</v>
      </c>
      <c r="Q2630" s="3">
        <v>0</v>
      </c>
      <c r="R2630" s="22" t="s">
        <v>2766</v>
      </c>
      <c r="S2630" s="22" t="s">
        <v>5097</v>
      </c>
      <c r="T2630" s="51">
        <v>26</v>
      </c>
      <c r="U2630" s="3" t="s">
        <v>5833</v>
      </c>
      <c r="V2630" s="41" t="str">
        <f>HYPERLINK("http://ictvonline.org/taxonomy/p/taxonomy-history?taxnode_id=20182632","ICTVonline=20182632")</f>
        <v>ICTVonline=20182632</v>
      </c>
    </row>
    <row r="2631" spans="1:22">
      <c r="A2631" s="3">
        <v>2630</v>
      </c>
      <c r="L2631" s="1" t="s">
        <v>670</v>
      </c>
      <c r="N2631" s="1" t="s">
        <v>579</v>
      </c>
      <c r="P2631" s="1" t="s">
        <v>64</v>
      </c>
      <c r="Q2631" s="3">
        <v>0</v>
      </c>
      <c r="R2631" s="22" t="s">
        <v>2766</v>
      </c>
      <c r="S2631" s="22" t="s">
        <v>5097</v>
      </c>
      <c r="T2631" s="51">
        <v>26</v>
      </c>
      <c r="U2631" s="3" t="s">
        <v>5833</v>
      </c>
      <c r="V2631" s="41" t="str">
        <f>HYPERLINK("http://ictvonline.org/taxonomy/p/taxonomy-history?taxnode_id=20182633","ICTVonline=20182633")</f>
        <v>ICTVonline=20182633</v>
      </c>
    </row>
    <row r="2632" spans="1:22">
      <c r="A2632" s="3">
        <v>2631</v>
      </c>
      <c r="L2632" s="1" t="s">
        <v>670</v>
      </c>
      <c r="N2632" s="1" t="s">
        <v>579</v>
      </c>
      <c r="P2632" s="1" t="s">
        <v>65</v>
      </c>
      <c r="Q2632" s="3">
        <v>0</v>
      </c>
      <c r="R2632" s="22" t="s">
        <v>2766</v>
      </c>
      <c r="S2632" s="22" t="s">
        <v>5097</v>
      </c>
      <c r="T2632" s="51">
        <v>26</v>
      </c>
      <c r="U2632" s="3" t="s">
        <v>5833</v>
      </c>
      <c r="V2632" s="41" t="str">
        <f>HYPERLINK("http://ictvonline.org/taxonomy/p/taxonomy-history?taxnode_id=20182634","ICTVonline=20182634")</f>
        <v>ICTVonline=20182634</v>
      </c>
    </row>
    <row r="2633" spans="1:22">
      <c r="A2633" s="3">
        <v>2632</v>
      </c>
      <c r="L2633" s="1" t="s">
        <v>670</v>
      </c>
      <c r="N2633" s="1" t="s">
        <v>579</v>
      </c>
      <c r="P2633" s="1" t="s">
        <v>48</v>
      </c>
      <c r="Q2633" s="3">
        <v>0</v>
      </c>
      <c r="R2633" s="22" t="s">
        <v>2766</v>
      </c>
      <c r="S2633" s="22" t="s">
        <v>5100</v>
      </c>
      <c r="T2633" s="51">
        <v>26</v>
      </c>
      <c r="U2633" s="3" t="s">
        <v>5833</v>
      </c>
      <c r="V2633" s="41" t="str">
        <f>HYPERLINK("http://ictvonline.org/taxonomy/p/taxonomy-history?taxnode_id=20182635","ICTVonline=20182635")</f>
        <v>ICTVonline=20182635</v>
      </c>
    </row>
    <row r="2634" spans="1:22">
      <c r="A2634" s="3">
        <v>2633</v>
      </c>
      <c r="L2634" s="1" t="s">
        <v>670</v>
      </c>
      <c r="N2634" s="1" t="s">
        <v>579</v>
      </c>
      <c r="P2634" s="1" t="s">
        <v>49</v>
      </c>
      <c r="Q2634" s="3">
        <v>0</v>
      </c>
      <c r="R2634" s="22" t="s">
        <v>2766</v>
      </c>
      <c r="S2634" s="22" t="s">
        <v>5097</v>
      </c>
      <c r="T2634" s="51">
        <v>26</v>
      </c>
      <c r="U2634" s="3" t="s">
        <v>5833</v>
      </c>
      <c r="V2634" s="41" t="str">
        <f>HYPERLINK("http://ictvonline.org/taxonomy/p/taxonomy-history?taxnode_id=20182636","ICTVonline=20182636")</f>
        <v>ICTVonline=20182636</v>
      </c>
    </row>
    <row r="2635" spans="1:22">
      <c r="A2635" s="3">
        <v>2634</v>
      </c>
      <c r="L2635" s="1" t="s">
        <v>670</v>
      </c>
      <c r="N2635" s="1" t="s">
        <v>579</v>
      </c>
      <c r="P2635" s="1" t="s">
        <v>50</v>
      </c>
      <c r="Q2635" s="3">
        <v>0</v>
      </c>
      <c r="R2635" s="22" t="s">
        <v>2766</v>
      </c>
      <c r="S2635" s="22" t="s">
        <v>5097</v>
      </c>
      <c r="T2635" s="51">
        <v>26</v>
      </c>
      <c r="U2635" s="3" t="s">
        <v>5833</v>
      </c>
      <c r="V2635" s="41" t="str">
        <f>HYPERLINK("http://ictvonline.org/taxonomy/p/taxonomy-history?taxnode_id=20182637","ICTVonline=20182637")</f>
        <v>ICTVonline=20182637</v>
      </c>
    </row>
    <row r="2636" spans="1:22">
      <c r="A2636" s="3">
        <v>2635</v>
      </c>
      <c r="L2636" s="1" t="s">
        <v>670</v>
      </c>
      <c r="N2636" s="1" t="s">
        <v>579</v>
      </c>
      <c r="P2636" s="1" t="s">
        <v>51</v>
      </c>
      <c r="Q2636" s="3">
        <v>0</v>
      </c>
      <c r="R2636" s="22" t="s">
        <v>2766</v>
      </c>
      <c r="S2636" s="22" t="s">
        <v>5100</v>
      </c>
      <c r="T2636" s="51">
        <v>26</v>
      </c>
      <c r="U2636" s="3" t="s">
        <v>5833</v>
      </c>
      <c r="V2636" s="41" t="str">
        <f>HYPERLINK("http://ictvonline.org/taxonomy/p/taxonomy-history?taxnode_id=20182638","ICTVonline=20182638")</f>
        <v>ICTVonline=20182638</v>
      </c>
    </row>
    <row r="2637" spans="1:22">
      <c r="A2637" s="3">
        <v>2636</v>
      </c>
      <c r="L2637" s="1" t="s">
        <v>670</v>
      </c>
      <c r="N2637" s="1" t="s">
        <v>579</v>
      </c>
      <c r="P2637" s="1" t="s">
        <v>52</v>
      </c>
      <c r="Q2637" s="3">
        <v>0</v>
      </c>
      <c r="R2637" s="22" t="s">
        <v>2766</v>
      </c>
      <c r="S2637" s="22" t="s">
        <v>5097</v>
      </c>
      <c r="T2637" s="51">
        <v>26</v>
      </c>
      <c r="U2637" s="3" t="s">
        <v>5833</v>
      </c>
      <c r="V2637" s="41" t="str">
        <f>HYPERLINK("http://ictvonline.org/taxonomy/p/taxonomy-history?taxnode_id=20182639","ICTVonline=20182639")</f>
        <v>ICTVonline=20182639</v>
      </c>
    </row>
    <row r="2638" spans="1:22">
      <c r="A2638" s="3">
        <v>2637</v>
      </c>
      <c r="L2638" s="1" t="s">
        <v>670</v>
      </c>
      <c r="N2638" s="1" t="s">
        <v>579</v>
      </c>
      <c r="P2638" s="1" t="s">
        <v>53</v>
      </c>
      <c r="Q2638" s="3">
        <v>0</v>
      </c>
      <c r="R2638" s="22" t="s">
        <v>2766</v>
      </c>
      <c r="S2638" s="22" t="s">
        <v>5097</v>
      </c>
      <c r="T2638" s="51">
        <v>26</v>
      </c>
      <c r="U2638" s="3" t="s">
        <v>5833</v>
      </c>
      <c r="V2638" s="41" t="str">
        <f>HYPERLINK("http://ictvonline.org/taxonomy/p/taxonomy-history?taxnode_id=20182640","ICTVonline=20182640")</f>
        <v>ICTVonline=20182640</v>
      </c>
    </row>
    <row r="2639" spans="1:22">
      <c r="A2639" s="3">
        <v>2638</v>
      </c>
      <c r="L2639" s="1" t="s">
        <v>670</v>
      </c>
      <c r="N2639" s="1" t="s">
        <v>579</v>
      </c>
      <c r="P2639" s="1" t="s">
        <v>54</v>
      </c>
      <c r="Q2639" s="3">
        <v>0</v>
      </c>
      <c r="R2639" s="22" t="s">
        <v>2766</v>
      </c>
      <c r="S2639" s="22" t="s">
        <v>5097</v>
      </c>
      <c r="T2639" s="51">
        <v>26</v>
      </c>
      <c r="U2639" s="3" t="s">
        <v>5833</v>
      </c>
      <c r="V2639" s="41" t="str">
        <f>HYPERLINK("http://ictvonline.org/taxonomy/p/taxonomy-history?taxnode_id=20182641","ICTVonline=20182641")</f>
        <v>ICTVonline=20182641</v>
      </c>
    </row>
    <row r="2640" spans="1:22">
      <c r="A2640" s="3">
        <v>2639</v>
      </c>
      <c r="L2640" s="1" t="s">
        <v>670</v>
      </c>
      <c r="N2640" s="1" t="s">
        <v>579</v>
      </c>
      <c r="P2640" s="1" t="s">
        <v>55</v>
      </c>
      <c r="Q2640" s="3">
        <v>0</v>
      </c>
      <c r="R2640" s="22" t="s">
        <v>2766</v>
      </c>
      <c r="S2640" s="22" t="s">
        <v>5097</v>
      </c>
      <c r="T2640" s="51">
        <v>26</v>
      </c>
      <c r="U2640" s="3" t="s">
        <v>5833</v>
      </c>
      <c r="V2640" s="41" t="str">
        <f>HYPERLINK("http://ictvonline.org/taxonomy/p/taxonomy-history?taxnode_id=20182642","ICTVonline=20182642")</f>
        <v>ICTVonline=20182642</v>
      </c>
    </row>
    <row r="2641" spans="1:22">
      <c r="A2641" s="3">
        <v>2640</v>
      </c>
      <c r="L2641" s="1" t="s">
        <v>670</v>
      </c>
      <c r="N2641" s="1" t="s">
        <v>579</v>
      </c>
      <c r="P2641" s="1" t="s">
        <v>56</v>
      </c>
      <c r="Q2641" s="3">
        <v>0</v>
      </c>
      <c r="R2641" s="22" t="s">
        <v>2766</v>
      </c>
      <c r="S2641" s="22" t="s">
        <v>5097</v>
      </c>
      <c r="T2641" s="51">
        <v>26</v>
      </c>
      <c r="U2641" s="3" t="s">
        <v>5833</v>
      </c>
      <c r="V2641" s="41" t="str">
        <f>HYPERLINK("http://ictvonline.org/taxonomy/p/taxonomy-history?taxnode_id=20182643","ICTVonline=20182643")</f>
        <v>ICTVonline=20182643</v>
      </c>
    </row>
    <row r="2642" spans="1:22">
      <c r="A2642" s="3">
        <v>2641</v>
      </c>
      <c r="L2642" s="1" t="s">
        <v>670</v>
      </c>
      <c r="N2642" s="1" t="s">
        <v>579</v>
      </c>
      <c r="P2642" s="1" t="s">
        <v>57</v>
      </c>
      <c r="Q2642" s="3">
        <v>0</v>
      </c>
      <c r="R2642" s="22" t="s">
        <v>2766</v>
      </c>
      <c r="S2642" s="22" t="s">
        <v>5097</v>
      </c>
      <c r="T2642" s="51">
        <v>26</v>
      </c>
      <c r="U2642" s="3" t="s">
        <v>5833</v>
      </c>
      <c r="V2642" s="41" t="str">
        <f>HYPERLINK("http://ictvonline.org/taxonomy/p/taxonomy-history?taxnode_id=20182644","ICTVonline=20182644")</f>
        <v>ICTVonline=20182644</v>
      </c>
    </row>
    <row r="2643" spans="1:22">
      <c r="A2643" s="3">
        <v>2642</v>
      </c>
      <c r="L2643" s="1" t="s">
        <v>554</v>
      </c>
      <c r="N2643" s="1" t="s">
        <v>555</v>
      </c>
      <c r="P2643" s="1" t="s">
        <v>556</v>
      </c>
      <c r="Q2643" s="3">
        <v>1</v>
      </c>
      <c r="R2643" s="22" t="s">
        <v>6712</v>
      </c>
      <c r="S2643" s="22" t="s">
        <v>5099</v>
      </c>
      <c r="T2643" s="51">
        <v>17</v>
      </c>
      <c r="U2643" s="3" t="s">
        <v>5823</v>
      </c>
      <c r="V2643" s="41" t="str">
        <f>HYPERLINK("http://ictvonline.org/taxonomy/p/taxonomy-history?taxnode_id=20182648","ICTVonline=20182648")</f>
        <v>ICTVonline=20182648</v>
      </c>
    </row>
    <row r="2644" spans="1:22">
      <c r="A2644" s="3">
        <v>2643</v>
      </c>
      <c r="L2644" s="1" t="s">
        <v>554</v>
      </c>
      <c r="N2644" s="1" t="s">
        <v>557</v>
      </c>
      <c r="P2644" s="1" t="s">
        <v>558</v>
      </c>
      <c r="Q2644" s="3">
        <v>1</v>
      </c>
      <c r="R2644" s="22" t="s">
        <v>6712</v>
      </c>
      <c r="S2644" s="22" t="s">
        <v>5102</v>
      </c>
      <c r="T2644" s="51">
        <v>24</v>
      </c>
      <c r="U2644" s="3" t="s">
        <v>5834</v>
      </c>
      <c r="V2644" s="41" t="str">
        <f>HYPERLINK("http://ictvonline.org/taxonomy/p/taxonomy-history?taxnode_id=20182650","ICTVonline=20182650")</f>
        <v>ICTVonline=20182650</v>
      </c>
    </row>
    <row r="2645" spans="1:22">
      <c r="A2645" s="3">
        <v>2644</v>
      </c>
      <c r="L2645" s="1" t="s">
        <v>554</v>
      </c>
      <c r="N2645" s="1" t="s">
        <v>559</v>
      </c>
      <c r="P2645" s="1" t="s">
        <v>560</v>
      </c>
      <c r="Q2645" s="3">
        <v>0</v>
      </c>
      <c r="R2645" s="22" t="s">
        <v>6712</v>
      </c>
      <c r="S2645" s="22" t="s">
        <v>5097</v>
      </c>
      <c r="T2645" s="51">
        <v>17</v>
      </c>
      <c r="U2645" s="3" t="s">
        <v>5823</v>
      </c>
      <c r="V2645" s="41" t="str">
        <f>HYPERLINK("http://ictvonline.org/taxonomy/p/taxonomy-history?taxnode_id=20182652","ICTVonline=20182652")</f>
        <v>ICTVonline=20182652</v>
      </c>
    </row>
    <row r="2646" spans="1:22">
      <c r="A2646" s="3">
        <v>2645</v>
      </c>
      <c r="L2646" s="1" t="s">
        <v>554</v>
      </c>
      <c r="N2646" s="1" t="s">
        <v>559</v>
      </c>
      <c r="P2646" s="1" t="s">
        <v>1735</v>
      </c>
      <c r="Q2646" s="3">
        <v>1</v>
      </c>
      <c r="R2646" s="22" t="s">
        <v>6712</v>
      </c>
      <c r="S2646" s="22" t="s">
        <v>5103</v>
      </c>
      <c r="T2646" s="51">
        <v>17</v>
      </c>
      <c r="U2646" s="3" t="s">
        <v>5823</v>
      </c>
      <c r="V2646" s="41" t="str">
        <f>HYPERLINK("http://ictvonline.org/taxonomy/p/taxonomy-history?taxnode_id=20182653","ICTVonline=20182653")</f>
        <v>ICTVonline=20182653</v>
      </c>
    </row>
    <row r="2647" spans="1:22">
      <c r="A2647" s="3">
        <v>2646</v>
      </c>
      <c r="L2647" s="1" t="s">
        <v>5835</v>
      </c>
      <c r="N2647" s="1" t="s">
        <v>5836</v>
      </c>
      <c r="P2647" s="1" t="s">
        <v>5837</v>
      </c>
      <c r="Q2647" s="3">
        <v>1</v>
      </c>
      <c r="R2647" s="22" t="s">
        <v>2767</v>
      </c>
      <c r="S2647" s="22" t="s">
        <v>5097</v>
      </c>
      <c r="T2647" s="51">
        <v>32</v>
      </c>
      <c r="U2647" s="3" t="s">
        <v>5838</v>
      </c>
      <c r="V2647" s="41" t="str">
        <f>HYPERLINK("http://ictvonline.org/taxonomy/p/taxonomy-history?taxnode_id=20185746","ICTVonline=20185746")</f>
        <v>ICTVonline=20185746</v>
      </c>
    </row>
    <row r="2648" spans="1:22">
      <c r="A2648" s="3">
        <v>2647</v>
      </c>
      <c r="L2648" s="1" t="s">
        <v>5835</v>
      </c>
      <c r="N2648" s="1" t="s">
        <v>5839</v>
      </c>
      <c r="P2648" s="1" t="s">
        <v>5840</v>
      </c>
      <c r="Q2648" s="3">
        <v>1</v>
      </c>
      <c r="R2648" s="22" t="s">
        <v>2767</v>
      </c>
      <c r="S2648" s="22" t="s">
        <v>5097</v>
      </c>
      <c r="T2648" s="51">
        <v>32</v>
      </c>
      <c r="U2648" s="3" t="s">
        <v>5838</v>
      </c>
      <c r="V2648" s="41" t="str">
        <f>HYPERLINK("http://ictvonline.org/taxonomy/p/taxonomy-history?taxnode_id=20185748","ICTVonline=20185748")</f>
        <v>ICTVonline=20185748</v>
      </c>
    </row>
    <row r="2649" spans="1:22">
      <c r="A2649" s="3">
        <v>2648</v>
      </c>
      <c r="L2649" s="1" t="s">
        <v>5835</v>
      </c>
      <c r="N2649" s="1" t="s">
        <v>5841</v>
      </c>
      <c r="P2649" s="1" t="s">
        <v>5842</v>
      </c>
      <c r="Q2649" s="3">
        <v>1</v>
      </c>
      <c r="R2649" s="22" t="s">
        <v>2767</v>
      </c>
      <c r="S2649" s="22" t="s">
        <v>5097</v>
      </c>
      <c r="T2649" s="51">
        <v>32</v>
      </c>
      <c r="U2649" s="3" t="s">
        <v>5838</v>
      </c>
      <c r="V2649" s="41" t="str">
        <f>HYPERLINK("http://ictvonline.org/taxonomy/p/taxonomy-history?taxnode_id=20185339","ICTVonline=20185339")</f>
        <v>ICTVonline=20185339</v>
      </c>
    </row>
    <row r="2650" spans="1:22">
      <c r="A2650" s="3">
        <v>2649</v>
      </c>
      <c r="L2650" s="1" t="s">
        <v>5835</v>
      </c>
      <c r="N2650" s="1" t="s">
        <v>5841</v>
      </c>
      <c r="P2650" s="1" t="s">
        <v>5843</v>
      </c>
      <c r="Q2650" s="3">
        <v>0</v>
      </c>
      <c r="R2650" s="22" t="s">
        <v>2767</v>
      </c>
      <c r="S2650" s="22" t="s">
        <v>5097</v>
      </c>
      <c r="T2650" s="51">
        <v>32</v>
      </c>
      <c r="U2650" s="3" t="s">
        <v>5838</v>
      </c>
      <c r="V2650" s="41" t="str">
        <f>HYPERLINK("http://ictvonline.org/taxonomy/p/taxonomy-history?taxnode_id=20185750","ICTVonline=20185750")</f>
        <v>ICTVonline=20185750</v>
      </c>
    </row>
    <row r="2651" spans="1:22">
      <c r="A2651" s="3">
        <v>2650</v>
      </c>
      <c r="L2651" s="1" t="s">
        <v>5835</v>
      </c>
      <c r="N2651" s="1" t="s">
        <v>5841</v>
      </c>
      <c r="P2651" s="1" t="s">
        <v>5844</v>
      </c>
      <c r="Q2651" s="3">
        <v>0</v>
      </c>
      <c r="R2651" s="22" t="s">
        <v>2767</v>
      </c>
      <c r="S2651" s="22" t="s">
        <v>5097</v>
      </c>
      <c r="T2651" s="51">
        <v>32</v>
      </c>
      <c r="U2651" s="3" t="s">
        <v>5838</v>
      </c>
      <c r="V2651" s="41" t="str">
        <f>HYPERLINK("http://ictvonline.org/taxonomy/p/taxonomy-history?taxnode_id=20185751","ICTVonline=20185751")</f>
        <v>ICTVonline=20185751</v>
      </c>
    </row>
    <row r="2652" spans="1:22">
      <c r="A2652" s="3">
        <v>2651</v>
      </c>
      <c r="L2652" s="1" t="s">
        <v>5835</v>
      </c>
      <c r="N2652" s="1" t="s">
        <v>5841</v>
      </c>
      <c r="P2652" s="1" t="s">
        <v>5845</v>
      </c>
      <c r="Q2652" s="3">
        <v>0</v>
      </c>
      <c r="R2652" s="22" t="s">
        <v>2767</v>
      </c>
      <c r="S2652" s="22" t="s">
        <v>5097</v>
      </c>
      <c r="T2652" s="51">
        <v>32</v>
      </c>
      <c r="U2652" s="3" t="s">
        <v>5838</v>
      </c>
      <c r="V2652" s="41" t="str">
        <f>HYPERLINK("http://ictvonline.org/taxonomy/p/taxonomy-history?taxnode_id=20185752","ICTVonline=20185752")</f>
        <v>ICTVonline=20185752</v>
      </c>
    </row>
    <row r="2653" spans="1:22">
      <c r="A2653" s="3">
        <v>2652</v>
      </c>
      <c r="L2653" s="1" t="s">
        <v>5835</v>
      </c>
      <c r="N2653" s="1" t="s">
        <v>5841</v>
      </c>
      <c r="P2653" s="1" t="s">
        <v>5846</v>
      </c>
      <c r="Q2653" s="3">
        <v>0</v>
      </c>
      <c r="R2653" s="22" t="s">
        <v>2767</v>
      </c>
      <c r="S2653" s="22" t="s">
        <v>5097</v>
      </c>
      <c r="T2653" s="51">
        <v>32</v>
      </c>
      <c r="U2653" s="3" t="s">
        <v>5838</v>
      </c>
      <c r="V2653" s="41" t="str">
        <f>HYPERLINK("http://ictvonline.org/taxonomy/p/taxonomy-history?taxnode_id=20185753","ICTVonline=20185753")</f>
        <v>ICTVonline=20185753</v>
      </c>
    </row>
    <row r="2654" spans="1:22">
      <c r="A2654" s="3">
        <v>2653</v>
      </c>
      <c r="L2654" s="1" t="s">
        <v>5835</v>
      </c>
      <c r="N2654" s="1" t="s">
        <v>5841</v>
      </c>
      <c r="P2654" s="1" t="s">
        <v>5847</v>
      </c>
      <c r="Q2654" s="3">
        <v>0</v>
      </c>
      <c r="R2654" s="22" t="s">
        <v>2767</v>
      </c>
      <c r="S2654" s="22" t="s">
        <v>5097</v>
      </c>
      <c r="T2654" s="51">
        <v>32</v>
      </c>
      <c r="U2654" s="3" t="s">
        <v>5838</v>
      </c>
      <c r="V2654" s="41" t="str">
        <f>HYPERLINK("http://ictvonline.org/taxonomy/p/taxonomy-history?taxnode_id=20185754","ICTVonline=20185754")</f>
        <v>ICTVonline=20185754</v>
      </c>
    </row>
    <row r="2655" spans="1:22">
      <c r="A2655" s="3">
        <v>2654</v>
      </c>
      <c r="L2655" s="1" t="s">
        <v>5835</v>
      </c>
      <c r="N2655" s="1" t="s">
        <v>5841</v>
      </c>
      <c r="P2655" s="1" t="s">
        <v>5848</v>
      </c>
      <c r="Q2655" s="3">
        <v>0</v>
      </c>
      <c r="R2655" s="22" t="s">
        <v>2767</v>
      </c>
      <c r="S2655" s="22" t="s">
        <v>5097</v>
      </c>
      <c r="T2655" s="51">
        <v>32</v>
      </c>
      <c r="U2655" s="3" t="s">
        <v>5838</v>
      </c>
      <c r="V2655" s="41" t="str">
        <f>HYPERLINK("http://ictvonline.org/taxonomy/p/taxonomy-history?taxnode_id=20185755","ICTVonline=20185755")</f>
        <v>ICTVonline=20185755</v>
      </c>
    </row>
    <row r="2656" spans="1:22">
      <c r="A2656" s="3">
        <v>2655</v>
      </c>
      <c r="L2656" s="1" t="s">
        <v>1736</v>
      </c>
      <c r="N2656" s="1" t="s">
        <v>1737</v>
      </c>
      <c r="P2656" s="1" t="s">
        <v>696</v>
      </c>
      <c r="Q2656" s="3">
        <v>0</v>
      </c>
      <c r="R2656" s="22" t="s">
        <v>2764</v>
      </c>
      <c r="S2656" s="22" t="s">
        <v>5099</v>
      </c>
      <c r="T2656" s="51">
        <v>24</v>
      </c>
      <c r="U2656" s="3" t="s">
        <v>5849</v>
      </c>
      <c r="V2656" s="41" t="str">
        <f>HYPERLINK("http://ictvonline.org/taxonomy/p/taxonomy-history?taxnode_id=20182657","ICTVonline=20182657")</f>
        <v>ICTVonline=20182657</v>
      </c>
    </row>
    <row r="2657" spans="1:22">
      <c r="A2657" s="3">
        <v>2656</v>
      </c>
      <c r="L2657" s="1" t="s">
        <v>1736</v>
      </c>
      <c r="N2657" s="1" t="s">
        <v>1737</v>
      </c>
      <c r="P2657" s="1" t="s">
        <v>697</v>
      </c>
      <c r="Q2657" s="3">
        <v>0</v>
      </c>
      <c r="R2657" s="22" t="s">
        <v>2764</v>
      </c>
      <c r="S2657" s="22" t="s">
        <v>5099</v>
      </c>
      <c r="T2657" s="51">
        <v>24</v>
      </c>
      <c r="U2657" s="3" t="s">
        <v>5849</v>
      </c>
      <c r="V2657" s="41" t="str">
        <f>HYPERLINK("http://ictvonline.org/taxonomy/p/taxonomy-history?taxnode_id=20182658","ICTVonline=20182658")</f>
        <v>ICTVonline=20182658</v>
      </c>
    </row>
    <row r="2658" spans="1:22">
      <c r="A2658" s="3">
        <v>2657</v>
      </c>
      <c r="L2658" s="1" t="s">
        <v>1736</v>
      </c>
      <c r="N2658" s="1" t="s">
        <v>1737</v>
      </c>
      <c r="P2658" s="1" t="s">
        <v>3800</v>
      </c>
      <c r="Q2658" s="3">
        <v>0</v>
      </c>
      <c r="R2658" s="22" t="s">
        <v>2764</v>
      </c>
      <c r="S2658" s="22" t="s">
        <v>5100</v>
      </c>
      <c r="T2658" s="51">
        <v>30</v>
      </c>
      <c r="U2658" s="3" t="s">
        <v>5850</v>
      </c>
      <c r="V2658" s="41" t="str">
        <f>HYPERLINK("http://ictvonline.org/taxonomy/p/taxonomy-history?taxnode_id=20182659","ICTVonline=20182659")</f>
        <v>ICTVonline=20182659</v>
      </c>
    </row>
    <row r="2659" spans="1:22">
      <c r="A2659" s="3">
        <v>2658</v>
      </c>
      <c r="L2659" s="1" t="s">
        <v>1736</v>
      </c>
      <c r="N2659" s="1" t="s">
        <v>1737</v>
      </c>
      <c r="P2659" s="1" t="s">
        <v>3801</v>
      </c>
      <c r="Q2659" s="3">
        <v>0</v>
      </c>
      <c r="R2659" s="22" t="s">
        <v>2764</v>
      </c>
      <c r="S2659" s="22" t="s">
        <v>5097</v>
      </c>
      <c r="T2659" s="51">
        <v>30</v>
      </c>
      <c r="U2659" s="3" t="s">
        <v>5850</v>
      </c>
      <c r="V2659" s="41" t="str">
        <f>HYPERLINK("http://ictvonline.org/taxonomy/p/taxonomy-history?taxnode_id=20182660","ICTVonline=20182660")</f>
        <v>ICTVonline=20182660</v>
      </c>
    </row>
    <row r="2660" spans="1:22">
      <c r="A2660" s="3">
        <v>2659</v>
      </c>
      <c r="L2660" s="1" t="s">
        <v>1736</v>
      </c>
      <c r="N2660" s="1" t="s">
        <v>1737</v>
      </c>
      <c r="P2660" s="1" t="s">
        <v>2228</v>
      </c>
      <c r="Q2660" s="3">
        <v>0</v>
      </c>
      <c r="R2660" s="22" t="s">
        <v>2764</v>
      </c>
      <c r="S2660" s="22" t="s">
        <v>5097</v>
      </c>
      <c r="T2660" s="51">
        <v>27</v>
      </c>
      <c r="U2660" s="3" t="s">
        <v>5851</v>
      </c>
      <c r="V2660" s="41" t="str">
        <f>HYPERLINK("http://ictvonline.org/taxonomy/p/taxonomy-history?taxnode_id=20182661","ICTVonline=20182661")</f>
        <v>ICTVonline=20182661</v>
      </c>
    </row>
    <row r="2661" spans="1:22">
      <c r="A2661" s="3">
        <v>2660</v>
      </c>
      <c r="L2661" s="1" t="s">
        <v>1736</v>
      </c>
      <c r="N2661" s="1" t="s">
        <v>1737</v>
      </c>
      <c r="P2661" s="1" t="s">
        <v>1753</v>
      </c>
      <c r="Q2661" s="3">
        <v>0</v>
      </c>
      <c r="R2661" s="22" t="s">
        <v>2764</v>
      </c>
      <c r="S2661" s="22" t="s">
        <v>5099</v>
      </c>
      <c r="T2661" s="51">
        <v>24</v>
      </c>
      <c r="U2661" s="3" t="s">
        <v>5849</v>
      </c>
      <c r="V2661" s="41" t="str">
        <f>HYPERLINK("http://ictvonline.org/taxonomy/p/taxonomy-history?taxnode_id=20182662","ICTVonline=20182662")</f>
        <v>ICTVonline=20182662</v>
      </c>
    </row>
    <row r="2662" spans="1:22">
      <c r="A2662" s="3">
        <v>2661</v>
      </c>
      <c r="L2662" s="1" t="s">
        <v>1736</v>
      </c>
      <c r="N2662" s="1" t="s">
        <v>1737</v>
      </c>
      <c r="P2662" s="1" t="s">
        <v>698</v>
      </c>
      <c r="Q2662" s="3">
        <v>1</v>
      </c>
      <c r="R2662" s="22" t="s">
        <v>2764</v>
      </c>
      <c r="S2662" s="22" t="s">
        <v>5099</v>
      </c>
      <c r="T2662" s="51">
        <v>24</v>
      </c>
      <c r="U2662" s="3" t="s">
        <v>5849</v>
      </c>
      <c r="V2662" s="41" t="str">
        <f>HYPERLINK("http://ictvonline.org/taxonomy/p/taxonomy-history?taxnode_id=20182663","ICTVonline=20182663")</f>
        <v>ICTVonline=20182663</v>
      </c>
    </row>
    <row r="2663" spans="1:22">
      <c r="A2663" s="3">
        <v>2662</v>
      </c>
      <c r="L2663" s="1" t="s">
        <v>1736</v>
      </c>
      <c r="N2663" s="1" t="s">
        <v>1737</v>
      </c>
      <c r="P2663" s="1" t="s">
        <v>699</v>
      </c>
      <c r="Q2663" s="3">
        <v>0</v>
      </c>
      <c r="R2663" s="22" t="s">
        <v>2764</v>
      </c>
      <c r="S2663" s="22" t="s">
        <v>5099</v>
      </c>
      <c r="T2663" s="51">
        <v>24</v>
      </c>
      <c r="U2663" s="3" t="s">
        <v>5849</v>
      </c>
      <c r="V2663" s="41" t="str">
        <f>HYPERLINK("http://ictvonline.org/taxonomy/p/taxonomy-history?taxnode_id=20182664","ICTVonline=20182664")</f>
        <v>ICTVonline=20182664</v>
      </c>
    </row>
    <row r="2664" spans="1:22">
      <c r="A2664" s="3">
        <v>2663</v>
      </c>
      <c r="L2664" s="1" t="s">
        <v>1736</v>
      </c>
      <c r="N2664" s="1" t="s">
        <v>1737</v>
      </c>
      <c r="P2664" s="1" t="s">
        <v>700</v>
      </c>
      <c r="Q2664" s="3">
        <v>0</v>
      </c>
      <c r="R2664" s="22" t="s">
        <v>2764</v>
      </c>
      <c r="S2664" s="22" t="s">
        <v>5099</v>
      </c>
      <c r="T2664" s="51">
        <v>24</v>
      </c>
      <c r="U2664" s="3" t="s">
        <v>5849</v>
      </c>
      <c r="V2664" s="41" t="str">
        <f>HYPERLINK("http://ictvonline.org/taxonomy/p/taxonomy-history?taxnode_id=20182665","ICTVonline=20182665")</f>
        <v>ICTVonline=20182665</v>
      </c>
    </row>
    <row r="2665" spans="1:22">
      <c r="A2665" s="3">
        <v>2664</v>
      </c>
      <c r="L2665" s="1" t="s">
        <v>1736</v>
      </c>
      <c r="N2665" s="1" t="s">
        <v>1737</v>
      </c>
      <c r="P2665" s="1" t="s">
        <v>4799</v>
      </c>
      <c r="Q2665" s="3">
        <v>0</v>
      </c>
      <c r="R2665" s="22" t="s">
        <v>2764</v>
      </c>
      <c r="S2665" s="22" t="s">
        <v>5097</v>
      </c>
      <c r="T2665" s="51">
        <v>31</v>
      </c>
      <c r="U2665" s="3" t="s">
        <v>5852</v>
      </c>
      <c r="V2665" s="41" t="str">
        <f>HYPERLINK("http://ictvonline.org/taxonomy/p/taxonomy-history?taxnode_id=20182666","ICTVonline=20182666")</f>
        <v>ICTVonline=20182666</v>
      </c>
    </row>
    <row r="2666" spans="1:22">
      <c r="A2666" s="3">
        <v>2665</v>
      </c>
      <c r="L2666" s="1" t="s">
        <v>1736</v>
      </c>
      <c r="N2666" s="1" t="s">
        <v>1737</v>
      </c>
      <c r="P2666" s="1" t="s">
        <v>701</v>
      </c>
      <c r="Q2666" s="3">
        <v>0</v>
      </c>
      <c r="R2666" s="22" t="s">
        <v>2764</v>
      </c>
      <c r="S2666" s="22" t="s">
        <v>5099</v>
      </c>
      <c r="T2666" s="51">
        <v>24</v>
      </c>
      <c r="U2666" s="3" t="s">
        <v>5849</v>
      </c>
      <c r="V2666" s="41" t="str">
        <f>HYPERLINK("http://ictvonline.org/taxonomy/p/taxonomy-history?taxnode_id=20182667","ICTVonline=20182667")</f>
        <v>ICTVonline=20182667</v>
      </c>
    </row>
    <row r="2667" spans="1:22">
      <c r="A2667" s="3">
        <v>2666</v>
      </c>
      <c r="L2667" s="1" t="s">
        <v>1736</v>
      </c>
      <c r="N2667" s="1" t="s">
        <v>1737</v>
      </c>
      <c r="P2667" s="1" t="s">
        <v>1757</v>
      </c>
      <c r="Q2667" s="3">
        <v>0</v>
      </c>
      <c r="R2667" s="22" t="s">
        <v>2764</v>
      </c>
      <c r="S2667" s="22" t="s">
        <v>5099</v>
      </c>
      <c r="T2667" s="51">
        <v>24</v>
      </c>
      <c r="U2667" s="3" t="s">
        <v>5849</v>
      </c>
      <c r="V2667" s="41" t="str">
        <f>HYPERLINK("http://ictvonline.org/taxonomy/p/taxonomy-history?taxnode_id=20182668","ICTVonline=20182668")</f>
        <v>ICTVonline=20182668</v>
      </c>
    </row>
    <row r="2668" spans="1:22">
      <c r="A2668" s="3">
        <v>2667</v>
      </c>
      <c r="L2668" s="1" t="s">
        <v>1736</v>
      </c>
      <c r="N2668" s="1" t="s">
        <v>1737</v>
      </c>
      <c r="P2668" s="1" t="s">
        <v>4800</v>
      </c>
      <c r="Q2668" s="3">
        <v>0</v>
      </c>
      <c r="R2668" s="22" t="s">
        <v>2764</v>
      </c>
      <c r="S2668" s="22" t="s">
        <v>5097</v>
      </c>
      <c r="T2668" s="51">
        <v>31</v>
      </c>
      <c r="U2668" s="3" t="s">
        <v>5853</v>
      </c>
      <c r="V2668" s="41" t="str">
        <f>HYPERLINK("http://ictvonline.org/taxonomy/p/taxonomy-history?taxnode_id=20182669","ICTVonline=20182669")</f>
        <v>ICTVonline=20182669</v>
      </c>
    </row>
    <row r="2669" spans="1:22">
      <c r="A2669" s="3">
        <v>2668</v>
      </c>
      <c r="L2669" s="1" t="s">
        <v>1736</v>
      </c>
      <c r="N2669" s="1" t="s">
        <v>1737</v>
      </c>
      <c r="P2669" s="1" t="s">
        <v>1759</v>
      </c>
      <c r="Q2669" s="3">
        <v>0</v>
      </c>
      <c r="R2669" s="22" t="s">
        <v>2764</v>
      </c>
      <c r="S2669" s="22" t="s">
        <v>5099</v>
      </c>
      <c r="T2669" s="51">
        <v>24</v>
      </c>
      <c r="U2669" s="3" t="s">
        <v>5849</v>
      </c>
      <c r="V2669" s="41" t="str">
        <f>HYPERLINK("http://ictvonline.org/taxonomy/p/taxonomy-history?taxnode_id=20182670","ICTVonline=20182670")</f>
        <v>ICTVonline=20182670</v>
      </c>
    </row>
    <row r="2670" spans="1:22">
      <c r="A2670" s="3">
        <v>2669</v>
      </c>
      <c r="L2670" s="1" t="s">
        <v>1736</v>
      </c>
      <c r="N2670" s="1" t="s">
        <v>1737</v>
      </c>
      <c r="P2670" s="1" t="s">
        <v>2229</v>
      </c>
      <c r="Q2670" s="3">
        <v>0</v>
      </c>
      <c r="R2670" s="22" t="s">
        <v>2764</v>
      </c>
      <c r="S2670" s="22" t="s">
        <v>5097</v>
      </c>
      <c r="T2670" s="51">
        <v>27</v>
      </c>
      <c r="U2670" s="3" t="s">
        <v>5851</v>
      </c>
      <c r="V2670" s="41" t="str">
        <f>HYPERLINK("http://ictvonline.org/taxonomy/p/taxonomy-history?taxnode_id=20182671","ICTVonline=20182671")</f>
        <v>ICTVonline=20182671</v>
      </c>
    </row>
    <row r="2671" spans="1:22">
      <c r="A2671" s="3">
        <v>2670</v>
      </c>
      <c r="L2671" s="1" t="s">
        <v>1736</v>
      </c>
      <c r="N2671" s="1" t="s">
        <v>1737</v>
      </c>
      <c r="P2671" s="1" t="s">
        <v>3802</v>
      </c>
      <c r="Q2671" s="3">
        <v>0</v>
      </c>
      <c r="R2671" s="22" t="s">
        <v>2764</v>
      </c>
      <c r="S2671" s="22" t="s">
        <v>5097</v>
      </c>
      <c r="T2671" s="51">
        <v>30</v>
      </c>
      <c r="U2671" s="3" t="s">
        <v>5854</v>
      </c>
      <c r="V2671" s="41" t="str">
        <f>HYPERLINK("http://ictvonline.org/taxonomy/p/taxonomy-history?taxnode_id=20182672","ICTVonline=20182672")</f>
        <v>ICTVonline=20182672</v>
      </c>
    </row>
    <row r="2672" spans="1:22">
      <c r="A2672" s="3">
        <v>2671</v>
      </c>
      <c r="L2672" s="1" t="s">
        <v>1736</v>
      </c>
      <c r="N2672" s="1" t="s">
        <v>1737</v>
      </c>
      <c r="P2672" s="1" t="s">
        <v>2230</v>
      </c>
      <c r="Q2672" s="3">
        <v>0</v>
      </c>
      <c r="R2672" s="22" t="s">
        <v>2764</v>
      </c>
      <c r="S2672" s="22" t="s">
        <v>5097</v>
      </c>
      <c r="T2672" s="51">
        <v>27</v>
      </c>
      <c r="U2672" s="3" t="s">
        <v>5851</v>
      </c>
      <c r="V2672" s="41" t="str">
        <f>HYPERLINK("http://ictvonline.org/taxonomy/p/taxonomy-history?taxnode_id=20182673","ICTVonline=20182673")</f>
        <v>ICTVonline=20182673</v>
      </c>
    </row>
    <row r="2673" spans="1:22">
      <c r="A2673" s="3">
        <v>2672</v>
      </c>
      <c r="L2673" s="1" t="s">
        <v>1736</v>
      </c>
      <c r="N2673" s="1" t="s">
        <v>1737</v>
      </c>
      <c r="P2673" s="1" t="s">
        <v>1760</v>
      </c>
      <c r="Q2673" s="3">
        <v>0</v>
      </c>
      <c r="R2673" s="22" t="s">
        <v>2764</v>
      </c>
      <c r="S2673" s="22" t="s">
        <v>5098</v>
      </c>
      <c r="T2673" s="51">
        <v>24</v>
      </c>
      <c r="U2673" s="3" t="s">
        <v>5849</v>
      </c>
      <c r="V2673" s="41" t="str">
        <f>HYPERLINK("http://ictvonline.org/taxonomy/p/taxonomy-history?taxnode_id=20182674","ICTVonline=20182674")</f>
        <v>ICTVonline=20182674</v>
      </c>
    </row>
    <row r="2674" spans="1:22">
      <c r="A2674" s="3">
        <v>2673</v>
      </c>
      <c r="L2674" s="1" t="s">
        <v>1736</v>
      </c>
      <c r="N2674" s="1" t="s">
        <v>1737</v>
      </c>
      <c r="P2674" s="1" t="s">
        <v>1761</v>
      </c>
      <c r="Q2674" s="3">
        <v>0</v>
      </c>
      <c r="R2674" s="22" t="s">
        <v>2764</v>
      </c>
      <c r="S2674" s="22" t="s">
        <v>5099</v>
      </c>
      <c r="T2674" s="51">
        <v>24</v>
      </c>
      <c r="U2674" s="3" t="s">
        <v>5849</v>
      </c>
      <c r="V2674" s="41" t="str">
        <f>HYPERLINK("http://ictvonline.org/taxonomy/p/taxonomy-history?taxnode_id=20182675","ICTVonline=20182675")</f>
        <v>ICTVonline=20182675</v>
      </c>
    </row>
    <row r="2675" spans="1:22">
      <c r="A2675" s="3">
        <v>2674</v>
      </c>
      <c r="L2675" s="1" t="s">
        <v>1736</v>
      </c>
      <c r="N2675" s="1" t="s">
        <v>1737</v>
      </c>
      <c r="P2675" s="1" t="s">
        <v>2231</v>
      </c>
      <c r="Q2675" s="3">
        <v>0</v>
      </c>
      <c r="R2675" s="22" t="s">
        <v>2764</v>
      </c>
      <c r="S2675" s="22" t="s">
        <v>5097</v>
      </c>
      <c r="T2675" s="51">
        <v>27</v>
      </c>
      <c r="U2675" s="3" t="s">
        <v>5851</v>
      </c>
      <c r="V2675" s="41" t="str">
        <f>HYPERLINK("http://ictvonline.org/taxonomy/p/taxonomy-history?taxnode_id=20182676","ICTVonline=20182676")</f>
        <v>ICTVonline=20182676</v>
      </c>
    </row>
    <row r="2676" spans="1:22">
      <c r="A2676" s="3">
        <v>2675</v>
      </c>
      <c r="L2676" s="1" t="s">
        <v>1736</v>
      </c>
      <c r="N2676" s="1" t="s">
        <v>1737</v>
      </c>
      <c r="P2676" s="1" t="s">
        <v>1762</v>
      </c>
      <c r="Q2676" s="3">
        <v>0</v>
      </c>
      <c r="R2676" s="22" t="s">
        <v>2764</v>
      </c>
      <c r="S2676" s="22" t="s">
        <v>5105</v>
      </c>
      <c r="T2676" s="51">
        <v>29</v>
      </c>
      <c r="U2676" s="3" t="s">
        <v>5855</v>
      </c>
      <c r="V2676" s="41" t="str">
        <f>HYPERLINK("http://ictvonline.org/taxonomy/p/taxonomy-history?taxnode_id=20182677","ICTVonline=20182677")</f>
        <v>ICTVonline=20182677</v>
      </c>
    </row>
    <row r="2677" spans="1:22">
      <c r="A2677" s="3">
        <v>2676</v>
      </c>
      <c r="L2677" s="1" t="s">
        <v>1736</v>
      </c>
      <c r="N2677" s="1" t="s">
        <v>1737</v>
      </c>
      <c r="P2677" s="1" t="s">
        <v>2232</v>
      </c>
      <c r="Q2677" s="3">
        <v>0</v>
      </c>
      <c r="R2677" s="22" t="s">
        <v>2764</v>
      </c>
      <c r="S2677" s="22" t="s">
        <v>5097</v>
      </c>
      <c r="T2677" s="51">
        <v>27</v>
      </c>
      <c r="U2677" s="3" t="s">
        <v>5851</v>
      </c>
      <c r="V2677" s="41" t="str">
        <f>HYPERLINK("http://ictvonline.org/taxonomy/p/taxonomy-history?taxnode_id=20182678","ICTVonline=20182678")</f>
        <v>ICTVonline=20182678</v>
      </c>
    </row>
    <row r="2678" spans="1:22">
      <c r="A2678" s="3">
        <v>2677</v>
      </c>
      <c r="L2678" s="1" t="s">
        <v>1736</v>
      </c>
      <c r="N2678" s="1" t="s">
        <v>1737</v>
      </c>
      <c r="P2678" s="1" t="s">
        <v>4801</v>
      </c>
      <c r="Q2678" s="3">
        <v>0</v>
      </c>
      <c r="R2678" s="22" t="s">
        <v>2764</v>
      </c>
      <c r="S2678" s="22" t="s">
        <v>5097</v>
      </c>
      <c r="T2678" s="51">
        <v>31</v>
      </c>
      <c r="U2678" s="3" t="s">
        <v>5853</v>
      </c>
      <c r="V2678" s="41" t="str">
        <f>HYPERLINK("http://ictvonline.org/taxonomy/p/taxonomy-history?taxnode_id=20182679","ICTVonline=20182679")</f>
        <v>ICTVonline=20182679</v>
      </c>
    </row>
    <row r="2679" spans="1:22">
      <c r="A2679" s="3">
        <v>2678</v>
      </c>
      <c r="L2679" s="1" t="s">
        <v>1736</v>
      </c>
      <c r="N2679" s="1" t="s">
        <v>1737</v>
      </c>
      <c r="P2679" s="1" t="s">
        <v>2233</v>
      </c>
      <c r="Q2679" s="3">
        <v>0</v>
      </c>
      <c r="R2679" s="22" t="s">
        <v>2764</v>
      </c>
      <c r="S2679" s="22" t="s">
        <v>5097</v>
      </c>
      <c r="T2679" s="51">
        <v>27</v>
      </c>
      <c r="U2679" s="3" t="s">
        <v>5851</v>
      </c>
      <c r="V2679" s="41" t="str">
        <f>HYPERLINK("http://ictvonline.org/taxonomy/p/taxonomy-history?taxnode_id=20182680","ICTVonline=20182680")</f>
        <v>ICTVonline=20182680</v>
      </c>
    </row>
    <row r="2680" spans="1:22">
      <c r="A2680" s="3">
        <v>2679</v>
      </c>
      <c r="L2680" s="1" t="s">
        <v>1736</v>
      </c>
      <c r="N2680" s="1" t="s">
        <v>1737</v>
      </c>
      <c r="P2680" s="1" t="s">
        <v>1763</v>
      </c>
      <c r="Q2680" s="3">
        <v>0</v>
      </c>
      <c r="R2680" s="22" t="s">
        <v>2764</v>
      </c>
      <c r="S2680" s="22" t="s">
        <v>5099</v>
      </c>
      <c r="T2680" s="51">
        <v>24</v>
      </c>
      <c r="U2680" s="3" t="s">
        <v>5849</v>
      </c>
      <c r="V2680" s="41" t="str">
        <f>HYPERLINK("http://ictvonline.org/taxonomy/p/taxonomy-history?taxnode_id=20182681","ICTVonline=20182681")</f>
        <v>ICTVonline=20182681</v>
      </c>
    </row>
    <row r="2681" spans="1:22">
      <c r="A2681" s="3">
        <v>2680</v>
      </c>
      <c r="L2681" s="1" t="s">
        <v>1736</v>
      </c>
      <c r="N2681" s="1" t="s">
        <v>1737</v>
      </c>
      <c r="P2681" s="1" t="s">
        <v>4802</v>
      </c>
      <c r="Q2681" s="3">
        <v>0</v>
      </c>
      <c r="R2681" s="22" t="s">
        <v>2764</v>
      </c>
      <c r="S2681" s="22" t="s">
        <v>5097</v>
      </c>
      <c r="T2681" s="51">
        <v>31</v>
      </c>
      <c r="U2681" s="3" t="s">
        <v>5853</v>
      </c>
      <c r="V2681" s="41" t="str">
        <f>HYPERLINK("http://ictvonline.org/taxonomy/p/taxonomy-history?taxnode_id=20182682","ICTVonline=20182682")</f>
        <v>ICTVonline=20182682</v>
      </c>
    </row>
    <row r="2682" spans="1:22">
      <c r="A2682" s="3">
        <v>2681</v>
      </c>
      <c r="L2682" s="1" t="s">
        <v>1736</v>
      </c>
      <c r="N2682" s="1" t="s">
        <v>1737</v>
      </c>
      <c r="P2682" s="1" t="s">
        <v>703</v>
      </c>
      <c r="Q2682" s="3">
        <v>0</v>
      </c>
      <c r="R2682" s="22" t="s">
        <v>2764</v>
      </c>
      <c r="S2682" s="22" t="s">
        <v>5099</v>
      </c>
      <c r="T2682" s="51">
        <v>24</v>
      </c>
      <c r="U2682" s="3" t="s">
        <v>5849</v>
      </c>
      <c r="V2682" s="41" t="str">
        <f>HYPERLINK("http://ictvonline.org/taxonomy/p/taxonomy-history?taxnode_id=20182683","ICTVonline=20182683")</f>
        <v>ICTVonline=20182683</v>
      </c>
    </row>
    <row r="2683" spans="1:22">
      <c r="A2683" s="3">
        <v>2682</v>
      </c>
      <c r="L2683" s="1" t="s">
        <v>1736</v>
      </c>
      <c r="N2683" s="1" t="s">
        <v>1737</v>
      </c>
      <c r="P2683" s="1" t="s">
        <v>704</v>
      </c>
      <c r="Q2683" s="3">
        <v>0</v>
      </c>
      <c r="R2683" s="22" t="s">
        <v>2764</v>
      </c>
      <c r="S2683" s="22" t="s">
        <v>5099</v>
      </c>
      <c r="T2683" s="51">
        <v>24</v>
      </c>
      <c r="U2683" s="3" t="s">
        <v>5849</v>
      </c>
      <c r="V2683" s="41" t="str">
        <f>HYPERLINK("http://ictvonline.org/taxonomy/p/taxonomy-history?taxnode_id=20182684","ICTVonline=20182684")</f>
        <v>ICTVonline=20182684</v>
      </c>
    </row>
    <row r="2684" spans="1:22">
      <c r="A2684" s="3">
        <v>2683</v>
      </c>
      <c r="L2684" s="1" t="s">
        <v>1736</v>
      </c>
      <c r="N2684" s="1" t="s">
        <v>1737</v>
      </c>
      <c r="P2684" s="1" t="s">
        <v>705</v>
      </c>
      <c r="Q2684" s="3">
        <v>0</v>
      </c>
      <c r="R2684" s="22" t="s">
        <v>2764</v>
      </c>
      <c r="S2684" s="22" t="s">
        <v>5099</v>
      </c>
      <c r="T2684" s="51">
        <v>24</v>
      </c>
      <c r="U2684" s="3" t="s">
        <v>5849</v>
      </c>
      <c r="V2684" s="41" t="str">
        <f>HYPERLINK("http://ictvonline.org/taxonomy/p/taxonomy-history?taxnode_id=20182685","ICTVonline=20182685")</f>
        <v>ICTVonline=20182685</v>
      </c>
    </row>
    <row r="2685" spans="1:22">
      <c r="A2685" s="3">
        <v>2684</v>
      </c>
      <c r="L2685" s="1" t="s">
        <v>1736</v>
      </c>
      <c r="N2685" s="1" t="s">
        <v>1737</v>
      </c>
      <c r="P2685" s="1" t="s">
        <v>2234</v>
      </c>
      <c r="Q2685" s="3">
        <v>0</v>
      </c>
      <c r="R2685" s="22" t="s">
        <v>2764</v>
      </c>
      <c r="S2685" s="22" t="s">
        <v>5097</v>
      </c>
      <c r="T2685" s="51">
        <v>27</v>
      </c>
      <c r="U2685" s="3" t="s">
        <v>5851</v>
      </c>
      <c r="V2685" s="41" t="str">
        <f>HYPERLINK("http://ictvonline.org/taxonomy/p/taxonomy-history?taxnode_id=20182686","ICTVonline=20182686")</f>
        <v>ICTVonline=20182686</v>
      </c>
    </row>
    <row r="2686" spans="1:22">
      <c r="A2686" s="3">
        <v>2685</v>
      </c>
      <c r="L2686" s="1" t="s">
        <v>1736</v>
      </c>
      <c r="N2686" s="1" t="s">
        <v>1737</v>
      </c>
      <c r="P2686" s="1" t="s">
        <v>4803</v>
      </c>
      <c r="Q2686" s="3">
        <v>0</v>
      </c>
      <c r="R2686" s="22" t="s">
        <v>2764</v>
      </c>
      <c r="S2686" s="22" t="s">
        <v>5097</v>
      </c>
      <c r="T2686" s="51">
        <v>31</v>
      </c>
      <c r="U2686" s="3" t="s">
        <v>5853</v>
      </c>
      <c r="V2686" s="41" t="str">
        <f>HYPERLINK("http://ictvonline.org/taxonomy/p/taxonomy-history?taxnode_id=20182687","ICTVonline=20182687")</f>
        <v>ICTVonline=20182687</v>
      </c>
    </row>
    <row r="2687" spans="1:22">
      <c r="A2687" s="3">
        <v>2686</v>
      </c>
      <c r="L2687" s="1" t="s">
        <v>1736</v>
      </c>
      <c r="N2687" s="1" t="s">
        <v>1737</v>
      </c>
      <c r="P2687" s="1" t="s">
        <v>706</v>
      </c>
      <c r="Q2687" s="3">
        <v>0</v>
      </c>
      <c r="R2687" s="22" t="s">
        <v>2764</v>
      </c>
      <c r="S2687" s="22" t="s">
        <v>5099</v>
      </c>
      <c r="T2687" s="51">
        <v>24</v>
      </c>
      <c r="U2687" s="3" t="s">
        <v>5849</v>
      </c>
      <c r="V2687" s="41" t="str">
        <f>HYPERLINK("http://ictvonline.org/taxonomy/p/taxonomy-history?taxnode_id=20182688","ICTVonline=20182688")</f>
        <v>ICTVonline=20182688</v>
      </c>
    </row>
    <row r="2688" spans="1:22">
      <c r="A2688" s="3">
        <v>2687</v>
      </c>
      <c r="L2688" s="1" t="s">
        <v>1736</v>
      </c>
      <c r="N2688" s="1" t="s">
        <v>1737</v>
      </c>
      <c r="P2688" s="1" t="s">
        <v>707</v>
      </c>
      <c r="Q2688" s="3">
        <v>0</v>
      </c>
      <c r="R2688" s="22" t="s">
        <v>2764</v>
      </c>
      <c r="S2688" s="22" t="s">
        <v>5099</v>
      </c>
      <c r="T2688" s="51">
        <v>24</v>
      </c>
      <c r="U2688" s="3" t="s">
        <v>5849</v>
      </c>
      <c r="V2688" s="41" t="str">
        <f>HYPERLINK("http://ictvonline.org/taxonomy/p/taxonomy-history?taxnode_id=20182689","ICTVonline=20182689")</f>
        <v>ICTVonline=20182689</v>
      </c>
    </row>
    <row r="2689" spans="1:22">
      <c r="A2689" s="3">
        <v>2688</v>
      </c>
      <c r="L2689" s="1" t="s">
        <v>1736</v>
      </c>
      <c r="N2689" s="1" t="s">
        <v>1737</v>
      </c>
      <c r="P2689" s="1" t="s">
        <v>810</v>
      </c>
      <c r="Q2689" s="3">
        <v>0</v>
      </c>
      <c r="R2689" s="22" t="s">
        <v>2764</v>
      </c>
      <c r="S2689" s="22" t="s">
        <v>5099</v>
      </c>
      <c r="T2689" s="51">
        <v>24</v>
      </c>
      <c r="U2689" s="3" t="s">
        <v>5849</v>
      </c>
      <c r="V2689" s="41" t="str">
        <f>HYPERLINK("http://ictvonline.org/taxonomy/p/taxonomy-history?taxnode_id=20182690","ICTVonline=20182690")</f>
        <v>ICTVonline=20182690</v>
      </c>
    </row>
    <row r="2690" spans="1:22">
      <c r="A2690" s="3">
        <v>2689</v>
      </c>
      <c r="L2690" s="1" t="s">
        <v>1736</v>
      </c>
      <c r="N2690" s="1" t="s">
        <v>1737</v>
      </c>
      <c r="P2690" s="1" t="s">
        <v>811</v>
      </c>
      <c r="Q2690" s="3">
        <v>0</v>
      </c>
      <c r="R2690" s="22" t="s">
        <v>2764</v>
      </c>
      <c r="S2690" s="22" t="s">
        <v>5099</v>
      </c>
      <c r="T2690" s="51">
        <v>24</v>
      </c>
      <c r="U2690" s="3" t="s">
        <v>5849</v>
      </c>
      <c r="V2690" s="41" t="str">
        <f>HYPERLINK("http://ictvonline.org/taxonomy/p/taxonomy-history?taxnode_id=20182691","ICTVonline=20182691")</f>
        <v>ICTVonline=20182691</v>
      </c>
    </row>
    <row r="2691" spans="1:22">
      <c r="A2691" s="3">
        <v>2690</v>
      </c>
      <c r="L2691" s="1" t="s">
        <v>1736</v>
      </c>
      <c r="N2691" s="1" t="s">
        <v>1737</v>
      </c>
      <c r="P2691" s="1" t="s">
        <v>812</v>
      </c>
      <c r="Q2691" s="3">
        <v>0</v>
      </c>
      <c r="R2691" s="22" t="s">
        <v>2764</v>
      </c>
      <c r="S2691" s="22" t="s">
        <v>5099</v>
      </c>
      <c r="T2691" s="51">
        <v>24</v>
      </c>
      <c r="U2691" s="3" t="s">
        <v>5849</v>
      </c>
      <c r="V2691" s="41" t="str">
        <f>HYPERLINK("http://ictvonline.org/taxonomy/p/taxonomy-history?taxnode_id=20182692","ICTVonline=20182692")</f>
        <v>ICTVonline=20182692</v>
      </c>
    </row>
    <row r="2692" spans="1:22">
      <c r="A2692" s="3">
        <v>2691</v>
      </c>
      <c r="L2692" s="1" t="s">
        <v>1736</v>
      </c>
      <c r="N2692" s="1" t="s">
        <v>1737</v>
      </c>
      <c r="P2692" s="1" t="s">
        <v>3803</v>
      </c>
      <c r="Q2692" s="3">
        <v>0</v>
      </c>
      <c r="R2692" s="22" t="s">
        <v>2764</v>
      </c>
      <c r="S2692" s="22" t="s">
        <v>5097</v>
      </c>
      <c r="T2692" s="51">
        <v>30</v>
      </c>
      <c r="U2692" s="3" t="s">
        <v>5856</v>
      </c>
      <c r="V2692" s="41" t="str">
        <f>HYPERLINK("http://ictvonline.org/taxonomy/p/taxonomy-history?taxnode_id=20182693","ICTVonline=20182693")</f>
        <v>ICTVonline=20182693</v>
      </c>
    </row>
    <row r="2693" spans="1:22">
      <c r="A2693" s="3">
        <v>2692</v>
      </c>
      <c r="L2693" s="1" t="s">
        <v>1736</v>
      </c>
      <c r="N2693" s="1" t="s">
        <v>1737</v>
      </c>
      <c r="P2693" s="1" t="s">
        <v>813</v>
      </c>
      <c r="Q2693" s="3">
        <v>0</v>
      </c>
      <c r="R2693" s="22" t="s">
        <v>2764</v>
      </c>
      <c r="S2693" s="22" t="s">
        <v>5099</v>
      </c>
      <c r="T2693" s="51">
        <v>24</v>
      </c>
      <c r="U2693" s="3" t="s">
        <v>5849</v>
      </c>
      <c r="V2693" s="41" t="str">
        <f>HYPERLINK("http://ictvonline.org/taxonomy/p/taxonomy-history?taxnode_id=20182694","ICTVonline=20182694")</f>
        <v>ICTVonline=20182694</v>
      </c>
    </row>
    <row r="2694" spans="1:22">
      <c r="A2694" s="3">
        <v>2693</v>
      </c>
      <c r="L2694" s="1" t="s">
        <v>1736</v>
      </c>
      <c r="N2694" s="1" t="s">
        <v>1737</v>
      </c>
      <c r="P2694" s="1" t="s">
        <v>814</v>
      </c>
      <c r="Q2694" s="3">
        <v>0</v>
      </c>
      <c r="R2694" s="22" t="s">
        <v>2764</v>
      </c>
      <c r="S2694" s="22" t="s">
        <v>5099</v>
      </c>
      <c r="T2694" s="51">
        <v>24</v>
      </c>
      <c r="U2694" s="3" t="s">
        <v>5849</v>
      </c>
      <c r="V2694" s="41" t="str">
        <f>HYPERLINK("http://ictvonline.org/taxonomy/p/taxonomy-history?taxnode_id=20182695","ICTVonline=20182695")</f>
        <v>ICTVonline=20182695</v>
      </c>
    </row>
    <row r="2695" spans="1:22">
      <c r="A2695" s="3">
        <v>2694</v>
      </c>
      <c r="L2695" s="1" t="s">
        <v>1736</v>
      </c>
      <c r="N2695" s="1" t="s">
        <v>1737</v>
      </c>
      <c r="P2695" s="1" t="s">
        <v>1168</v>
      </c>
      <c r="Q2695" s="3">
        <v>0</v>
      </c>
      <c r="R2695" s="22" t="s">
        <v>2764</v>
      </c>
      <c r="S2695" s="22" t="s">
        <v>5099</v>
      </c>
      <c r="T2695" s="51">
        <v>24</v>
      </c>
      <c r="U2695" s="3" t="s">
        <v>5849</v>
      </c>
      <c r="V2695" s="41" t="str">
        <f>HYPERLINK("http://ictvonline.org/taxonomy/p/taxonomy-history?taxnode_id=20182696","ICTVonline=20182696")</f>
        <v>ICTVonline=20182696</v>
      </c>
    </row>
    <row r="2696" spans="1:22">
      <c r="A2696" s="3">
        <v>2695</v>
      </c>
      <c r="L2696" s="1" t="s">
        <v>1736</v>
      </c>
      <c r="N2696" s="1" t="s">
        <v>1169</v>
      </c>
      <c r="P2696" s="1" t="s">
        <v>1170</v>
      </c>
      <c r="Q2696" s="3">
        <v>0</v>
      </c>
      <c r="R2696" s="22" t="s">
        <v>2764</v>
      </c>
      <c r="S2696" s="22" t="s">
        <v>5099</v>
      </c>
      <c r="T2696" s="51">
        <v>24</v>
      </c>
      <c r="U2696" s="3" t="s">
        <v>5857</v>
      </c>
      <c r="V2696" s="41" t="str">
        <f>HYPERLINK("http://ictvonline.org/taxonomy/p/taxonomy-history?taxnode_id=20182698","ICTVonline=20182698")</f>
        <v>ICTVonline=20182698</v>
      </c>
    </row>
    <row r="2697" spans="1:22">
      <c r="A2697" s="3">
        <v>2696</v>
      </c>
      <c r="L2697" s="1" t="s">
        <v>1736</v>
      </c>
      <c r="N2697" s="1" t="s">
        <v>1169</v>
      </c>
      <c r="P2697" s="1" t="s">
        <v>3804</v>
      </c>
      <c r="Q2697" s="3">
        <v>0</v>
      </c>
      <c r="R2697" s="22" t="s">
        <v>2764</v>
      </c>
      <c r="S2697" s="22" t="s">
        <v>5097</v>
      </c>
      <c r="T2697" s="51">
        <v>30</v>
      </c>
      <c r="U2697" s="3" t="s">
        <v>5858</v>
      </c>
      <c r="V2697" s="41" t="str">
        <f>HYPERLINK("http://ictvonline.org/taxonomy/p/taxonomy-history?taxnode_id=20182699","ICTVonline=20182699")</f>
        <v>ICTVonline=20182699</v>
      </c>
    </row>
    <row r="2698" spans="1:22">
      <c r="A2698" s="3">
        <v>2697</v>
      </c>
      <c r="L2698" s="1" t="s">
        <v>1736</v>
      </c>
      <c r="N2698" s="1" t="s">
        <v>1169</v>
      </c>
      <c r="P2698" s="1" t="s">
        <v>1171</v>
      </c>
      <c r="Q2698" s="3">
        <v>0</v>
      </c>
      <c r="R2698" s="22" t="s">
        <v>2764</v>
      </c>
      <c r="S2698" s="22" t="s">
        <v>5099</v>
      </c>
      <c r="T2698" s="51">
        <v>24</v>
      </c>
      <c r="U2698" s="3" t="s">
        <v>5857</v>
      </c>
      <c r="V2698" s="41" t="str">
        <f>HYPERLINK("http://ictvonline.org/taxonomy/p/taxonomy-history?taxnode_id=20182700","ICTVonline=20182700")</f>
        <v>ICTVonline=20182700</v>
      </c>
    </row>
    <row r="2699" spans="1:22">
      <c r="A2699" s="3">
        <v>2698</v>
      </c>
      <c r="L2699" s="1" t="s">
        <v>1736</v>
      </c>
      <c r="N2699" s="1" t="s">
        <v>1169</v>
      </c>
      <c r="P2699" s="1" t="s">
        <v>1172</v>
      </c>
      <c r="Q2699" s="3">
        <v>0</v>
      </c>
      <c r="R2699" s="22" t="s">
        <v>2764</v>
      </c>
      <c r="S2699" s="22" t="s">
        <v>5099</v>
      </c>
      <c r="T2699" s="51">
        <v>24</v>
      </c>
      <c r="U2699" s="3" t="s">
        <v>5857</v>
      </c>
      <c r="V2699" s="41" t="str">
        <f>HYPERLINK("http://ictvonline.org/taxonomy/p/taxonomy-history?taxnode_id=20182701","ICTVonline=20182701")</f>
        <v>ICTVonline=20182701</v>
      </c>
    </row>
    <row r="2700" spans="1:22">
      <c r="A2700" s="3">
        <v>2699</v>
      </c>
      <c r="L2700" s="1" t="s">
        <v>1736</v>
      </c>
      <c r="N2700" s="1" t="s">
        <v>1169</v>
      </c>
      <c r="P2700" s="1" t="s">
        <v>4804</v>
      </c>
      <c r="Q2700" s="3">
        <v>0</v>
      </c>
      <c r="R2700" s="22" t="s">
        <v>2764</v>
      </c>
      <c r="S2700" s="22" t="s">
        <v>5097</v>
      </c>
      <c r="T2700" s="51">
        <v>31</v>
      </c>
      <c r="U2700" s="3" t="s">
        <v>5859</v>
      </c>
      <c r="V2700" s="41" t="str">
        <f>HYPERLINK("http://ictvonline.org/taxonomy/p/taxonomy-history?taxnode_id=20182702","ICTVonline=20182702")</f>
        <v>ICTVonline=20182702</v>
      </c>
    </row>
    <row r="2701" spans="1:22">
      <c r="A2701" s="3">
        <v>2700</v>
      </c>
      <c r="L2701" s="1" t="s">
        <v>1736</v>
      </c>
      <c r="N2701" s="1" t="s">
        <v>1169</v>
      </c>
      <c r="P2701" s="1" t="s">
        <v>4805</v>
      </c>
      <c r="Q2701" s="3">
        <v>0</v>
      </c>
      <c r="R2701" s="22" t="s">
        <v>2764</v>
      </c>
      <c r="S2701" s="22" t="s">
        <v>5097</v>
      </c>
      <c r="T2701" s="51">
        <v>31</v>
      </c>
      <c r="U2701" s="3" t="s">
        <v>5859</v>
      </c>
      <c r="V2701" s="41" t="str">
        <f>HYPERLINK("http://ictvonline.org/taxonomy/p/taxonomy-history?taxnode_id=20182703","ICTVonline=20182703")</f>
        <v>ICTVonline=20182703</v>
      </c>
    </row>
    <row r="2702" spans="1:22">
      <c r="A2702" s="3">
        <v>2701</v>
      </c>
      <c r="L2702" s="1" t="s">
        <v>1736</v>
      </c>
      <c r="N2702" s="1" t="s">
        <v>1169</v>
      </c>
      <c r="P2702" s="1" t="s">
        <v>4806</v>
      </c>
      <c r="Q2702" s="3">
        <v>0</v>
      </c>
      <c r="R2702" s="22" t="s">
        <v>2764</v>
      </c>
      <c r="S2702" s="22" t="s">
        <v>5097</v>
      </c>
      <c r="T2702" s="51">
        <v>31</v>
      </c>
      <c r="U2702" s="3" t="s">
        <v>5859</v>
      </c>
      <c r="V2702" s="41" t="str">
        <f>HYPERLINK("http://ictvonline.org/taxonomy/p/taxonomy-history?taxnode_id=20182704","ICTVonline=20182704")</f>
        <v>ICTVonline=20182704</v>
      </c>
    </row>
    <row r="2703" spans="1:22">
      <c r="A2703" s="3">
        <v>2702</v>
      </c>
      <c r="L2703" s="1" t="s">
        <v>1736</v>
      </c>
      <c r="N2703" s="1" t="s">
        <v>1169</v>
      </c>
      <c r="P2703" s="1" t="s">
        <v>5860</v>
      </c>
      <c r="Q2703" s="3">
        <v>0</v>
      </c>
      <c r="R2703" s="22" t="s">
        <v>2764</v>
      </c>
      <c r="S2703" s="22" t="s">
        <v>5097</v>
      </c>
      <c r="T2703" s="51">
        <v>32</v>
      </c>
      <c r="U2703" s="3" t="s">
        <v>5861</v>
      </c>
      <c r="V2703" s="41" t="str">
        <f>HYPERLINK("http://ictvonline.org/taxonomy/p/taxonomy-history?taxnode_id=20185756","ICTVonline=20185756")</f>
        <v>ICTVonline=20185756</v>
      </c>
    </row>
    <row r="2704" spans="1:22">
      <c r="A2704" s="3">
        <v>2703</v>
      </c>
      <c r="L2704" s="1" t="s">
        <v>1736</v>
      </c>
      <c r="N2704" s="1" t="s">
        <v>1169</v>
      </c>
      <c r="P2704" s="1" t="s">
        <v>710</v>
      </c>
      <c r="Q2704" s="3">
        <v>0</v>
      </c>
      <c r="R2704" s="22" t="s">
        <v>2764</v>
      </c>
      <c r="S2704" s="22" t="s">
        <v>5099</v>
      </c>
      <c r="T2704" s="51">
        <v>24</v>
      </c>
      <c r="U2704" s="3" t="s">
        <v>5857</v>
      </c>
      <c r="V2704" s="41" t="str">
        <f>HYPERLINK("http://ictvonline.org/taxonomy/p/taxonomy-history?taxnode_id=20182705","ICTVonline=20182705")</f>
        <v>ICTVonline=20182705</v>
      </c>
    </row>
    <row r="2705" spans="1:22">
      <c r="A2705" s="3">
        <v>2704</v>
      </c>
      <c r="L2705" s="1" t="s">
        <v>1736</v>
      </c>
      <c r="N2705" s="1" t="s">
        <v>1169</v>
      </c>
      <c r="P2705" s="1" t="s">
        <v>711</v>
      </c>
      <c r="Q2705" s="3">
        <v>1</v>
      </c>
      <c r="R2705" s="22" t="s">
        <v>2764</v>
      </c>
      <c r="S2705" s="22" t="s">
        <v>5099</v>
      </c>
      <c r="T2705" s="51">
        <v>24</v>
      </c>
      <c r="U2705" s="3" t="s">
        <v>5857</v>
      </c>
      <c r="V2705" s="41" t="str">
        <f>HYPERLINK("http://ictvonline.org/taxonomy/p/taxonomy-history?taxnode_id=20182706","ICTVonline=20182706")</f>
        <v>ICTVonline=20182706</v>
      </c>
    </row>
    <row r="2706" spans="1:22">
      <c r="A2706" s="3">
        <v>2705</v>
      </c>
      <c r="L2706" s="1" t="s">
        <v>1736</v>
      </c>
      <c r="N2706" s="1" t="s">
        <v>1169</v>
      </c>
      <c r="P2706" s="1" t="s">
        <v>4807</v>
      </c>
      <c r="Q2706" s="3">
        <v>0</v>
      </c>
      <c r="R2706" s="22" t="s">
        <v>2764</v>
      </c>
      <c r="S2706" s="22" t="s">
        <v>5097</v>
      </c>
      <c r="T2706" s="51">
        <v>31</v>
      </c>
      <c r="U2706" s="3" t="s">
        <v>5859</v>
      </c>
      <c r="V2706" s="41" t="str">
        <f>HYPERLINK("http://ictvonline.org/taxonomy/p/taxonomy-history?taxnode_id=20182707","ICTVonline=20182707")</f>
        <v>ICTVonline=20182707</v>
      </c>
    </row>
    <row r="2707" spans="1:22">
      <c r="A2707" s="3">
        <v>2706</v>
      </c>
      <c r="L2707" s="1" t="s">
        <v>1736</v>
      </c>
      <c r="N2707" s="1" t="s">
        <v>1169</v>
      </c>
      <c r="P2707" s="1" t="s">
        <v>4808</v>
      </c>
      <c r="Q2707" s="3">
        <v>0</v>
      </c>
      <c r="R2707" s="22" t="s">
        <v>2764</v>
      </c>
      <c r="S2707" s="22" t="s">
        <v>5097</v>
      </c>
      <c r="T2707" s="51">
        <v>31</v>
      </c>
      <c r="U2707" s="3" t="s">
        <v>5859</v>
      </c>
      <c r="V2707" s="41" t="str">
        <f>HYPERLINK("http://ictvonline.org/taxonomy/p/taxonomy-history?taxnode_id=20182708","ICTVonline=20182708")</f>
        <v>ICTVonline=20182708</v>
      </c>
    </row>
    <row r="2708" spans="1:22">
      <c r="A2708" s="3">
        <v>2707</v>
      </c>
      <c r="L2708" s="1" t="s">
        <v>1736</v>
      </c>
      <c r="N2708" s="1" t="s">
        <v>1169</v>
      </c>
      <c r="P2708" s="1" t="s">
        <v>3805</v>
      </c>
      <c r="Q2708" s="3">
        <v>0</v>
      </c>
      <c r="R2708" s="22" t="s">
        <v>2764</v>
      </c>
      <c r="S2708" s="22" t="s">
        <v>5097</v>
      </c>
      <c r="T2708" s="51">
        <v>30</v>
      </c>
      <c r="U2708" s="3" t="s">
        <v>5862</v>
      </c>
      <c r="V2708" s="41" t="str">
        <f>HYPERLINK("http://ictvonline.org/taxonomy/p/taxonomy-history?taxnode_id=20182709","ICTVonline=20182709")</f>
        <v>ICTVonline=20182709</v>
      </c>
    </row>
    <row r="2709" spans="1:22">
      <c r="A2709" s="3">
        <v>2708</v>
      </c>
      <c r="L2709" s="1" t="s">
        <v>1736</v>
      </c>
      <c r="N2709" s="1" t="s">
        <v>1169</v>
      </c>
      <c r="P2709" s="1" t="s">
        <v>709</v>
      </c>
      <c r="Q2709" s="3">
        <v>0</v>
      </c>
      <c r="R2709" s="22" t="s">
        <v>2764</v>
      </c>
      <c r="S2709" s="22" t="s">
        <v>5099</v>
      </c>
      <c r="T2709" s="51">
        <v>24</v>
      </c>
      <c r="U2709" s="3" t="s">
        <v>5857</v>
      </c>
      <c r="V2709" s="41" t="str">
        <f>HYPERLINK("http://ictvonline.org/taxonomy/p/taxonomy-history?taxnode_id=20182710","ICTVonline=20182710")</f>
        <v>ICTVonline=20182710</v>
      </c>
    </row>
    <row r="2710" spans="1:22">
      <c r="A2710" s="3">
        <v>2709</v>
      </c>
      <c r="L2710" s="1" t="s">
        <v>1736</v>
      </c>
      <c r="N2710" s="1" t="s">
        <v>1169</v>
      </c>
      <c r="P2710" s="1" t="s">
        <v>713</v>
      </c>
      <c r="Q2710" s="3">
        <v>0</v>
      </c>
      <c r="R2710" s="22" t="s">
        <v>2764</v>
      </c>
      <c r="S2710" s="22" t="s">
        <v>5099</v>
      </c>
      <c r="T2710" s="51">
        <v>24</v>
      </c>
      <c r="U2710" s="3" t="s">
        <v>5857</v>
      </c>
      <c r="V2710" s="41" t="str">
        <f>HYPERLINK("http://ictvonline.org/taxonomy/p/taxonomy-history?taxnode_id=20182711","ICTVonline=20182711")</f>
        <v>ICTVonline=20182711</v>
      </c>
    </row>
    <row r="2711" spans="1:22">
      <c r="A2711" s="3">
        <v>2710</v>
      </c>
      <c r="L2711" s="1" t="s">
        <v>1736</v>
      </c>
      <c r="N2711" s="1" t="s">
        <v>1169</v>
      </c>
      <c r="P2711" s="1" t="s">
        <v>1767</v>
      </c>
      <c r="Q2711" s="3">
        <v>0</v>
      </c>
      <c r="R2711" s="22" t="s">
        <v>2764</v>
      </c>
      <c r="S2711" s="22" t="s">
        <v>5099</v>
      </c>
      <c r="T2711" s="51">
        <v>24</v>
      </c>
      <c r="U2711" s="3" t="s">
        <v>5857</v>
      </c>
      <c r="V2711" s="41" t="str">
        <f>HYPERLINK("http://ictvonline.org/taxonomy/p/taxonomy-history?taxnode_id=20182712","ICTVonline=20182712")</f>
        <v>ICTVonline=20182712</v>
      </c>
    </row>
    <row r="2712" spans="1:22">
      <c r="A2712" s="3">
        <v>2711</v>
      </c>
      <c r="L2712" s="1" t="s">
        <v>1736</v>
      </c>
      <c r="N2712" s="1" t="s">
        <v>1169</v>
      </c>
      <c r="P2712" s="1" t="s">
        <v>5863</v>
      </c>
      <c r="Q2712" s="3">
        <v>0</v>
      </c>
      <c r="R2712" s="22" t="s">
        <v>2764</v>
      </c>
      <c r="S2712" s="22" t="s">
        <v>5099</v>
      </c>
      <c r="T2712" s="51">
        <v>24</v>
      </c>
      <c r="U2712" s="3" t="s">
        <v>5857</v>
      </c>
      <c r="V2712" s="41" t="str">
        <f>HYPERLINK("http://ictvonline.org/taxonomy/p/taxonomy-history?taxnode_id=20182716","ICTVonline=20182716")</f>
        <v>ICTVonline=20182716</v>
      </c>
    </row>
    <row r="2713" spans="1:22">
      <c r="A2713" s="3">
        <v>2712</v>
      </c>
      <c r="L2713" s="1" t="s">
        <v>1736</v>
      </c>
      <c r="N2713" s="1" t="s">
        <v>1169</v>
      </c>
      <c r="P2713" s="1" t="s">
        <v>5864</v>
      </c>
      <c r="Q2713" s="3">
        <v>0</v>
      </c>
      <c r="R2713" s="22" t="s">
        <v>2764</v>
      </c>
      <c r="S2713" s="22" t="s">
        <v>5097</v>
      </c>
      <c r="T2713" s="51">
        <v>32</v>
      </c>
      <c r="U2713" s="3" t="s">
        <v>5861</v>
      </c>
      <c r="V2713" s="41" t="str">
        <f>HYPERLINK("http://ictvonline.org/taxonomy/p/taxonomy-history?taxnode_id=20185757","ICTVonline=20185757")</f>
        <v>ICTVonline=20185757</v>
      </c>
    </row>
    <row r="2714" spans="1:22">
      <c r="A2714" s="3">
        <v>2713</v>
      </c>
      <c r="L2714" s="1" t="s">
        <v>1736</v>
      </c>
      <c r="N2714" s="1" t="s">
        <v>1169</v>
      </c>
      <c r="P2714" s="1" t="s">
        <v>1768</v>
      </c>
      <c r="Q2714" s="3">
        <v>0</v>
      </c>
      <c r="R2714" s="22" t="s">
        <v>2764</v>
      </c>
      <c r="S2714" s="22" t="s">
        <v>5099</v>
      </c>
      <c r="T2714" s="51">
        <v>24</v>
      </c>
      <c r="U2714" s="3" t="s">
        <v>5857</v>
      </c>
      <c r="V2714" s="41" t="str">
        <f>HYPERLINK("http://ictvonline.org/taxonomy/p/taxonomy-history?taxnode_id=20182713","ICTVonline=20182713")</f>
        <v>ICTVonline=20182713</v>
      </c>
    </row>
    <row r="2715" spans="1:22">
      <c r="A2715" s="3">
        <v>2714</v>
      </c>
      <c r="L2715" s="1" t="s">
        <v>1736</v>
      </c>
      <c r="N2715" s="1" t="s">
        <v>1169</v>
      </c>
      <c r="P2715" s="1" t="s">
        <v>626</v>
      </c>
      <c r="Q2715" s="3">
        <v>0</v>
      </c>
      <c r="R2715" s="22" t="s">
        <v>2764</v>
      </c>
      <c r="S2715" s="22" t="s">
        <v>5099</v>
      </c>
      <c r="T2715" s="51">
        <v>24</v>
      </c>
      <c r="U2715" s="3" t="s">
        <v>5857</v>
      </c>
      <c r="V2715" s="41" t="str">
        <f>HYPERLINK("http://ictvonline.org/taxonomy/p/taxonomy-history?taxnode_id=20182714","ICTVonline=20182714")</f>
        <v>ICTVonline=20182714</v>
      </c>
    </row>
    <row r="2716" spans="1:22">
      <c r="A2716" s="3">
        <v>2715</v>
      </c>
      <c r="L2716" s="1" t="s">
        <v>1736</v>
      </c>
      <c r="N2716" s="1" t="s">
        <v>1169</v>
      </c>
      <c r="P2716" s="1" t="s">
        <v>627</v>
      </c>
      <c r="Q2716" s="3">
        <v>0</v>
      </c>
      <c r="R2716" s="22" t="s">
        <v>2764</v>
      </c>
      <c r="S2716" s="22" t="s">
        <v>5099</v>
      </c>
      <c r="T2716" s="51">
        <v>24</v>
      </c>
      <c r="U2716" s="3" t="s">
        <v>5857</v>
      </c>
      <c r="V2716" s="41" t="str">
        <f>HYPERLINK("http://ictvonline.org/taxonomy/p/taxonomy-history?taxnode_id=20182715","ICTVonline=20182715")</f>
        <v>ICTVonline=20182715</v>
      </c>
    </row>
    <row r="2717" spans="1:22">
      <c r="A2717" s="3">
        <v>2716</v>
      </c>
      <c r="L2717" s="1" t="s">
        <v>1736</v>
      </c>
      <c r="N2717" s="1" t="s">
        <v>1169</v>
      </c>
      <c r="P2717" s="1" t="s">
        <v>3806</v>
      </c>
      <c r="Q2717" s="3">
        <v>0</v>
      </c>
      <c r="R2717" s="22" t="s">
        <v>2764</v>
      </c>
      <c r="S2717" s="22" t="s">
        <v>5097</v>
      </c>
      <c r="T2717" s="51">
        <v>30</v>
      </c>
      <c r="U2717" s="3" t="s">
        <v>5865</v>
      </c>
      <c r="V2717" s="41" t="str">
        <f>HYPERLINK("http://ictvonline.org/taxonomy/p/taxonomy-history?taxnode_id=20182717","ICTVonline=20182717")</f>
        <v>ICTVonline=20182717</v>
      </c>
    </row>
    <row r="2718" spans="1:22">
      <c r="A2718" s="3">
        <v>2717</v>
      </c>
      <c r="L2718" s="1" t="s">
        <v>1736</v>
      </c>
      <c r="N2718" s="1" t="s">
        <v>1169</v>
      </c>
      <c r="P2718" s="1" t="s">
        <v>4809</v>
      </c>
      <c r="Q2718" s="3">
        <v>0</v>
      </c>
      <c r="R2718" s="22" t="s">
        <v>2764</v>
      </c>
      <c r="S2718" s="22" t="s">
        <v>5097</v>
      </c>
      <c r="T2718" s="51">
        <v>31</v>
      </c>
      <c r="U2718" s="3" t="s">
        <v>5859</v>
      </c>
      <c r="V2718" s="41" t="str">
        <f>HYPERLINK("http://ictvonline.org/taxonomy/p/taxonomy-history?taxnode_id=20182718","ICTVonline=20182718")</f>
        <v>ICTVonline=20182718</v>
      </c>
    </row>
    <row r="2719" spans="1:22">
      <c r="A2719" s="3">
        <v>2718</v>
      </c>
      <c r="L2719" s="1" t="s">
        <v>1736</v>
      </c>
      <c r="N2719" s="1" t="s">
        <v>1169</v>
      </c>
      <c r="P2719" s="1" t="s">
        <v>1771</v>
      </c>
      <c r="Q2719" s="3">
        <v>0</v>
      </c>
      <c r="R2719" s="22" t="s">
        <v>2764</v>
      </c>
      <c r="S2719" s="22" t="s">
        <v>5099</v>
      </c>
      <c r="T2719" s="51">
        <v>24</v>
      </c>
      <c r="U2719" s="3" t="s">
        <v>5857</v>
      </c>
      <c r="V2719" s="41" t="str">
        <f>HYPERLINK("http://ictvonline.org/taxonomy/p/taxonomy-history?taxnode_id=20182719","ICTVonline=20182719")</f>
        <v>ICTVonline=20182719</v>
      </c>
    </row>
    <row r="2720" spans="1:22">
      <c r="A2720" s="3">
        <v>2719</v>
      </c>
      <c r="L2720" s="1" t="s">
        <v>1736</v>
      </c>
      <c r="N2720" s="1" t="s">
        <v>1169</v>
      </c>
      <c r="P2720" s="1" t="s">
        <v>1772</v>
      </c>
      <c r="Q2720" s="3">
        <v>0</v>
      </c>
      <c r="R2720" s="22" t="s">
        <v>2764</v>
      </c>
      <c r="S2720" s="22" t="s">
        <v>5099</v>
      </c>
      <c r="T2720" s="51">
        <v>24</v>
      </c>
      <c r="U2720" s="3" t="s">
        <v>5857</v>
      </c>
      <c r="V2720" s="41" t="str">
        <f>HYPERLINK("http://ictvonline.org/taxonomy/p/taxonomy-history?taxnode_id=20182720","ICTVonline=20182720")</f>
        <v>ICTVonline=20182720</v>
      </c>
    </row>
    <row r="2721" spans="1:22">
      <c r="A2721" s="3">
        <v>2720</v>
      </c>
      <c r="L2721" s="1" t="s">
        <v>1736</v>
      </c>
      <c r="N2721" s="1" t="s">
        <v>1773</v>
      </c>
      <c r="P2721" s="1" t="s">
        <v>631</v>
      </c>
      <c r="Q2721" s="3">
        <v>1</v>
      </c>
      <c r="R2721" s="22" t="s">
        <v>2764</v>
      </c>
      <c r="S2721" s="22" t="s">
        <v>5103</v>
      </c>
      <c r="T2721" s="51">
        <v>24</v>
      </c>
      <c r="U2721" s="3" t="s">
        <v>5866</v>
      </c>
      <c r="V2721" s="41" t="str">
        <f>HYPERLINK("http://ictvonline.org/taxonomy/p/taxonomy-history?taxnode_id=20182722","ICTVonline=20182722")</f>
        <v>ICTVonline=20182722</v>
      </c>
    </row>
    <row r="2722" spans="1:22">
      <c r="A2722" s="3">
        <v>2721</v>
      </c>
      <c r="L2722" s="1" t="s">
        <v>1736</v>
      </c>
      <c r="N2722" s="1" t="s">
        <v>632</v>
      </c>
      <c r="P2722" s="1" t="s">
        <v>633</v>
      </c>
      <c r="Q2722" s="3">
        <v>1</v>
      </c>
      <c r="R2722" s="22" t="s">
        <v>2764</v>
      </c>
      <c r="S2722" s="22" t="s">
        <v>5104</v>
      </c>
      <c r="T2722" s="51">
        <v>24</v>
      </c>
      <c r="U2722" s="3" t="s">
        <v>5867</v>
      </c>
      <c r="V2722" s="41" t="str">
        <f>HYPERLINK("http://ictvonline.org/taxonomy/p/taxonomy-history?taxnode_id=20182724","ICTVonline=20182724")</f>
        <v>ICTVonline=20182724</v>
      </c>
    </row>
    <row r="2723" spans="1:22">
      <c r="A2723" s="3">
        <v>2722</v>
      </c>
      <c r="L2723" s="1" t="s">
        <v>1736</v>
      </c>
      <c r="N2723" s="1" t="s">
        <v>632</v>
      </c>
      <c r="P2723" s="1" t="s">
        <v>1776</v>
      </c>
      <c r="Q2723" s="3">
        <v>0</v>
      </c>
      <c r="R2723" s="22" t="s">
        <v>2764</v>
      </c>
      <c r="S2723" s="22" t="s">
        <v>5099</v>
      </c>
      <c r="T2723" s="51">
        <v>24</v>
      </c>
      <c r="U2723" s="3" t="s">
        <v>5867</v>
      </c>
      <c r="V2723" s="41" t="str">
        <f>HYPERLINK("http://ictvonline.org/taxonomy/p/taxonomy-history?taxnode_id=20182725","ICTVonline=20182725")</f>
        <v>ICTVonline=20182725</v>
      </c>
    </row>
    <row r="2724" spans="1:22">
      <c r="A2724" s="3">
        <v>2723</v>
      </c>
      <c r="L2724" s="1" t="s">
        <v>1777</v>
      </c>
      <c r="N2724" s="1" t="s">
        <v>1778</v>
      </c>
      <c r="P2724" s="1" t="s">
        <v>1779</v>
      </c>
      <c r="Q2724" s="3">
        <v>1</v>
      </c>
      <c r="R2724" s="22" t="s">
        <v>2766</v>
      </c>
      <c r="S2724" s="22" t="s">
        <v>5102</v>
      </c>
      <c r="T2724" s="51">
        <v>13</v>
      </c>
      <c r="U2724" s="3" t="s">
        <v>5868</v>
      </c>
      <c r="V2724" s="41" t="str">
        <f>HYPERLINK("http://ictvonline.org/taxonomy/p/taxonomy-history?taxnode_id=20182729","ICTVonline=20182729")</f>
        <v>ICTVonline=20182729</v>
      </c>
    </row>
    <row r="2725" spans="1:22">
      <c r="A2725" s="3">
        <v>2724</v>
      </c>
      <c r="L2725" s="1" t="s">
        <v>2391</v>
      </c>
      <c r="N2725" s="1" t="s">
        <v>1261</v>
      </c>
      <c r="P2725" s="1" t="s">
        <v>1262</v>
      </c>
      <c r="Q2725" s="3">
        <v>1</v>
      </c>
      <c r="R2725" s="22" t="s">
        <v>2766</v>
      </c>
      <c r="S2725" s="22" t="s">
        <v>5099</v>
      </c>
      <c r="T2725" s="51">
        <v>28</v>
      </c>
      <c r="U2725" s="3" t="s">
        <v>5869</v>
      </c>
      <c r="V2725" s="41" t="str">
        <f>HYPERLINK("http://ictvonline.org/taxonomy/p/taxonomy-history?taxnode_id=20182733","ICTVonline=20182733")</f>
        <v>ICTVonline=20182733</v>
      </c>
    </row>
    <row r="2726" spans="1:22">
      <c r="A2726" s="3">
        <v>2725</v>
      </c>
      <c r="L2726" s="1" t="s">
        <v>2391</v>
      </c>
      <c r="N2726" s="1" t="s">
        <v>1261</v>
      </c>
      <c r="P2726" s="1" t="s">
        <v>1263</v>
      </c>
      <c r="Q2726" s="3">
        <v>0</v>
      </c>
      <c r="R2726" s="22" t="s">
        <v>2766</v>
      </c>
      <c r="S2726" s="22" t="s">
        <v>5099</v>
      </c>
      <c r="T2726" s="51">
        <v>28</v>
      </c>
      <c r="U2726" s="3" t="s">
        <v>5869</v>
      </c>
      <c r="V2726" s="41" t="str">
        <f>HYPERLINK("http://ictvonline.org/taxonomy/p/taxonomy-history?taxnode_id=20182734","ICTVonline=20182734")</f>
        <v>ICTVonline=20182734</v>
      </c>
    </row>
    <row r="2727" spans="1:22">
      <c r="A2727" s="3">
        <v>2726</v>
      </c>
      <c r="L2727" s="1" t="s">
        <v>2391</v>
      </c>
      <c r="N2727" s="1" t="s">
        <v>1261</v>
      </c>
      <c r="P2727" s="1" t="s">
        <v>2392</v>
      </c>
      <c r="Q2727" s="3">
        <v>0</v>
      </c>
      <c r="R2727" s="22" t="s">
        <v>2766</v>
      </c>
      <c r="S2727" s="22" t="s">
        <v>5097</v>
      </c>
      <c r="T2727" s="51">
        <v>28</v>
      </c>
      <c r="U2727" s="3" t="s">
        <v>5869</v>
      </c>
      <c r="V2727" s="41" t="str">
        <f>HYPERLINK("http://ictvonline.org/taxonomy/p/taxonomy-history?taxnode_id=20182735","ICTVonline=20182735")</f>
        <v>ICTVonline=20182735</v>
      </c>
    </row>
    <row r="2728" spans="1:22">
      <c r="A2728" s="3">
        <v>2727</v>
      </c>
      <c r="L2728" s="1" t="s">
        <v>2391</v>
      </c>
      <c r="N2728" s="1" t="s">
        <v>1261</v>
      </c>
      <c r="P2728" s="1" t="s">
        <v>2294</v>
      </c>
      <c r="Q2728" s="3">
        <v>0</v>
      </c>
      <c r="R2728" s="22" t="s">
        <v>2766</v>
      </c>
      <c r="S2728" s="22" t="s">
        <v>5099</v>
      </c>
      <c r="T2728" s="51">
        <v>28</v>
      </c>
      <c r="U2728" s="3" t="s">
        <v>5869</v>
      </c>
      <c r="V2728" s="41" t="str">
        <f>HYPERLINK("http://ictvonline.org/taxonomy/p/taxonomy-history?taxnode_id=20182736","ICTVonline=20182736")</f>
        <v>ICTVonline=20182736</v>
      </c>
    </row>
    <row r="2729" spans="1:22">
      <c r="A2729" s="3">
        <v>2728</v>
      </c>
      <c r="L2729" s="1" t="s">
        <v>650</v>
      </c>
      <c r="N2729" s="1" t="s">
        <v>651</v>
      </c>
      <c r="P2729" s="1" t="s">
        <v>652</v>
      </c>
      <c r="Q2729" s="3">
        <v>1</v>
      </c>
      <c r="R2729" s="22" t="s">
        <v>2764</v>
      </c>
      <c r="S2729" s="22" t="s">
        <v>5102</v>
      </c>
      <c r="T2729" s="51">
        <v>25</v>
      </c>
      <c r="U2729" s="3" t="s">
        <v>5870</v>
      </c>
      <c r="V2729" s="41" t="str">
        <f>HYPERLINK("http://ictvonline.org/taxonomy/p/taxonomy-history?taxnode_id=20182740","ICTVonline=20182740")</f>
        <v>ICTVonline=20182740</v>
      </c>
    </row>
    <row r="2730" spans="1:22">
      <c r="A2730" s="3">
        <v>2729</v>
      </c>
      <c r="L2730" s="1" t="s">
        <v>66</v>
      </c>
      <c r="N2730" s="1" t="s">
        <v>67</v>
      </c>
      <c r="P2730" s="1" t="s">
        <v>68</v>
      </c>
      <c r="Q2730" s="3">
        <v>1</v>
      </c>
      <c r="R2730" s="22" t="s">
        <v>2767</v>
      </c>
      <c r="S2730" s="22" t="s">
        <v>5102</v>
      </c>
      <c r="T2730" s="51">
        <v>26</v>
      </c>
      <c r="U2730" s="3" t="s">
        <v>5871</v>
      </c>
      <c r="V2730" s="41" t="str">
        <f>HYPERLINK("http://ictvonline.org/taxonomy/p/taxonomy-history?taxnode_id=20182744","ICTVonline=20182744")</f>
        <v>ICTVonline=20182744</v>
      </c>
    </row>
    <row r="2731" spans="1:22">
      <c r="A2731" s="3">
        <v>2730</v>
      </c>
      <c r="L2731" s="1" t="s">
        <v>1780</v>
      </c>
      <c r="N2731" s="1" t="s">
        <v>1781</v>
      </c>
      <c r="P2731" s="1" t="s">
        <v>1782</v>
      </c>
      <c r="Q2731" s="3">
        <v>1</v>
      </c>
      <c r="R2731" s="22" t="s">
        <v>2768</v>
      </c>
      <c r="S2731" s="22" t="s">
        <v>5099</v>
      </c>
      <c r="T2731" s="51">
        <v>13</v>
      </c>
      <c r="U2731" s="3" t="s">
        <v>5868</v>
      </c>
      <c r="V2731" s="41" t="str">
        <f>HYPERLINK("http://ictvonline.org/taxonomy/p/taxonomy-history?taxnode_id=20182748","ICTVonline=20182748")</f>
        <v>ICTVonline=20182748</v>
      </c>
    </row>
    <row r="2732" spans="1:22">
      <c r="A2732" s="3">
        <v>2731</v>
      </c>
      <c r="L2732" s="1" t="s">
        <v>1780</v>
      </c>
      <c r="N2732" s="1" t="s">
        <v>1781</v>
      </c>
      <c r="P2732" s="1" t="s">
        <v>1783</v>
      </c>
      <c r="Q2732" s="3">
        <v>0</v>
      </c>
      <c r="R2732" s="22" t="s">
        <v>2768</v>
      </c>
      <c r="S2732" s="22" t="s">
        <v>5097</v>
      </c>
      <c r="T2732" s="51">
        <v>23</v>
      </c>
      <c r="U2732" s="3" t="s">
        <v>5872</v>
      </c>
      <c r="V2732" s="41" t="str">
        <f>HYPERLINK("http://ictvonline.org/taxonomy/p/taxonomy-history?taxnode_id=20182749","ICTVonline=20182749")</f>
        <v>ICTVonline=20182749</v>
      </c>
    </row>
    <row r="2733" spans="1:22">
      <c r="A2733" s="3">
        <v>2732</v>
      </c>
      <c r="L2733" s="1" t="s">
        <v>1780</v>
      </c>
      <c r="N2733" s="1" t="s">
        <v>1781</v>
      </c>
      <c r="P2733" s="1" t="s">
        <v>1784</v>
      </c>
      <c r="Q2733" s="3">
        <v>0</v>
      </c>
      <c r="R2733" s="22" t="s">
        <v>2768</v>
      </c>
      <c r="S2733" s="22" t="s">
        <v>5097</v>
      </c>
      <c r="T2733" s="51">
        <v>18</v>
      </c>
      <c r="U2733" s="3" t="s">
        <v>5486</v>
      </c>
      <c r="V2733" s="41" t="str">
        <f>HYPERLINK("http://ictvonline.org/taxonomy/p/taxonomy-history?taxnode_id=20182750","ICTVonline=20182750")</f>
        <v>ICTVonline=20182750</v>
      </c>
    </row>
    <row r="2734" spans="1:22">
      <c r="A2734" s="3">
        <v>2733</v>
      </c>
      <c r="L2734" s="1" t="s">
        <v>1780</v>
      </c>
      <c r="N2734" s="1" t="s">
        <v>1785</v>
      </c>
      <c r="P2734" s="1" t="s">
        <v>1794</v>
      </c>
      <c r="Q2734" s="3">
        <v>1</v>
      </c>
      <c r="R2734" s="22" t="s">
        <v>2768</v>
      </c>
      <c r="S2734" s="22" t="s">
        <v>5103</v>
      </c>
      <c r="T2734" s="51">
        <v>13</v>
      </c>
      <c r="U2734" s="3" t="s">
        <v>5868</v>
      </c>
      <c r="V2734" s="41" t="str">
        <f>HYPERLINK("http://ictvonline.org/taxonomy/p/taxonomy-history?taxnode_id=20182752","ICTVonline=20182752")</f>
        <v>ICTVonline=20182752</v>
      </c>
    </row>
    <row r="2735" spans="1:22">
      <c r="A2735" s="3">
        <v>2734</v>
      </c>
      <c r="L2735" s="1" t="s">
        <v>1780</v>
      </c>
      <c r="N2735" s="1" t="s">
        <v>1795</v>
      </c>
      <c r="P2735" s="1" t="s">
        <v>1796</v>
      </c>
      <c r="Q2735" s="3">
        <v>1</v>
      </c>
      <c r="R2735" s="22" t="s">
        <v>2768</v>
      </c>
      <c r="S2735" s="22" t="s">
        <v>5102</v>
      </c>
      <c r="T2735" s="51">
        <v>24</v>
      </c>
      <c r="U2735" s="3" t="s">
        <v>5873</v>
      </c>
      <c r="V2735" s="41" t="str">
        <f>HYPERLINK("http://ictvonline.org/taxonomy/p/taxonomy-history?taxnode_id=20182754","ICTVonline=20182754")</f>
        <v>ICTVonline=20182754</v>
      </c>
    </row>
    <row r="2736" spans="1:22">
      <c r="A2736" s="3">
        <v>2735</v>
      </c>
      <c r="L2736" s="1" t="s">
        <v>1780</v>
      </c>
      <c r="N2736" s="1" t="s">
        <v>1797</v>
      </c>
      <c r="P2736" s="1" t="s">
        <v>1798</v>
      </c>
      <c r="Q2736" s="3">
        <v>1</v>
      </c>
      <c r="R2736" s="22" t="s">
        <v>2768</v>
      </c>
      <c r="S2736" s="22" t="s">
        <v>5103</v>
      </c>
      <c r="T2736" s="51">
        <v>13</v>
      </c>
      <c r="U2736" s="3" t="s">
        <v>5868</v>
      </c>
      <c r="V2736" s="41" t="str">
        <f>HYPERLINK("http://ictvonline.org/taxonomy/p/taxonomy-history?taxnode_id=20182756","ICTVonline=20182756")</f>
        <v>ICTVonline=20182756</v>
      </c>
    </row>
    <row r="2737" spans="1:22">
      <c r="A2737" s="3">
        <v>2736</v>
      </c>
      <c r="L2737" s="1" t="s">
        <v>1799</v>
      </c>
      <c r="N2737" s="1" t="s">
        <v>748</v>
      </c>
      <c r="P2737" s="1" t="s">
        <v>749</v>
      </c>
      <c r="Q2737" s="3">
        <v>1</v>
      </c>
      <c r="R2737" s="22" t="s">
        <v>2766</v>
      </c>
      <c r="S2737" s="22" t="s">
        <v>5099</v>
      </c>
      <c r="T2737" s="51">
        <v>13</v>
      </c>
      <c r="U2737" s="3" t="s">
        <v>5868</v>
      </c>
      <c r="V2737" s="41" t="str">
        <f>HYPERLINK("http://ictvonline.org/taxonomy/p/taxonomy-history?taxnode_id=20182760","ICTVonline=20182760")</f>
        <v>ICTVonline=20182760</v>
      </c>
    </row>
    <row r="2738" spans="1:22">
      <c r="A2738" s="3">
        <v>2737</v>
      </c>
      <c r="L2738" s="1" t="s">
        <v>1799</v>
      </c>
      <c r="N2738" s="1" t="s">
        <v>750</v>
      </c>
      <c r="P2738" s="1" t="s">
        <v>2393</v>
      </c>
      <c r="Q2738" s="3">
        <v>0</v>
      </c>
      <c r="R2738" s="22" t="s">
        <v>2766</v>
      </c>
      <c r="S2738" s="22" t="s">
        <v>5097</v>
      </c>
      <c r="T2738" s="51">
        <v>28</v>
      </c>
      <c r="U2738" s="3" t="s">
        <v>5874</v>
      </c>
      <c r="V2738" s="41" t="str">
        <f>HYPERLINK("http://ictvonline.org/taxonomy/p/taxonomy-history?taxnode_id=20182762","ICTVonline=20182762")</f>
        <v>ICTVonline=20182762</v>
      </c>
    </row>
    <row r="2739" spans="1:22">
      <c r="A2739" s="3">
        <v>2738</v>
      </c>
      <c r="L2739" s="1" t="s">
        <v>1799</v>
      </c>
      <c r="N2739" s="1" t="s">
        <v>750</v>
      </c>
      <c r="P2739" s="1" t="s">
        <v>751</v>
      </c>
      <c r="Q2739" s="3">
        <v>1</v>
      </c>
      <c r="R2739" s="22" t="s">
        <v>2766</v>
      </c>
      <c r="S2739" s="22" t="s">
        <v>5102</v>
      </c>
      <c r="T2739" s="51">
        <v>24</v>
      </c>
      <c r="U2739" s="3" t="s">
        <v>5875</v>
      </c>
      <c r="V2739" s="41" t="str">
        <f>HYPERLINK("http://ictvonline.org/taxonomy/p/taxonomy-history?taxnode_id=20182763","ICTVonline=20182763")</f>
        <v>ICTVonline=20182763</v>
      </c>
    </row>
    <row r="2740" spans="1:22">
      <c r="A2740" s="3">
        <v>2739</v>
      </c>
      <c r="L2740" s="1" t="s">
        <v>1799</v>
      </c>
      <c r="N2740" s="1" t="s">
        <v>752</v>
      </c>
      <c r="P2740" s="1" t="s">
        <v>753</v>
      </c>
      <c r="Q2740" s="3">
        <v>0</v>
      </c>
      <c r="R2740" s="22" t="s">
        <v>2766</v>
      </c>
      <c r="S2740" s="22" t="s">
        <v>5099</v>
      </c>
      <c r="T2740" s="51">
        <v>13</v>
      </c>
      <c r="U2740" s="3" t="s">
        <v>5868</v>
      </c>
      <c r="V2740" s="41" t="str">
        <f>HYPERLINK("http://ictvonline.org/taxonomy/p/taxonomy-history?taxnode_id=20182765","ICTVonline=20182765")</f>
        <v>ICTVonline=20182765</v>
      </c>
    </row>
    <row r="2741" spans="1:22">
      <c r="A2741" s="3">
        <v>2740</v>
      </c>
      <c r="L2741" s="1" t="s">
        <v>1799</v>
      </c>
      <c r="N2741" s="1" t="s">
        <v>752</v>
      </c>
      <c r="P2741" s="1" t="s">
        <v>754</v>
      </c>
      <c r="Q2741" s="3">
        <v>1</v>
      </c>
      <c r="R2741" s="22" t="s">
        <v>2766</v>
      </c>
      <c r="S2741" s="22" t="s">
        <v>5099</v>
      </c>
      <c r="T2741" s="51">
        <v>13</v>
      </c>
      <c r="U2741" s="3" t="s">
        <v>5868</v>
      </c>
      <c r="V2741" s="41" t="str">
        <f>HYPERLINK("http://ictvonline.org/taxonomy/p/taxonomy-history?taxnode_id=20182766","ICTVonline=20182766")</f>
        <v>ICTVonline=20182766</v>
      </c>
    </row>
    <row r="2742" spans="1:22">
      <c r="A2742" s="3">
        <v>2741</v>
      </c>
      <c r="L2742" s="1" t="s">
        <v>1799</v>
      </c>
      <c r="N2742" s="1" t="s">
        <v>752</v>
      </c>
      <c r="P2742" s="1" t="s">
        <v>755</v>
      </c>
      <c r="Q2742" s="3">
        <v>0</v>
      </c>
      <c r="R2742" s="22" t="s">
        <v>2766</v>
      </c>
      <c r="S2742" s="22" t="s">
        <v>5099</v>
      </c>
      <c r="T2742" s="51">
        <v>13</v>
      </c>
      <c r="U2742" s="3" t="s">
        <v>5868</v>
      </c>
      <c r="V2742" s="41" t="str">
        <f>HYPERLINK("http://ictvonline.org/taxonomy/p/taxonomy-history?taxnode_id=20182767","ICTVonline=20182767")</f>
        <v>ICTVonline=20182767</v>
      </c>
    </row>
    <row r="2743" spans="1:22">
      <c r="A2743" s="3">
        <v>2742</v>
      </c>
      <c r="L2743" s="1" t="s">
        <v>1799</v>
      </c>
      <c r="N2743" s="1" t="s">
        <v>752</v>
      </c>
      <c r="P2743" s="1" t="s">
        <v>1802</v>
      </c>
      <c r="Q2743" s="3">
        <v>0</v>
      </c>
      <c r="R2743" s="22" t="s">
        <v>2766</v>
      </c>
      <c r="S2743" s="22" t="s">
        <v>5099</v>
      </c>
      <c r="T2743" s="51">
        <v>13</v>
      </c>
      <c r="U2743" s="3" t="s">
        <v>5868</v>
      </c>
      <c r="V2743" s="41" t="str">
        <f>HYPERLINK("http://ictvonline.org/taxonomy/p/taxonomy-history?taxnode_id=20182768","ICTVonline=20182768")</f>
        <v>ICTVonline=20182768</v>
      </c>
    </row>
    <row r="2744" spans="1:22">
      <c r="A2744" s="3">
        <v>2743</v>
      </c>
      <c r="L2744" s="1" t="s">
        <v>1799</v>
      </c>
      <c r="N2744" s="1" t="s">
        <v>752</v>
      </c>
      <c r="P2744" s="1" t="s">
        <v>1803</v>
      </c>
      <c r="Q2744" s="3">
        <v>0</v>
      </c>
      <c r="R2744" s="22" t="s">
        <v>2766</v>
      </c>
      <c r="S2744" s="22" t="s">
        <v>5099</v>
      </c>
      <c r="T2744" s="51">
        <v>13</v>
      </c>
      <c r="U2744" s="3" t="s">
        <v>5868</v>
      </c>
      <c r="V2744" s="41" t="str">
        <f>HYPERLINK("http://ictvonline.org/taxonomy/p/taxonomy-history?taxnode_id=20182769","ICTVonline=20182769")</f>
        <v>ICTVonline=20182769</v>
      </c>
    </row>
    <row r="2745" spans="1:22">
      <c r="A2745" s="3">
        <v>2744</v>
      </c>
      <c r="L2745" s="1" t="s">
        <v>1799</v>
      </c>
      <c r="N2745" s="1" t="s">
        <v>752</v>
      </c>
      <c r="P2745" s="1" t="s">
        <v>653</v>
      </c>
      <c r="Q2745" s="3">
        <v>0</v>
      </c>
      <c r="R2745" s="22" t="s">
        <v>2766</v>
      </c>
      <c r="S2745" s="22" t="s">
        <v>5099</v>
      </c>
      <c r="T2745" s="51">
        <v>13</v>
      </c>
      <c r="U2745" s="3" t="s">
        <v>5868</v>
      </c>
      <c r="V2745" s="41" t="str">
        <f>HYPERLINK("http://ictvonline.org/taxonomy/p/taxonomy-history?taxnode_id=20182770","ICTVonline=20182770")</f>
        <v>ICTVonline=20182770</v>
      </c>
    </row>
    <row r="2746" spans="1:22">
      <c r="A2746" s="3">
        <v>2745</v>
      </c>
      <c r="L2746" s="1" t="s">
        <v>1799</v>
      </c>
      <c r="N2746" s="1" t="s">
        <v>654</v>
      </c>
      <c r="P2746" s="1" t="s">
        <v>655</v>
      </c>
      <c r="Q2746" s="3">
        <v>1</v>
      </c>
      <c r="R2746" s="22" t="s">
        <v>2766</v>
      </c>
      <c r="S2746" s="22" t="s">
        <v>5099</v>
      </c>
      <c r="T2746" s="51">
        <v>13</v>
      </c>
      <c r="U2746" s="3" t="s">
        <v>5868</v>
      </c>
      <c r="V2746" s="41" t="str">
        <f>HYPERLINK("http://ictvonline.org/taxonomy/p/taxonomy-history?taxnode_id=20182772","ICTVonline=20182772")</f>
        <v>ICTVonline=20182772</v>
      </c>
    </row>
    <row r="2747" spans="1:22">
      <c r="A2747" s="3">
        <v>2746</v>
      </c>
      <c r="L2747" s="1" t="s">
        <v>1799</v>
      </c>
      <c r="N2747" s="1" t="s">
        <v>654</v>
      </c>
      <c r="P2747" s="1" t="s">
        <v>69</v>
      </c>
      <c r="Q2747" s="3">
        <v>0</v>
      </c>
      <c r="R2747" s="22" t="s">
        <v>2766</v>
      </c>
      <c r="S2747" s="22" t="s">
        <v>5097</v>
      </c>
      <c r="T2747" s="51">
        <v>26</v>
      </c>
      <c r="U2747" s="3" t="s">
        <v>5876</v>
      </c>
      <c r="V2747" s="41" t="str">
        <f>HYPERLINK("http://ictvonline.org/taxonomy/p/taxonomy-history?taxnode_id=20182773","ICTVonline=20182773")</f>
        <v>ICTVonline=20182773</v>
      </c>
    </row>
    <row r="2748" spans="1:22">
      <c r="A2748" s="3">
        <v>2747</v>
      </c>
      <c r="L2748" s="1" t="s">
        <v>1799</v>
      </c>
      <c r="N2748" s="1" t="s">
        <v>654</v>
      </c>
      <c r="P2748" s="1" t="s">
        <v>1806</v>
      </c>
      <c r="Q2748" s="3">
        <v>0</v>
      </c>
      <c r="R2748" s="22" t="s">
        <v>2766</v>
      </c>
      <c r="S2748" s="22" t="s">
        <v>5099</v>
      </c>
      <c r="T2748" s="51">
        <v>13</v>
      </c>
      <c r="U2748" s="3" t="s">
        <v>5868</v>
      </c>
      <c r="V2748" s="41" t="str">
        <f>HYPERLINK("http://ictvonline.org/taxonomy/p/taxonomy-history?taxnode_id=20182774","ICTVonline=20182774")</f>
        <v>ICTVonline=20182774</v>
      </c>
    </row>
    <row r="2749" spans="1:22">
      <c r="A2749" s="3">
        <v>2748</v>
      </c>
      <c r="L2749" s="1" t="s">
        <v>1799</v>
      </c>
      <c r="N2749" s="1" t="s">
        <v>654</v>
      </c>
      <c r="P2749" s="1" t="s">
        <v>1807</v>
      </c>
      <c r="Q2749" s="3">
        <v>0</v>
      </c>
      <c r="R2749" s="22" t="s">
        <v>2766</v>
      </c>
      <c r="S2749" s="22" t="s">
        <v>5099</v>
      </c>
      <c r="T2749" s="51">
        <v>13</v>
      </c>
      <c r="U2749" s="3" t="s">
        <v>5868</v>
      </c>
      <c r="V2749" s="41" t="str">
        <f>HYPERLINK("http://ictvonline.org/taxonomy/p/taxonomy-history?taxnode_id=20182775","ICTVonline=20182775")</f>
        <v>ICTVonline=20182775</v>
      </c>
    </row>
    <row r="2750" spans="1:22">
      <c r="A2750" s="3">
        <v>2749</v>
      </c>
      <c r="L2750" s="1" t="s">
        <v>1799</v>
      </c>
      <c r="N2750" s="1" t="s">
        <v>1808</v>
      </c>
      <c r="P2750" s="1" t="s">
        <v>5877</v>
      </c>
      <c r="Q2750" s="3">
        <v>0</v>
      </c>
      <c r="R2750" s="22" t="s">
        <v>2766</v>
      </c>
      <c r="S2750" s="22" t="s">
        <v>5097</v>
      </c>
      <c r="T2750" s="51">
        <v>32</v>
      </c>
      <c r="U2750" s="3" t="s">
        <v>5878</v>
      </c>
      <c r="V2750" s="41" t="str">
        <f>HYPERLINK("http://ictvonline.org/taxonomy/p/taxonomy-history?taxnode_id=20185758","ICTVonline=20185758")</f>
        <v>ICTVonline=20185758</v>
      </c>
    </row>
    <row r="2751" spans="1:22">
      <c r="A2751" s="3">
        <v>2750</v>
      </c>
      <c r="L2751" s="1" t="s">
        <v>1799</v>
      </c>
      <c r="N2751" s="1" t="s">
        <v>1808</v>
      </c>
      <c r="P2751" s="1" t="s">
        <v>1809</v>
      </c>
      <c r="Q2751" s="3">
        <v>0</v>
      </c>
      <c r="R2751" s="22" t="s">
        <v>2766</v>
      </c>
      <c r="S2751" s="22" t="s">
        <v>5099</v>
      </c>
      <c r="T2751" s="51">
        <v>13</v>
      </c>
      <c r="U2751" s="3" t="s">
        <v>5868</v>
      </c>
      <c r="V2751" s="41" t="str">
        <f>HYPERLINK("http://ictvonline.org/taxonomy/p/taxonomy-history?taxnode_id=20182777","ICTVonline=20182777")</f>
        <v>ICTVonline=20182777</v>
      </c>
    </row>
    <row r="2752" spans="1:22">
      <c r="A2752" s="3">
        <v>2751</v>
      </c>
      <c r="L2752" s="1" t="s">
        <v>1799</v>
      </c>
      <c r="N2752" s="1" t="s">
        <v>1808</v>
      </c>
      <c r="P2752" s="1" t="s">
        <v>1810</v>
      </c>
      <c r="Q2752" s="3">
        <v>0</v>
      </c>
      <c r="R2752" s="22" t="s">
        <v>2766</v>
      </c>
      <c r="S2752" s="22" t="s">
        <v>5105</v>
      </c>
      <c r="T2752" s="51">
        <v>14</v>
      </c>
      <c r="U2752" s="3" t="s">
        <v>5879</v>
      </c>
      <c r="V2752" s="41" t="str">
        <f>HYPERLINK("http://ictvonline.org/taxonomy/p/taxonomy-history?taxnode_id=20182778","ICTVonline=20182778")</f>
        <v>ICTVonline=20182778</v>
      </c>
    </row>
    <row r="2753" spans="1:22">
      <c r="A2753" s="3">
        <v>2752</v>
      </c>
      <c r="L2753" s="1" t="s">
        <v>1799</v>
      </c>
      <c r="N2753" s="1" t="s">
        <v>1808</v>
      </c>
      <c r="P2753" s="1" t="s">
        <v>1811</v>
      </c>
      <c r="Q2753" s="3">
        <v>0</v>
      </c>
      <c r="R2753" s="22" t="s">
        <v>2766</v>
      </c>
      <c r="S2753" s="22" t="s">
        <v>5100</v>
      </c>
      <c r="T2753" s="51">
        <v>14</v>
      </c>
      <c r="U2753" s="3" t="s">
        <v>5879</v>
      </c>
      <c r="V2753" s="41" t="str">
        <f>HYPERLINK("http://ictvonline.org/taxonomy/p/taxonomy-history?taxnode_id=20182779","ICTVonline=20182779")</f>
        <v>ICTVonline=20182779</v>
      </c>
    </row>
    <row r="2754" spans="1:22">
      <c r="A2754" s="3">
        <v>2753</v>
      </c>
      <c r="L2754" s="1" t="s">
        <v>1799</v>
      </c>
      <c r="N2754" s="1" t="s">
        <v>1808</v>
      </c>
      <c r="P2754" s="1" t="s">
        <v>70</v>
      </c>
      <c r="Q2754" s="3">
        <v>0</v>
      </c>
      <c r="R2754" s="22" t="s">
        <v>2766</v>
      </c>
      <c r="S2754" s="22" t="s">
        <v>5097</v>
      </c>
      <c r="T2754" s="51">
        <v>26</v>
      </c>
      <c r="U2754" s="3" t="s">
        <v>5880</v>
      </c>
      <c r="V2754" s="41" t="str">
        <f>HYPERLINK("http://ictvonline.org/taxonomy/p/taxonomy-history?taxnode_id=20182780","ICTVonline=20182780")</f>
        <v>ICTVonline=20182780</v>
      </c>
    </row>
    <row r="2755" spans="1:22">
      <c r="A2755" s="3">
        <v>2754</v>
      </c>
      <c r="L2755" s="1" t="s">
        <v>1799</v>
      </c>
      <c r="N2755" s="1" t="s">
        <v>1808</v>
      </c>
      <c r="P2755" s="1" t="s">
        <v>1812</v>
      </c>
      <c r="Q2755" s="3">
        <v>0</v>
      </c>
      <c r="R2755" s="22" t="s">
        <v>2766</v>
      </c>
      <c r="S2755" s="22" t="s">
        <v>5100</v>
      </c>
      <c r="T2755" s="51">
        <v>14</v>
      </c>
      <c r="U2755" s="3" t="s">
        <v>5879</v>
      </c>
      <c r="V2755" s="41" t="str">
        <f>HYPERLINK("http://ictvonline.org/taxonomy/p/taxonomy-history?taxnode_id=20182781","ICTVonline=20182781")</f>
        <v>ICTVonline=20182781</v>
      </c>
    </row>
    <row r="2756" spans="1:22">
      <c r="A2756" s="3">
        <v>2755</v>
      </c>
      <c r="L2756" s="1" t="s">
        <v>1799</v>
      </c>
      <c r="N2756" s="1" t="s">
        <v>1808</v>
      </c>
      <c r="P2756" s="1" t="s">
        <v>1813</v>
      </c>
      <c r="Q2756" s="3">
        <v>0</v>
      </c>
      <c r="R2756" s="22" t="s">
        <v>2766</v>
      </c>
      <c r="S2756" s="22" t="s">
        <v>5099</v>
      </c>
      <c r="T2756" s="51">
        <v>13</v>
      </c>
      <c r="U2756" s="3" t="s">
        <v>5868</v>
      </c>
      <c r="V2756" s="41" t="str">
        <f>HYPERLINK("http://ictvonline.org/taxonomy/p/taxonomy-history?taxnode_id=20182782","ICTVonline=20182782")</f>
        <v>ICTVonline=20182782</v>
      </c>
    </row>
    <row r="2757" spans="1:22">
      <c r="A2757" s="3">
        <v>2756</v>
      </c>
      <c r="L2757" s="1" t="s">
        <v>1799</v>
      </c>
      <c r="N2757" s="1" t="s">
        <v>1808</v>
      </c>
      <c r="P2757" s="1" t="s">
        <v>766</v>
      </c>
      <c r="Q2757" s="3">
        <v>0</v>
      </c>
      <c r="R2757" s="22" t="s">
        <v>2766</v>
      </c>
      <c r="S2757" s="22" t="s">
        <v>5099</v>
      </c>
      <c r="T2757" s="51">
        <v>13</v>
      </c>
      <c r="U2757" s="3" t="s">
        <v>5868</v>
      </c>
      <c r="V2757" s="41" t="str">
        <f>HYPERLINK("http://ictvonline.org/taxonomy/p/taxonomy-history?taxnode_id=20182783","ICTVonline=20182783")</f>
        <v>ICTVonline=20182783</v>
      </c>
    </row>
    <row r="2758" spans="1:22">
      <c r="A2758" s="3">
        <v>2757</v>
      </c>
      <c r="L2758" s="1" t="s">
        <v>1799</v>
      </c>
      <c r="N2758" s="1" t="s">
        <v>1808</v>
      </c>
      <c r="P2758" s="1" t="s">
        <v>767</v>
      </c>
      <c r="Q2758" s="3">
        <v>0</v>
      </c>
      <c r="R2758" s="22" t="s">
        <v>2766</v>
      </c>
      <c r="S2758" s="22" t="s">
        <v>5105</v>
      </c>
      <c r="T2758" s="51">
        <v>23</v>
      </c>
      <c r="U2758" s="3" t="s">
        <v>5872</v>
      </c>
      <c r="V2758" s="41" t="str">
        <f>HYPERLINK("http://ictvonline.org/taxonomy/p/taxonomy-history?taxnode_id=20182784","ICTVonline=20182784")</f>
        <v>ICTVonline=20182784</v>
      </c>
    </row>
    <row r="2759" spans="1:22">
      <c r="A2759" s="3">
        <v>2758</v>
      </c>
      <c r="L2759" s="1" t="s">
        <v>1799</v>
      </c>
      <c r="N2759" s="1" t="s">
        <v>1808</v>
      </c>
      <c r="P2759" s="1" t="s">
        <v>768</v>
      </c>
      <c r="Q2759" s="3">
        <v>0</v>
      </c>
      <c r="R2759" s="22" t="s">
        <v>2766</v>
      </c>
      <c r="S2759" s="22" t="s">
        <v>5097</v>
      </c>
      <c r="T2759" s="51">
        <v>18</v>
      </c>
      <c r="U2759" s="3" t="s">
        <v>5486</v>
      </c>
      <c r="V2759" s="41" t="str">
        <f>HYPERLINK("http://ictvonline.org/taxonomy/p/taxonomy-history?taxnode_id=20182785","ICTVonline=20182785")</f>
        <v>ICTVonline=20182785</v>
      </c>
    </row>
    <row r="2760" spans="1:22">
      <c r="A2760" s="3">
        <v>2759</v>
      </c>
      <c r="L2760" s="1" t="s">
        <v>1799</v>
      </c>
      <c r="N2760" s="1" t="s">
        <v>1808</v>
      </c>
      <c r="P2760" s="1" t="s">
        <v>769</v>
      </c>
      <c r="Q2760" s="3">
        <v>0</v>
      </c>
      <c r="R2760" s="22" t="s">
        <v>2766</v>
      </c>
      <c r="S2760" s="22" t="s">
        <v>5100</v>
      </c>
      <c r="T2760" s="51">
        <v>18</v>
      </c>
      <c r="U2760" s="3" t="s">
        <v>5486</v>
      </c>
      <c r="V2760" s="41" t="str">
        <f>HYPERLINK("http://ictvonline.org/taxonomy/p/taxonomy-history?taxnode_id=20182786","ICTVonline=20182786")</f>
        <v>ICTVonline=20182786</v>
      </c>
    </row>
    <row r="2761" spans="1:22">
      <c r="A2761" s="3">
        <v>2760</v>
      </c>
      <c r="L2761" s="1" t="s">
        <v>1799</v>
      </c>
      <c r="N2761" s="1" t="s">
        <v>1808</v>
      </c>
      <c r="P2761" s="1" t="s">
        <v>71</v>
      </c>
      <c r="Q2761" s="3">
        <v>0</v>
      </c>
      <c r="R2761" s="22" t="s">
        <v>2766</v>
      </c>
      <c r="S2761" s="22" t="s">
        <v>5097</v>
      </c>
      <c r="T2761" s="51">
        <v>26</v>
      </c>
      <c r="U2761" s="3" t="s">
        <v>5881</v>
      </c>
      <c r="V2761" s="41" t="str">
        <f>HYPERLINK("http://ictvonline.org/taxonomy/p/taxonomy-history?taxnode_id=20182787","ICTVonline=20182787")</f>
        <v>ICTVonline=20182787</v>
      </c>
    </row>
    <row r="2762" spans="1:22">
      <c r="A2762" s="3">
        <v>2761</v>
      </c>
      <c r="L2762" s="1" t="s">
        <v>1799</v>
      </c>
      <c r="N2762" s="1" t="s">
        <v>1808</v>
      </c>
      <c r="P2762" s="1" t="s">
        <v>770</v>
      </c>
      <c r="Q2762" s="3">
        <v>0</v>
      </c>
      <c r="R2762" s="22" t="s">
        <v>2766</v>
      </c>
      <c r="S2762" s="22" t="s">
        <v>5099</v>
      </c>
      <c r="T2762" s="51">
        <v>13</v>
      </c>
      <c r="U2762" s="3" t="s">
        <v>5868</v>
      </c>
      <c r="V2762" s="41" t="str">
        <f>HYPERLINK("http://ictvonline.org/taxonomy/p/taxonomy-history?taxnode_id=20182788","ICTVonline=20182788")</f>
        <v>ICTVonline=20182788</v>
      </c>
    </row>
    <row r="2763" spans="1:22">
      <c r="A2763" s="3">
        <v>2762</v>
      </c>
      <c r="L2763" s="1" t="s">
        <v>1799</v>
      </c>
      <c r="N2763" s="1" t="s">
        <v>1808</v>
      </c>
      <c r="P2763" s="1" t="s">
        <v>225</v>
      </c>
      <c r="Q2763" s="3">
        <v>0</v>
      </c>
      <c r="R2763" s="22" t="s">
        <v>2766</v>
      </c>
      <c r="S2763" s="22" t="s">
        <v>5099</v>
      </c>
      <c r="T2763" s="51">
        <v>13</v>
      </c>
      <c r="U2763" s="3" t="s">
        <v>5868</v>
      </c>
      <c r="V2763" s="41" t="str">
        <f>HYPERLINK("http://ictvonline.org/taxonomy/p/taxonomy-history?taxnode_id=20182789","ICTVonline=20182789")</f>
        <v>ICTVonline=20182789</v>
      </c>
    </row>
    <row r="2764" spans="1:22">
      <c r="A2764" s="3">
        <v>2763</v>
      </c>
      <c r="L2764" s="1" t="s">
        <v>1799</v>
      </c>
      <c r="N2764" s="1" t="s">
        <v>1808</v>
      </c>
      <c r="P2764" s="1" t="s">
        <v>5882</v>
      </c>
      <c r="Q2764" s="3">
        <v>0</v>
      </c>
      <c r="R2764" s="22" t="s">
        <v>2766</v>
      </c>
      <c r="S2764" s="22" t="s">
        <v>5097</v>
      </c>
      <c r="T2764" s="51">
        <v>32</v>
      </c>
      <c r="U2764" s="3" t="s">
        <v>5878</v>
      </c>
      <c r="V2764" s="41" t="str">
        <f>HYPERLINK("http://ictvonline.org/taxonomy/p/taxonomy-history?taxnode_id=20185759","ICTVonline=20185759")</f>
        <v>ICTVonline=20185759</v>
      </c>
    </row>
    <row r="2765" spans="1:22">
      <c r="A2765" s="3">
        <v>2764</v>
      </c>
      <c r="L2765" s="1" t="s">
        <v>1799</v>
      </c>
      <c r="N2765" s="1" t="s">
        <v>1808</v>
      </c>
      <c r="P2765" s="1" t="s">
        <v>226</v>
      </c>
      <c r="Q2765" s="3">
        <v>0</v>
      </c>
      <c r="R2765" s="22" t="s">
        <v>2766</v>
      </c>
      <c r="S2765" s="22" t="s">
        <v>5099</v>
      </c>
      <c r="T2765" s="51">
        <v>13</v>
      </c>
      <c r="U2765" s="3" t="s">
        <v>5868</v>
      </c>
      <c r="V2765" s="41" t="str">
        <f>HYPERLINK("http://ictvonline.org/taxonomy/p/taxonomy-history?taxnode_id=20182790","ICTVonline=20182790")</f>
        <v>ICTVonline=20182790</v>
      </c>
    </row>
    <row r="2766" spans="1:22">
      <c r="A2766" s="3">
        <v>2765</v>
      </c>
      <c r="L2766" s="1" t="s">
        <v>1799</v>
      </c>
      <c r="N2766" s="1" t="s">
        <v>1808</v>
      </c>
      <c r="P2766" s="1" t="s">
        <v>227</v>
      </c>
      <c r="Q2766" s="3">
        <v>0</v>
      </c>
      <c r="R2766" s="22" t="s">
        <v>2766</v>
      </c>
      <c r="S2766" s="22" t="s">
        <v>5105</v>
      </c>
      <c r="T2766" s="51">
        <v>14</v>
      </c>
      <c r="U2766" s="3" t="s">
        <v>5879</v>
      </c>
      <c r="V2766" s="41" t="str">
        <f>HYPERLINK("http://ictvonline.org/taxonomy/p/taxonomy-history?taxnode_id=20182791","ICTVonline=20182791")</f>
        <v>ICTVonline=20182791</v>
      </c>
    </row>
    <row r="2767" spans="1:22">
      <c r="A2767" s="3">
        <v>2766</v>
      </c>
      <c r="L2767" s="1" t="s">
        <v>1799</v>
      </c>
      <c r="N2767" s="1" t="s">
        <v>1808</v>
      </c>
      <c r="P2767" s="1" t="s">
        <v>1225</v>
      </c>
      <c r="Q2767" s="3">
        <v>0</v>
      </c>
      <c r="R2767" s="22" t="s">
        <v>2766</v>
      </c>
      <c r="S2767" s="22" t="s">
        <v>5099</v>
      </c>
      <c r="T2767" s="51">
        <v>13</v>
      </c>
      <c r="U2767" s="3" t="s">
        <v>5868</v>
      </c>
      <c r="V2767" s="41" t="str">
        <f>HYPERLINK("http://ictvonline.org/taxonomy/p/taxonomy-history?taxnode_id=20182792","ICTVonline=20182792")</f>
        <v>ICTVonline=20182792</v>
      </c>
    </row>
    <row r="2768" spans="1:22">
      <c r="A2768" s="3">
        <v>2767</v>
      </c>
      <c r="L2768" s="1" t="s">
        <v>1799</v>
      </c>
      <c r="N2768" s="1" t="s">
        <v>1808</v>
      </c>
      <c r="P2768" s="1" t="s">
        <v>72</v>
      </c>
      <c r="Q2768" s="3">
        <v>0</v>
      </c>
      <c r="R2768" s="22" t="s">
        <v>2766</v>
      </c>
      <c r="S2768" s="22" t="s">
        <v>5097</v>
      </c>
      <c r="T2768" s="51">
        <v>26</v>
      </c>
      <c r="U2768" s="3" t="s">
        <v>5880</v>
      </c>
      <c r="V2768" s="41" t="str">
        <f>HYPERLINK("http://ictvonline.org/taxonomy/p/taxonomy-history?taxnode_id=20182793","ICTVonline=20182793")</f>
        <v>ICTVonline=20182793</v>
      </c>
    </row>
    <row r="2769" spans="1:22">
      <c r="A2769" s="3">
        <v>2768</v>
      </c>
      <c r="L2769" s="1" t="s">
        <v>1799</v>
      </c>
      <c r="N2769" s="1" t="s">
        <v>1808</v>
      </c>
      <c r="P2769" s="1" t="s">
        <v>1974</v>
      </c>
      <c r="Q2769" s="3">
        <v>1</v>
      </c>
      <c r="R2769" s="22" t="s">
        <v>2766</v>
      </c>
      <c r="S2769" s="22" t="s">
        <v>5099</v>
      </c>
      <c r="T2769" s="51">
        <v>13</v>
      </c>
      <c r="U2769" s="3" t="s">
        <v>5868</v>
      </c>
      <c r="V2769" s="41" t="str">
        <f>HYPERLINK("http://ictvonline.org/taxonomy/p/taxonomy-history?taxnode_id=20182794","ICTVonline=20182794")</f>
        <v>ICTVonline=20182794</v>
      </c>
    </row>
    <row r="2770" spans="1:22">
      <c r="A2770" s="3">
        <v>2769</v>
      </c>
      <c r="L2770" s="1" t="s">
        <v>1799</v>
      </c>
      <c r="N2770" s="1" t="s">
        <v>1808</v>
      </c>
      <c r="P2770" s="1" t="s">
        <v>5883</v>
      </c>
      <c r="Q2770" s="3">
        <v>0</v>
      </c>
      <c r="R2770" s="22" t="s">
        <v>2766</v>
      </c>
      <c r="S2770" s="22" t="s">
        <v>5097</v>
      </c>
      <c r="T2770" s="51">
        <v>32</v>
      </c>
      <c r="U2770" s="3" t="s">
        <v>5878</v>
      </c>
      <c r="V2770" s="41" t="str">
        <f>HYPERLINK("http://ictvonline.org/taxonomy/p/taxonomy-history?taxnode_id=20185760","ICTVonline=20185760")</f>
        <v>ICTVonline=20185760</v>
      </c>
    </row>
    <row r="2771" spans="1:22">
      <c r="A2771" s="3">
        <v>2770</v>
      </c>
      <c r="L2771" s="1" t="s">
        <v>1799</v>
      </c>
      <c r="N2771" s="1" t="s">
        <v>1808</v>
      </c>
      <c r="P2771" s="1" t="s">
        <v>1975</v>
      </c>
      <c r="Q2771" s="3">
        <v>0</v>
      </c>
      <c r="R2771" s="22" t="s">
        <v>2766</v>
      </c>
      <c r="S2771" s="22" t="s">
        <v>5099</v>
      </c>
      <c r="T2771" s="51">
        <v>13</v>
      </c>
      <c r="U2771" s="3" t="s">
        <v>5868</v>
      </c>
      <c r="V2771" s="41" t="str">
        <f>HYPERLINK("http://ictvonline.org/taxonomy/p/taxonomy-history?taxnode_id=20182795","ICTVonline=20182795")</f>
        <v>ICTVonline=20182795</v>
      </c>
    </row>
    <row r="2772" spans="1:22">
      <c r="A2772" s="3">
        <v>2771</v>
      </c>
      <c r="L2772" s="1" t="s">
        <v>1799</v>
      </c>
      <c r="N2772" s="1" t="s">
        <v>1976</v>
      </c>
      <c r="P2772" s="1" t="s">
        <v>1977</v>
      </c>
      <c r="Q2772" s="3">
        <v>1</v>
      </c>
      <c r="R2772" s="22" t="s">
        <v>2766</v>
      </c>
      <c r="S2772" s="22" t="s">
        <v>5102</v>
      </c>
      <c r="T2772" s="51">
        <v>16</v>
      </c>
      <c r="U2772" s="3" t="s">
        <v>5884</v>
      </c>
      <c r="V2772" s="41" t="str">
        <f>HYPERLINK("http://ictvonline.org/taxonomy/p/taxonomy-history?taxnode_id=20182797","ICTVonline=20182797")</f>
        <v>ICTVonline=20182797</v>
      </c>
    </row>
    <row r="2773" spans="1:22">
      <c r="A2773" s="3">
        <v>2772</v>
      </c>
      <c r="L2773" s="1" t="s">
        <v>2014</v>
      </c>
      <c r="N2773" s="1" t="s">
        <v>2015</v>
      </c>
      <c r="P2773" s="1" t="s">
        <v>2016</v>
      </c>
      <c r="Q2773" s="3">
        <v>0</v>
      </c>
      <c r="R2773" s="22" t="s">
        <v>2766</v>
      </c>
      <c r="S2773" s="22" t="s">
        <v>5100</v>
      </c>
      <c r="T2773" s="51">
        <v>18</v>
      </c>
      <c r="U2773" s="3" t="s">
        <v>5486</v>
      </c>
      <c r="V2773" s="41" t="str">
        <f>HYPERLINK("http://ictvonline.org/taxonomy/p/taxonomy-history?taxnode_id=20182801","ICTVonline=20182801")</f>
        <v>ICTVonline=20182801</v>
      </c>
    </row>
    <row r="2774" spans="1:22">
      <c r="A2774" s="3">
        <v>2773</v>
      </c>
      <c r="L2774" s="1" t="s">
        <v>2014</v>
      </c>
      <c r="N2774" s="1" t="s">
        <v>2015</v>
      </c>
      <c r="P2774" s="1" t="s">
        <v>2017</v>
      </c>
      <c r="Q2774" s="3">
        <v>1</v>
      </c>
      <c r="R2774" s="22" t="s">
        <v>2766</v>
      </c>
      <c r="S2774" s="22" t="s">
        <v>5103</v>
      </c>
      <c r="T2774" s="51">
        <v>17</v>
      </c>
      <c r="U2774" s="3" t="s">
        <v>5823</v>
      </c>
      <c r="V2774" s="41" t="str">
        <f>HYPERLINK("http://ictvonline.org/taxonomy/p/taxonomy-history?taxnode_id=20182802","ICTVonline=20182802")</f>
        <v>ICTVonline=20182802</v>
      </c>
    </row>
    <row r="2775" spans="1:22">
      <c r="A2775" s="3">
        <v>2774</v>
      </c>
      <c r="L2775" s="1" t="s">
        <v>2014</v>
      </c>
      <c r="N2775" s="1" t="s">
        <v>1851</v>
      </c>
      <c r="P2775" s="1" t="s">
        <v>5885</v>
      </c>
      <c r="Q2775" s="3">
        <v>1</v>
      </c>
      <c r="R2775" s="22" t="s">
        <v>2766</v>
      </c>
      <c r="S2775" s="22" t="s">
        <v>5102</v>
      </c>
      <c r="T2775" s="51">
        <v>25</v>
      </c>
      <c r="U2775" s="3" t="s">
        <v>6705</v>
      </c>
      <c r="V2775" s="41" t="str">
        <f>HYPERLINK("http://ictvonline.org/taxonomy/p/taxonomy-history?taxnode_id=20182804","ICTVonline=20182804")</f>
        <v>ICTVonline=20182804</v>
      </c>
    </row>
    <row r="2776" spans="1:22">
      <c r="A2776" s="3">
        <v>2775</v>
      </c>
      <c r="L2776" s="1" t="s">
        <v>2014</v>
      </c>
      <c r="N2776" s="1" t="s">
        <v>2018</v>
      </c>
      <c r="P2776" s="1" t="s">
        <v>2019</v>
      </c>
      <c r="Q2776" s="3">
        <v>1</v>
      </c>
      <c r="R2776" s="22" t="s">
        <v>2766</v>
      </c>
      <c r="S2776" s="22" t="s">
        <v>5099</v>
      </c>
      <c r="T2776" s="51">
        <v>20</v>
      </c>
      <c r="U2776" s="3" t="s">
        <v>5490</v>
      </c>
      <c r="V2776" s="41" t="str">
        <f>HYPERLINK("http://ictvonline.org/taxonomy/p/taxonomy-history?taxnode_id=20182806","ICTVonline=20182806")</f>
        <v>ICTVonline=20182806</v>
      </c>
    </row>
    <row r="2777" spans="1:22">
      <c r="A2777" s="3">
        <v>2776</v>
      </c>
      <c r="L2777" s="1" t="s">
        <v>2014</v>
      </c>
      <c r="N2777" s="1" t="s">
        <v>2020</v>
      </c>
      <c r="P2777" s="1" t="s">
        <v>2021</v>
      </c>
      <c r="Q2777" s="3">
        <v>1</v>
      </c>
      <c r="R2777" s="22" t="s">
        <v>2766</v>
      </c>
      <c r="S2777" s="22" t="s">
        <v>5099</v>
      </c>
      <c r="T2777" s="51">
        <v>20</v>
      </c>
      <c r="U2777" s="3" t="s">
        <v>5490</v>
      </c>
      <c r="V2777" s="41" t="str">
        <f>HYPERLINK("http://ictvonline.org/taxonomy/p/taxonomy-history?taxnode_id=20182808","ICTVonline=20182808")</f>
        <v>ICTVonline=20182808</v>
      </c>
    </row>
    <row r="2778" spans="1:22">
      <c r="A2778" s="3">
        <v>2777</v>
      </c>
      <c r="L2778" s="1" t="s">
        <v>2014</v>
      </c>
      <c r="N2778" s="1" t="s">
        <v>2022</v>
      </c>
      <c r="P2778" s="1" t="s">
        <v>2023</v>
      </c>
      <c r="Q2778" s="3">
        <v>0</v>
      </c>
      <c r="R2778" s="22" t="s">
        <v>2766</v>
      </c>
      <c r="S2778" s="22" t="s">
        <v>5099</v>
      </c>
      <c r="T2778" s="51">
        <v>17</v>
      </c>
      <c r="U2778" s="3" t="s">
        <v>5823</v>
      </c>
      <c r="V2778" s="41" t="str">
        <f>HYPERLINK("http://ictvonline.org/taxonomy/p/taxonomy-history?taxnode_id=20182810","ICTVonline=20182810")</f>
        <v>ICTVonline=20182810</v>
      </c>
    </row>
    <row r="2779" spans="1:22">
      <c r="A2779" s="3">
        <v>2778</v>
      </c>
      <c r="L2779" s="1" t="s">
        <v>2014</v>
      </c>
      <c r="N2779" s="1" t="s">
        <v>2022</v>
      </c>
      <c r="P2779" s="1" t="s">
        <v>2024</v>
      </c>
      <c r="Q2779" s="3">
        <v>1</v>
      </c>
      <c r="R2779" s="22" t="s">
        <v>2766</v>
      </c>
      <c r="S2779" s="22" t="s">
        <v>5106</v>
      </c>
      <c r="T2779" s="51">
        <v>18</v>
      </c>
      <c r="U2779" s="3" t="s">
        <v>5486</v>
      </c>
      <c r="V2779" s="41" t="str">
        <f>HYPERLINK("http://ictvonline.org/taxonomy/p/taxonomy-history?taxnode_id=20182811","ICTVonline=20182811")</f>
        <v>ICTVonline=20182811</v>
      </c>
    </row>
    <row r="2780" spans="1:22">
      <c r="A2780" s="3">
        <v>2779</v>
      </c>
      <c r="L2780" s="1" t="s">
        <v>73</v>
      </c>
      <c r="N2780" s="1" t="s">
        <v>74</v>
      </c>
      <c r="P2780" s="1" t="s">
        <v>1580</v>
      </c>
      <c r="Q2780" s="3">
        <v>1</v>
      </c>
      <c r="R2780" s="22" t="s">
        <v>2766</v>
      </c>
      <c r="S2780" s="22" t="s">
        <v>5103</v>
      </c>
      <c r="T2780" s="51">
        <v>26</v>
      </c>
      <c r="U2780" s="3" t="s">
        <v>5796</v>
      </c>
      <c r="V2780" s="41" t="str">
        <f>HYPERLINK("http://ictvonline.org/taxonomy/p/taxonomy-history?taxnode_id=20182815","ICTVonline=20182815")</f>
        <v>ICTVonline=20182815</v>
      </c>
    </row>
    <row r="2781" spans="1:22">
      <c r="A2781" s="3">
        <v>2780</v>
      </c>
      <c r="L2781" s="1" t="s">
        <v>757</v>
      </c>
      <c r="N2781" s="1" t="s">
        <v>758</v>
      </c>
      <c r="P2781" s="1" t="s">
        <v>2235</v>
      </c>
      <c r="Q2781" s="3">
        <v>0</v>
      </c>
      <c r="R2781" s="22" t="s">
        <v>2768</v>
      </c>
      <c r="S2781" s="22" t="s">
        <v>5097</v>
      </c>
      <c r="T2781" s="51">
        <v>27</v>
      </c>
      <c r="U2781" s="3" t="s">
        <v>5886</v>
      </c>
      <c r="V2781" s="41" t="str">
        <f>HYPERLINK("http://ictvonline.org/taxonomy/p/taxonomy-history?taxnode_id=20182891","ICTVonline=20182891")</f>
        <v>ICTVonline=20182891</v>
      </c>
    </row>
    <row r="2782" spans="1:22">
      <c r="A2782" s="3">
        <v>2781</v>
      </c>
      <c r="L2782" s="1" t="s">
        <v>757</v>
      </c>
      <c r="N2782" s="1" t="s">
        <v>758</v>
      </c>
      <c r="P2782" s="1" t="s">
        <v>2236</v>
      </c>
      <c r="Q2782" s="3">
        <v>0</v>
      </c>
      <c r="R2782" s="22" t="s">
        <v>2768</v>
      </c>
      <c r="S2782" s="22" t="s">
        <v>5097</v>
      </c>
      <c r="T2782" s="51">
        <v>27</v>
      </c>
      <c r="U2782" s="3" t="s">
        <v>5886</v>
      </c>
      <c r="V2782" s="41" t="str">
        <f>HYPERLINK("http://ictvonline.org/taxonomy/p/taxonomy-history?taxnode_id=20182892","ICTVonline=20182892")</f>
        <v>ICTVonline=20182892</v>
      </c>
    </row>
    <row r="2783" spans="1:22">
      <c r="A2783" s="3">
        <v>2782</v>
      </c>
      <c r="L2783" s="1" t="s">
        <v>757</v>
      </c>
      <c r="N2783" s="1" t="s">
        <v>758</v>
      </c>
      <c r="P2783" s="1" t="s">
        <v>2237</v>
      </c>
      <c r="Q2783" s="3">
        <v>0</v>
      </c>
      <c r="R2783" s="22" t="s">
        <v>2768</v>
      </c>
      <c r="S2783" s="22" t="s">
        <v>5097</v>
      </c>
      <c r="T2783" s="51">
        <v>27</v>
      </c>
      <c r="U2783" s="3" t="s">
        <v>5886</v>
      </c>
      <c r="V2783" s="41" t="str">
        <f>HYPERLINK("http://ictvonline.org/taxonomy/p/taxonomy-history?taxnode_id=20182893","ICTVonline=20182893")</f>
        <v>ICTVonline=20182893</v>
      </c>
    </row>
    <row r="2784" spans="1:22">
      <c r="A2784" s="3">
        <v>2783</v>
      </c>
      <c r="L2784" s="1" t="s">
        <v>757</v>
      </c>
      <c r="N2784" s="1" t="s">
        <v>758</v>
      </c>
      <c r="P2784" s="1" t="s">
        <v>2238</v>
      </c>
      <c r="Q2784" s="3">
        <v>0</v>
      </c>
      <c r="R2784" s="22" t="s">
        <v>2768</v>
      </c>
      <c r="S2784" s="22" t="s">
        <v>5097</v>
      </c>
      <c r="T2784" s="51">
        <v>27</v>
      </c>
      <c r="U2784" s="3" t="s">
        <v>5886</v>
      </c>
      <c r="V2784" s="41" t="str">
        <f>HYPERLINK("http://ictvonline.org/taxonomy/p/taxonomy-history?taxnode_id=20182894","ICTVonline=20182894")</f>
        <v>ICTVonline=20182894</v>
      </c>
    </row>
    <row r="2785" spans="1:22">
      <c r="A2785" s="3">
        <v>2784</v>
      </c>
      <c r="L2785" s="1" t="s">
        <v>757</v>
      </c>
      <c r="N2785" s="1" t="s">
        <v>758</v>
      </c>
      <c r="P2785" s="1" t="s">
        <v>759</v>
      </c>
      <c r="Q2785" s="3">
        <v>0</v>
      </c>
      <c r="R2785" s="22" t="s">
        <v>2768</v>
      </c>
      <c r="S2785" s="22" t="s">
        <v>5097</v>
      </c>
      <c r="T2785" s="51">
        <v>20</v>
      </c>
      <c r="U2785" s="3" t="s">
        <v>5490</v>
      </c>
      <c r="V2785" s="41" t="str">
        <f>HYPERLINK("http://ictvonline.org/taxonomy/p/taxonomy-history?taxnode_id=20182895","ICTVonline=20182895")</f>
        <v>ICTVonline=20182895</v>
      </c>
    </row>
    <row r="2786" spans="1:22">
      <c r="A2786" s="3">
        <v>2785</v>
      </c>
      <c r="L2786" s="1" t="s">
        <v>757</v>
      </c>
      <c r="N2786" s="1" t="s">
        <v>758</v>
      </c>
      <c r="P2786" s="1" t="s">
        <v>760</v>
      </c>
      <c r="Q2786" s="3">
        <v>0</v>
      </c>
      <c r="R2786" s="22" t="s">
        <v>2768</v>
      </c>
      <c r="S2786" s="22" t="s">
        <v>5099</v>
      </c>
      <c r="T2786" s="51">
        <v>20</v>
      </c>
      <c r="U2786" s="3" t="s">
        <v>5490</v>
      </c>
      <c r="V2786" s="41" t="str">
        <f>HYPERLINK("http://ictvonline.org/taxonomy/p/taxonomy-history?taxnode_id=20182896","ICTVonline=20182896")</f>
        <v>ICTVonline=20182896</v>
      </c>
    </row>
    <row r="2787" spans="1:22">
      <c r="A2787" s="3">
        <v>2786</v>
      </c>
      <c r="L2787" s="1" t="s">
        <v>757</v>
      </c>
      <c r="N2787" s="1" t="s">
        <v>758</v>
      </c>
      <c r="P2787" s="1" t="s">
        <v>761</v>
      </c>
      <c r="Q2787" s="3">
        <v>1</v>
      </c>
      <c r="R2787" s="22" t="s">
        <v>2768</v>
      </c>
      <c r="S2787" s="22" t="s">
        <v>5099</v>
      </c>
      <c r="T2787" s="51">
        <v>20</v>
      </c>
      <c r="U2787" s="3" t="s">
        <v>5490</v>
      </c>
      <c r="V2787" s="41" t="str">
        <f>HYPERLINK("http://ictvonline.org/taxonomy/p/taxonomy-history?taxnode_id=20182897","ICTVonline=20182897")</f>
        <v>ICTVonline=20182897</v>
      </c>
    </row>
    <row r="2788" spans="1:22">
      <c r="A2788" s="3">
        <v>2787</v>
      </c>
      <c r="L2788" s="1" t="s">
        <v>757</v>
      </c>
      <c r="N2788" s="1" t="s">
        <v>758</v>
      </c>
      <c r="P2788" s="1" t="s">
        <v>5887</v>
      </c>
      <c r="Q2788" s="3">
        <v>0</v>
      </c>
      <c r="R2788" s="22" t="s">
        <v>2768</v>
      </c>
      <c r="S2788" s="22" t="s">
        <v>5099</v>
      </c>
      <c r="T2788" s="51">
        <v>20</v>
      </c>
      <c r="U2788" s="3" t="s">
        <v>5490</v>
      </c>
      <c r="V2788" s="41" t="str">
        <f>HYPERLINK("http://ictvonline.org/taxonomy/p/taxonomy-history?taxnode_id=20182898","ICTVonline=20182898")</f>
        <v>ICTVonline=20182898</v>
      </c>
    </row>
    <row r="2789" spans="1:22">
      <c r="A2789" s="3">
        <v>2788</v>
      </c>
      <c r="L2789" s="1" t="s">
        <v>757</v>
      </c>
      <c r="N2789" s="1" t="s">
        <v>758</v>
      </c>
      <c r="P2789" s="1" t="s">
        <v>2239</v>
      </c>
      <c r="Q2789" s="3">
        <v>0</v>
      </c>
      <c r="R2789" s="22" t="s">
        <v>2768</v>
      </c>
      <c r="S2789" s="22" t="s">
        <v>5097</v>
      </c>
      <c r="T2789" s="51">
        <v>27</v>
      </c>
      <c r="U2789" s="3" t="s">
        <v>5886</v>
      </c>
      <c r="V2789" s="41" t="str">
        <f>HYPERLINK("http://ictvonline.org/taxonomy/p/taxonomy-history?taxnode_id=20182899","ICTVonline=20182899")</f>
        <v>ICTVonline=20182899</v>
      </c>
    </row>
    <row r="2790" spans="1:22">
      <c r="A2790" s="3">
        <v>2789</v>
      </c>
      <c r="L2790" s="1" t="s">
        <v>762</v>
      </c>
      <c r="N2790" s="1" t="s">
        <v>763</v>
      </c>
      <c r="P2790" s="1" t="s">
        <v>3870</v>
      </c>
      <c r="Q2790" s="3">
        <v>0</v>
      </c>
      <c r="R2790" s="22" t="s">
        <v>3871</v>
      </c>
      <c r="S2790" s="22" t="s">
        <v>5097</v>
      </c>
      <c r="T2790" s="51">
        <v>30</v>
      </c>
      <c r="U2790" s="3" t="s">
        <v>5888</v>
      </c>
      <c r="V2790" s="41" t="str">
        <f>HYPERLINK("http://ictvonline.org/taxonomy/p/taxonomy-history?taxnode_id=20182903","ICTVonline=20182903")</f>
        <v>ICTVonline=20182903</v>
      </c>
    </row>
    <row r="2791" spans="1:22">
      <c r="A2791" s="3">
        <v>2790</v>
      </c>
      <c r="L2791" s="1" t="s">
        <v>762</v>
      </c>
      <c r="N2791" s="1" t="s">
        <v>763</v>
      </c>
      <c r="P2791" s="1" t="s">
        <v>5154</v>
      </c>
      <c r="Q2791" s="3">
        <v>0</v>
      </c>
      <c r="R2791" s="22" t="s">
        <v>3871</v>
      </c>
      <c r="S2791" s="22" t="s">
        <v>5100</v>
      </c>
      <c r="T2791" s="51">
        <v>31</v>
      </c>
      <c r="U2791" s="3" t="s">
        <v>5889</v>
      </c>
      <c r="V2791" s="41" t="str">
        <f>HYPERLINK("http://ictvonline.org/taxonomy/p/taxonomy-history?taxnode_id=20182904","ICTVonline=20182904")</f>
        <v>ICTVonline=20182904</v>
      </c>
    </row>
    <row r="2792" spans="1:22">
      <c r="A2792" s="3">
        <v>2791</v>
      </c>
      <c r="L2792" s="1" t="s">
        <v>762</v>
      </c>
      <c r="N2792" s="1" t="s">
        <v>763</v>
      </c>
      <c r="P2792" s="1" t="s">
        <v>5155</v>
      </c>
      <c r="Q2792" s="3">
        <v>0</v>
      </c>
      <c r="R2792" s="22" t="s">
        <v>3871</v>
      </c>
      <c r="S2792" s="22" t="s">
        <v>5100</v>
      </c>
      <c r="T2792" s="51">
        <v>31</v>
      </c>
      <c r="U2792" s="3" t="s">
        <v>5889</v>
      </c>
      <c r="V2792" s="41" t="str">
        <f>HYPERLINK("http://ictvonline.org/taxonomy/p/taxonomy-history?taxnode_id=20182905","ICTVonline=20182905")</f>
        <v>ICTVonline=20182905</v>
      </c>
    </row>
    <row r="2793" spans="1:22">
      <c r="A2793" s="3">
        <v>2792</v>
      </c>
      <c r="L2793" s="1" t="s">
        <v>762</v>
      </c>
      <c r="N2793" s="1" t="s">
        <v>763</v>
      </c>
      <c r="P2793" s="1" t="s">
        <v>5156</v>
      </c>
      <c r="Q2793" s="3">
        <v>0</v>
      </c>
      <c r="R2793" s="22" t="s">
        <v>3871</v>
      </c>
      <c r="S2793" s="22" t="s">
        <v>5100</v>
      </c>
      <c r="T2793" s="51">
        <v>31</v>
      </c>
      <c r="U2793" s="3" t="s">
        <v>5889</v>
      </c>
      <c r="V2793" s="41" t="str">
        <f>HYPERLINK("http://ictvonline.org/taxonomy/p/taxonomy-history?taxnode_id=20182906","ICTVonline=20182906")</f>
        <v>ICTVonline=20182906</v>
      </c>
    </row>
    <row r="2794" spans="1:22">
      <c r="A2794" s="3">
        <v>2793</v>
      </c>
      <c r="L2794" s="1" t="s">
        <v>762</v>
      </c>
      <c r="N2794" s="1" t="s">
        <v>763</v>
      </c>
      <c r="P2794" s="1" t="s">
        <v>4814</v>
      </c>
      <c r="Q2794" s="3">
        <v>0</v>
      </c>
      <c r="R2794" s="22" t="s">
        <v>3871</v>
      </c>
      <c r="S2794" s="22" t="s">
        <v>5097</v>
      </c>
      <c r="T2794" s="51">
        <v>31</v>
      </c>
      <c r="U2794" s="3" t="s">
        <v>5889</v>
      </c>
      <c r="V2794" s="41" t="str">
        <f>HYPERLINK("http://ictvonline.org/taxonomy/p/taxonomy-history?taxnode_id=20182907","ICTVonline=20182907")</f>
        <v>ICTVonline=20182907</v>
      </c>
    </row>
    <row r="2795" spans="1:22">
      <c r="A2795" s="3">
        <v>2794</v>
      </c>
      <c r="L2795" s="1" t="s">
        <v>762</v>
      </c>
      <c r="N2795" s="1" t="s">
        <v>763</v>
      </c>
      <c r="P2795" s="1" t="s">
        <v>4815</v>
      </c>
      <c r="Q2795" s="3">
        <v>0</v>
      </c>
      <c r="R2795" s="22" t="s">
        <v>3871</v>
      </c>
      <c r="S2795" s="22" t="s">
        <v>5097</v>
      </c>
      <c r="T2795" s="51">
        <v>31</v>
      </c>
      <c r="U2795" s="3" t="s">
        <v>5889</v>
      </c>
      <c r="V2795" s="41" t="str">
        <f>HYPERLINK("http://ictvonline.org/taxonomy/p/taxonomy-history?taxnode_id=20182908","ICTVonline=20182908")</f>
        <v>ICTVonline=20182908</v>
      </c>
    </row>
    <row r="2796" spans="1:22">
      <c r="A2796" s="3">
        <v>2795</v>
      </c>
      <c r="L2796" s="1" t="s">
        <v>762</v>
      </c>
      <c r="N2796" s="1" t="s">
        <v>763</v>
      </c>
      <c r="P2796" s="1" t="s">
        <v>4816</v>
      </c>
      <c r="Q2796" s="3">
        <v>0</v>
      </c>
      <c r="R2796" s="22" t="s">
        <v>3871</v>
      </c>
      <c r="S2796" s="22" t="s">
        <v>5097</v>
      </c>
      <c r="T2796" s="51">
        <v>31</v>
      </c>
      <c r="U2796" s="3" t="s">
        <v>5889</v>
      </c>
      <c r="V2796" s="41" t="str">
        <f>HYPERLINK("http://ictvonline.org/taxonomy/p/taxonomy-history?taxnode_id=20182909","ICTVonline=20182909")</f>
        <v>ICTVonline=20182909</v>
      </c>
    </row>
    <row r="2797" spans="1:22">
      <c r="A2797" s="3">
        <v>2796</v>
      </c>
      <c r="L2797" s="1" t="s">
        <v>762</v>
      </c>
      <c r="N2797" s="1" t="s">
        <v>763</v>
      </c>
      <c r="P2797" s="1" t="s">
        <v>4817</v>
      </c>
      <c r="Q2797" s="3">
        <v>0</v>
      </c>
      <c r="R2797" s="22" t="s">
        <v>3871</v>
      </c>
      <c r="S2797" s="22" t="s">
        <v>5097</v>
      </c>
      <c r="T2797" s="51">
        <v>31</v>
      </c>
      <c r="U2797" s="3" t="s">
        <v>5889</v>
      </c>
      <c r="V2797" s="41" t="str">
        <f>HYPERLINK("http://ictvonline.org/taxonomy/p/taxonomy-history?taxnode_id=20182910","ICTVonline=20182910")</f>
        <v>ICTVonline=20182910</v>
      </c>
    </row>
    <row r="2798" spans="1:22">
      <c r="A2798" s="3">
        <v>2797</v>
      </c>
      <c r="L2798" s="1" t="s">
        <v>762</v>
      </c>
      <c r="N2798" s="1" t="s">
        <v>763</v>
      </c>
      <c r="P2798" s="1" t="s">
        <v>4818</v>
      </c>
      <c r="Q2798" s="3">
        <v>0</v>
      </c>
      <c r="R2798" s="22" t="s">
        <v>3871</v>
      </c>
      <c r="S2798" s="22" t="s">
        <v>5097</v>
      </c>
      <c r="T2798" s="51">
        <v>31</v>
      </c>
      <c r="U2798" s="3" t="s">
        <v>5889</v>
      </c>
      <c r="V2798" s="41" t="str">
        <f>HYPERLINK("http://ictvonline.org/taxonomy/p/taxonomy-history?taxnode_id=20182911","ICTVonline=20182911")</f>
        <v>ICTVonline=20182911</v>
      </c>
    </row>
    <row r="2799" spans="1:22">
      <c r="A2799" s="3">
        <v>2798</v>
      </c>
      <c r="L2799" s="1" t="s">
        <v>762</v>
      </c>
      <c r="N2799" s="1" t="s">
        <v>763</v>
      </c>
      <c r="P2799" s="1" t="s">
        <v>5890</v>
      </c>
      <c r="Q2799" s="3">
        <v>0</v>
      </c>
      <c r="R2799" s="22" t="s">
        <v>3871</v>
      </c>
      <c r="S2799" s="22" t="s">
        <v>5097</v>
      </c>
      <c r="T2799" s="51">
        <v>32</v>
      </c>
      <c r="U2799" s="3" t="s">
        <v>5891</v>
      </c>
      <c r="V2799" s="41" t="str">
        <f>HYPERLINK("http://ictvonline.org/taxonomy/p/taxonomy-history?taxnode_id=20185767","ICTVonline=20185767")</f>
        <v>ICTVonline=20185767</v>
      </c>
    </row>
    <row r="2800" spans="1:22">
      <c r="A2800" s="3">
        <v>2799</v>
      </c>
      <c r="L2800" s="1" t="s">
        <v>762</v>
      </c>
      <c r="N2800" s="1" t="s">
        <v>763</v>
      </c>
      <c r="P2800" s="1" t="s">
        <v>1804</v>
      </c>
      <c r="Q2800" s="3">
        <v>0</v>
      </c>
      <c r="R2800" s="22" t="s">
        <v>3871</v>
      </c>
      <c r="S2800" s="22" t="s">
        <v>5097</v>
      </c>
      <c r="T2800" s="51">
        <v>14</v>
      </c>
      <c r="U2800" s="3" t="s">
        <v>5879</v>
      </c>
      <c r="V2800" s="41" t="str">
        <f>HYPERLINK("http://ictvonline.org/taxonomy/p/taxonomy-history?taxnode_id=20182912","ICTVonline=20182912")</f>
        <v>ICTVonline=20182912</v>
      </c>
    </row>
    <row r="2801" spans="1:22">
      <c r="A2801" s="3">
        <v>2800</v>
      </c>
      <c r="L2801" s="1" t="s">
        <v>762</v>
      </c>
      <c r="N2801" s="1" t="s">
        <v>763</v>
      </c>
      <c r="P2801" s="1" t="s">
        <v>1805</v>
      </c>
      <c r="Q2801" s="3">
        <v>0</v>
      </c>
      <c r="R2801" s="22" t="s">
        <v>3871</v>
      </c>
      <c r="S2801" s="22" t="s">
        <v>5097</v>
      </c>
      <c r="T2801" s="51">
        <v>21</v>
      </c>
      <c r="U2801" s="3" t="s">
        <v>5892</v>
      </c>
      <c r="V2801" s="41" t="str">
        <f>HYPERLINK("http://ictvonline.org/taxonomy/p/taxonomy-history?taxnode_id=20182913","ICTVonline=20182913")</f>
        <v>ICTVonline=20182913</v>
      </c>
    </row>
    <row r="2802" spans="1:22">
      <c r="A2802" s="3">
        <v>2801</v>
      </c>
      <c r="L2802" s="1" t="s">
        <v>762</v>
      </c>
      <c r="N2802" s="1" t="s">
        <v>763</v>
      </c>
      <c r="P2802" s="1" t="s">
        <v>3872</v>
      </c>
      <c r="Q2802" s="3">
        <v>0</v>
      </c>
      <c r="R2802" s="22" t="s">
        <v>3871</v>
      </c>
      <c r="S2802" s="22" t="s">
        <v>5097</v>
      </c>
      <c r="T2802" s="51">
        <v>30</v>
      </c>
      <c r="U2802" s="3" t="s">
        <v>5888</v>
      </c>
      <c r="V2802" s="41" t="str">
        <f>HYPERLINK("http://ictvonline.org/taxonomy/p/taxonomy-history?taxnode_id=20182914","ICTVonline=20182914")</f>
        <v>ICTVonline=20182914</v>
      </c>
    </row>
    <row r="2803" spans="1:22">
      <c r="A2803" s="3">
        <v>2802</v>
      </c>
      <c r="L2803" s="1" t="s">
        <v>762</v>
      </c>
      <c r="N2803" s="1" t="s">
        <v>763</v>
      </c>
      <c r="P2803" s="1" t="s">
        <v>5157</v>
      </c>
      <c r="Q2803" s="3">
        <v>0</v>
      </c>
      <c r="R2803" s="22" t="s">
        <v>3871</v>
      </c>
      <c r="S2803" s="22" t="s">
        <v>5100</v>
      </c>
      <c r="T2803" s="51">
        <v>31</v>
      </c>
      <c r="U2803" s="3" t="s">
        <v>5889</v>
      </c>
      <c r="V2803" s="41" t="str">
        <f>HYPERLINK("http://ictvonline.org/taxonomy/p/taxonomy-history?taxnode_id=20182915","ICTVonline=20182915")</f>
        <v>ICTVonline=20182915</v>
      </c>
    </row>
    <row r="2804" spans="1:22">
      <c r="A2804" s="3">
        <v>2803</v>
      </c>
      <c r="L2804" s="1" t="s">
        <v>762</v>
      </c>
      <c r="N2804" s="1" t="s">
        <v>763</v>
      </c>
      <c r="P2804" s="1" t="s">
        <v>765</v>
      </c>
      <c r="Q2804" s="3">
        <v>0</v>
      </c>
      <c r="R2804" s="22" t="s">
        <v>3871</v>
      </c>
      <c r="S2804" s="22" t="s">
        <v>5097</v>
      </c>
      <c r="T2804" s="51">
        <v>24</v>
      </c>
      <c r="U2804" s="3" t="s">
        <v>5893</v>
      </c>
      <c r="V2804" s="41" t="str">
        <f>HYPERLINK("http://ictvonline.org/taxonomy/p/taxonomy-history?taxnode_id=20182916","ICTVonline=20182916")</f>
        <v>ICTVonline=20182916</v>
      </c>
    </row>
    <row r="2805" spans="1:22">
      <c r="A2805" s="3">
        <v>2804</v>
      </c>
      <c r="L2805" s="1" t="s">
        <v>762</v>
      </c>
      <c r="N2805" s="1" t="s">
        <v>763</v>
      </c>
      <c r="P2805" s="1" t="s">
        <v>3873</v>
      </c>
      <c r="Q2805" s="3">
        <v>0</v>
      </c>
      <c r="R2805" s="22" t="s">
        <v>3871</v>
      </c>
      <c r="S2805" s="22" t="s">
        <v>5097</v>
      </c>
      <c r="T2805" s="51">
        <v>30</v>
      </c>
      <c r="U2805" s="3" t="s">
        <v>5888</v>
      </c>
      <c r="V2805" s="41" t="str">
        <f>HYPERLINK("http://ictvonline.org/taxonomy/p/taxonomy-history?taxnode_id=20182917","ICTVonline=20182917")</f>
        <v>ICTVonline=20182917</v>
      </c>
    </row>
    <row r="2806" spans="1:22">
      <c r="A2806" s="3">
        <v>2805</v>
      </c>
      <c r="L2806" s="1" t="s">
        <v>762</v>
      </c>
      <c r="N2806" s="1" t="s">
        <v>763</v>
      </c>
      <c r="P2806" s="1" t="s">
        <v>1220</v>
      </c>
      <c r="Q2806" s="3">
        <v>0</v>
      </c>
      <c r="R2806" s="22" t="s">
        <v>3871</v>
      </c>
      <c r="S2806" s="22" t="s">
        <v>5097</v>
      </c>
      <c r="T2806" s="51">
        <v>24</v>
      </c>
      <c r="U2806" s="3" t="s">
        <v>5894</v>
      </c>
      <c r="V2806" s="41" t="str">
        <f>HYPERLINK("http://ictvonline.org/taxonomy/p/taxonomy-history?taxnode_id=20182918","ICTVonline=20182918")</f>
        <v>ICTVonline=20182918</v>
      </c>
    </row>
    <row r="2807" spans="1:22">
      <c r="A2807" s="3">
        <v>2806</v>
      </c>
      <c r="L2807" s="1" t="s">
        <v>762</v>
      </c>
      <c r="N2807" s="1" t="s">
        <v>763</v>
      </c>
      <c r="P2807" s="1" t="s">
        <v>1221</v>
      </c>
      <c r="Q2807" s="3">
        <v>0</v>
      </c>
      <c r="R2807" s="22" t="s">
        <v>3871</v>
      </c>
      <c r="S2807" s="22" t="s">
        <v>5097</v>
      </c>
      <c r="T2807" s="51">
        <v>21</v>
      </c>
      <c r="U2807" s="3" t="s">
        <v>5892</v>
      </c>
      <c r="V2807" s="41" t="str">
        <f>HYPERLINK("http://ictvonline.org/taxonomy/p/taxonomy-history?taxnode_id=20182919","ICTVonline=20182919")</f>
        <v>ICTVonline=20182919</v>
      </c>
    </row>
    <row r="2808" spans="1:22">
      <c r="A2808" s="3">
        <v>2807</v>
      </c>
      <c r="L2808" s="1" t="s">
        <v>762</v>
      </c>
      <c r="N2808" s="1" t="s">
        <v>763</v>
      </c>
      <c r="P2808" s="1" t="s">
        <v>1222</v>
      </c>
      <c r="Q2808" s="3">
        <v>0</v>
      </c>
      <c r="R2808" s="22" t="s">
        <v>3871</v>
      </c>
      <c r="S2808" s="22" t="s">
        <v>5097</v>
      </c>
      <c r="T2808" s="51">
        <v>24</v>
      </c>
      <c r="U2808" s="3" t="s">
        <v>5894</v>
      </c>
      <c r="V2808" s="41" t="str">
        <f>HYPERLINK("http://ictvonline.org/taxonomy/p/taxonomy-history?taxnode_id=20182920","ICTVonline=20182920")</f>
        <v>ICTVonline=20182920</v>
      </c>
    </row>
    <row r="2809" spans="1:22">
      <c r="A2809" s="3">
        <v>2808</v>
      </c>
      <c r="L2809" s="1" t="s">
        <v>762</v>
      </c>
      <c r="N2809" s="1" t="s">
        <v>763</v>
      </c>
      <c r="P2809" s="1" t="s">
        <v>5158</v>
      </c>
      <c r="Q2809" s="3">
        <v>0</v>
      </c>
      <c r="R2809" s="22" t="s">
        <v>3871</v>
      </c>
      <c r="S2809" s="22" t="s">
        <v>5100</v>
      </c>
      <c r="T2809" s="51">
        <v>31</v>
      </c>
      <c r="U2809" s="3" t="s">
        <v>5889</v>
      </c>
      <c r="V2809" s="41" t="str">
        <f>HYPERLINK("http://ictvonline.org/taxonomy/p/taxonomy-history?taxnode_id=20182921","ICTVonline=20182921")</f>
        <v>ICTVonline=20182921</v>
      </c>
    </row>
    <row r="2810" spans="1:22">
      <c r="A2810" s="3">
        <v>2809</v>
      </c>
      <c r="L2810" s="1" t="s">
        <v>762</v>
      </c>
      <c r="N2810" s="1" t="s">
        <v>763</v>
      </c>
      <c r="P2810" s="1" t="s">
        <v>3874</v>
      </c>
      <c r="Q2810" s="3">
        <v>0</v>
      </c>
      <c r="R2810" s="22" t="s">
        <v>3871</v>
      </c>
      <c r="S2810" s="22" t="s">
        <v>5097</v>
      </c>
      <c r="T2810" s="51">
        <v>30</v>
      </c>
      <c r="U2810" s="3" t="s">
        <v>5888</v>
      </c>
      <c r="V2810" s="41" t="str">
        <f>HYPERLINK("http://ictvonline.org/taxonomy/p/taxonomy-history?taxnode_id=20182922","ICTVonline=20182922")</f>
        <v>ICTVonline=20182922</v>
      </c>
    </row>
    <row r="2811" spans="1:22">
      <c r="A2811" s="3">
        <v>2810</v>
      </c>
      <c r="L2811" s="1" t="s">
        <v>762</v>
      </c>
      <c r="N2811" s="1" t="s">
        <v>763</v>
      </c>
      <c r="P2811" s="1" t="s">
        <v>764</v>
      </c>
      <c r="Q2811" s="3">
        <v>0</v>
      </c>
      <c r="R2811" s="22" t="s">
        <v>3871</v>
      </c>
      <c r="S2811" s="22" t="s">
        <v>5097</v>
      </c>
      <c r="T2811" s="51">
        <v>23</v>
      </c>
      <c r="U2811" s="3" t="s">
        <v>5872</v>
      </c>
      <c r="V2811" s="41" t="str">
        <f>HYPERLINK("http://ictvonline.org/taxonomy/p/taxonomy-history?taxnode_id=20182923","ICTVonline=20182923")</f>
        <v>ICTVonline=20182923</v>
      </c>
    </row>
    <row r="2812" spans="1:22">
      <c r="A2812" s="3">
        <v>2811</v>
      </c>
      <c r="L2812" s="1" t="s">
        <v>762</v>
      </c>
      <c r="N2812" s="1" t="s">
        <v>763</v>
      </c>
      <c r="P2812" s="1" t="s">
        <v>3875</v>
      </c>
      <c r="Q2812" s="3">
        <v>1</v>
      </c>
      <c r="R2812" s="22" t="s">
        <v>3871</v>
      </c>
      <c r="S2812" s="22" t="s">
        <v>5100</v>
      </c>
      <c r="T2812" s="51">
        <v>30</v>
      </c>
      <c r="U2812" s="3" t="s">
        <v>5888</v>
      </c>
      <c r="V2812" s="41" t="str">
        <f>HYPERLINK("http://ictvonline.org/taxonomy/p/taxonomy-history?taxnode_id=20182924","ICTVonline=20182924")</f>
        <v>ICTVonline=20182924</v>
      </c>
    </row>
    <row r="2813" spans="1:22">
      <c r="A2813" s="3">
        <v>2812</v>
      </c>
      <c r="L2813" s="1" t="s">
        <v>762</v>
      </c>
      <c r="N2813" s="1" t="s">
        <v>763</v>
      </c>
      <c r="P2813" s="1" t="s">
        <v>3876</v>
      </c>
      <c r="Q2813" s="3">
        <v>0</v>
      </c>
      <c r="R2813" s="22" t="s">
        <v>3871</v>
      </c>
      <c r="S2813" s="22" t="s">
        <v>5100</v>
      </c>
      <c r="T2813" s="51">
        <v>30</v>
      </c>
      <c r="U2813" s="3" t="s">
        <v>5888</v>
      </c>
      <c r="V2813" s="41" t="str">
        <f>HYPERLINK("http://ictvonline.org/taxonomy/p/taxonomy-history?taxnode_id=20182925","ICTVonline=20182925")</f>
        <v>ICTVonline=20182925</v>
      </c>
    </row>
    <row r="2814" spans="1:22">
      <c r="A2814" s="3">
        <v>2813</v>
      </c>
      <c r="L2814" s="1" t="s">
        <v>762</v>
      </c>
      <c r="N2814" s="1" t="s">
        <v>763</v>
      </c>
      <c r="P2814" s="1" t="s">
        <v>5895</v>
      </c>
      <c r="Q2814" s="3">
        <v>0</v>
      </c>
      <c r="R2814" s="22" t="s">
        <v>3871</v>
      </c>
      <c r="S2814" s="22" t="s">
        <v>5097</v>
      </c>
      <c r="T2814" s="51">
        <v>32</v>
      </c>
      <c r="U2814" s="3" t="s">
        <v>5891</v>
      </c>
      <c r="V2814" s="41" t="str">
        <f>HYPERLINK("http://ictvonline.org/taxonomy/p/taxonomy-history?taxnode_id=20185768","ICTVonline=20185768")</f>
        <v>ICTVonline=20185768</v>
      </c>
    </row>
    <row r="2815" spans="1:22">
      <c r="A2815" s="3">
        <v>2814</v>
      </c>
      <c r="L2815" s="1" t="s">
        <v>762</v>
      </c>
      <c r="N2815" s="1" t="s">
        <v>763</v>
      </c>
      <c r="P2815" s="1" t="s">
        <v>3877</v>
      </c>
      <c r="Q2815" s="3">
        <v>0</v>
      </c>
      <c r="R2815" s="22" t="s">
        <v>3871</v>
      </c>
      <c r="S2815" s="22" t="s">
        <v>5097</v>
      </c>
      <c r="T2815" s="51">
        <v>30</v>
      </c>
      <c r="U2815" s="3" t="s">
        <v>5888</v>
      </c>
      <c r="V2815" s="41" t="str">
        <f>HYPERLINK("http://ictvonline.org/taxonomy/p/taxonomy-history?taxnode_id=20182926","ICTVonline=20182926")</f>
        <v>ICTVonline=20182926</v>
      </c>
    </row>
    <row r="2816" spans="1:22">
      <c r="A2816" s="3">
        <v>2815</v>
      </c>
      <c r="L2816" s="1" t="s">
        <v>762</v>
      </c>
      <c r="N2816" s="1" t="s">
        <v>763</v>
      </c>
      <c r="P2816" s="1" t="s">
        <v>1969</v>
      </c>
      <c r="Q2816" s="3">
        <v>0</v>
      </c>
      <c r="R2816" s="22" t="s">
        <v>3871</v>
      </c>
      <c r="S2816" s="22" t="s">
        <v>5097</v>
      </c>
      <c r="T2816" s="51">
        <v>24</v>
      </c>
      <c r="U2816" s="3" t="s">
        <v>5894</v>
      </c>
      <c r="V2816" s="41" t="str">
        <f>HYPERLINK("http://ictvonline.org/taxonomy/p/taxonomy-history?taxnode_id=20182927","ICTVonline=20182927")</f>
        <v>ICTVonline=20182927</v>
      </c>
    </row>
    <row r="2817" spans="1:22">
      <c r="A2817" s="3">
        <v>2816</v>
      </c>
      <c r="L2817" s="1" t="s">
        <v>762</v>
      </c>
      <c r="N2817" s="1" t="s">
        <v>763</v>
      </c>
      <c r="P2817" s="1" t="s">
        <v>1850</v>
      </c>
      <c r="Q2817" s="3">
        <v>0</v>
      </c>
      <c r="R2817" s="22" t="s">
        <v>3871</v>
      </c>
      <c r="S2817" s="22" t="s">
        <v>5097</v>
      </c>
      <c r="T2817" s="51">
        <v>25</v>
      </c>
      <c r="U2817" s="3" t="s">
        <v>5896</v>
      </c>
      <c r="V2817" s="41" t="str">
        <f>HYPERLINK("http://ictvonline.org/taxonomy/p/taxonomy-history?taxnode_id=20182928","ICTVonline=20182928")</f>
        <v>ICTVonline=20182928</v>
      </c>
    </row>
    <row r="2818" spans="1:22">
      <c r="A2818" s="3">
        <v>2817</v>
      </c>
      <c r="L2818" s="1" t="s">
        <v>762</v>
      </c>
      <c r="N2818" s="1" t="s">
        <v>763</v>
      </c>
      <c r="P2818" s="1" t="s">
        <v>3878</v>
      </c>
      <c r="Q2818" s="3">
        <v>0</v>
      </c>
      <c r="R2818" s="22" t="s">
        <v>3871</v>
      </c>
      <c r="S2818" s="22" t="s">
        <v>5097</v>
      </c>
      <c r="T2818" s="51">
        <v>30</v>
      </c>
      <c r="U2818" s="3" t="s">
        <v>5888</v>
      </c>
      <c r="V2818" s="41" t="str">
        <f>HYPERLINK("http://ictvonline.org/taxonomy/p/taxonomy-history?taxnode_id=20182929","ICTVonline=20182929")</f>
        <v>ICTVonline=20182929</v>
      </c>
    </row>
    <row r="2819" spans="1:22">
      <c r="A2819" s="3">
        <v>2818</v>
      </c>
      <c r="L2819" s="1" t="s">
        <v>762</v>
      </c>
      <c r="N2819" s="1" t="s">
        <v>3879</v>
      </c>
      <c r="P2819" s="1" t="s">
        <v>5159</v>
      </c>
      <c r="Q2819" s="3">
        <v>0</v>
      </c>
      <c r="R2819" s="22" t="s">
        <v>3871</v>
      </c>
      <c r="S2819" s="22" t="s">
        <v>5100</v>
      </c>
      <c r="T2819" s="51">
        <v>31</v>
      </c>
      <c r="U2819" s="3" t="s">
        <v>5897</v>
      </c>
      <c r="V2819" s="41" t="str">
        <f>HYPERLINK("http://ictvonline.org/taxonomy/p/taxonomy-history?taxnode_id=20182931","ICTVonline=20182931")</f>
        <v>ICTVonline=20182931</v>
      </c>
    </row>
    <row r="2820" spans="1:22">
      <c r="A2820" s="3">
        <v>2819</v>
      </c>
      <c r="L2820" s="1" t="s">
        <v>762</v>
      </c>
      <c r="N2820" s="1" t="s">
        <v>3879</v>
      </c>
      <c r="P2820" s="1" t="s">
        <v>5160</v>
      </c>
      <c r="Q2820" s="3">
        <v>0</v>
      </c>
      <c r="R2820" s="22" t="s">
        <v>3871</v>
      </c>
      <c r="S2820" s="22" t="s">
        <v>5100</v>
      </c>
      <c r="T2820" s="51">
        <v>31</v>
      </c>
      <c r="U2820" s="3" t="s">
        <v>5897</v>
      </c>
      <c r="V2820" s="41" t="str">
        <f>HYPERLINK("http://ictvonline.org/taxonomy/p/taxonomy-history?taxnode_id=20182932","ICTVonline=20182932")</f>
        <v>ICTVonline=20182932</v>
      </c>
    </row>
    <row r="2821" spans="1:22">
      <c r="A2821" s="3">
        <v>2820</v>
      </c>
      <c r="L2821" s="1" t="s">
        <v>762</v>
      </c>
      <c r="N2821" s="1" t="s">
        <v>3879</v>
      </c>
      <c r="P2821" s="1" t="s">
        <v>5161</v>
      </c>
      <c r="Q2821" s="3">
        <v>0</v>
      </c>
      <c r="R2821" s="22" t="s">
        <v>3871</v>
      </c>
      <c r="S2821" s="22" t="s">
        <v>5100</v>
      </c>
      <c r="T2821" s="51">
        <v>31</v>
      </c>
      <c r="U2821" s="3" t="s">
        <v>5897</v>
      </c>
      <c r="V2821" s="41" t="str">
        <f>HYPERLINK("http://ictvonline.org/taxonomy/p/taxonomy-history?taxnode_id=20182933","ICTVonline=20182933")</f>
        <v>ICTVonline=20182933</v>
      </c>
    </row>
    <row r="2822" spans="1:22">
      <c r="A2822" s="3">
        <v>2821</v>
      </c>
      <c r="L2822" s="1" t="s">
        <v>762</v>
      </c>
      <c r="N2822" s="1" t="s">
        <v>3879</v>
      </c>
      <c r="P2822" s="1" t="s">
        <v>5162</v>
      </c>
      <c r="Q2822" s="3">
        <v>0</v>
      </c>
      <c r="R2822" s="22" t="s">
        <v>3871</v>
      </c>
      <c r="S2822" s="22" t="s">
        <v>5100</v>
      </c>
      <c r="T2822" s="51">
        <v>31</v>
      </c>
      <c r="U2822" s="3" t="s">
        <v>5897</v>
      </c>
      <c r="V2822" s="41" t="str">
        <f>HYPERLINK("http://ictvonline.org/taxonomy/p/taxonomy-history?taxnode_id=20182934","ICTVonline=20182934")</f>
        <v>ICTVonline=20182934</v>
      </c>
    </row>
    <row r="2823" spans="1:22">
      <c r="A2823" s="3">
        <v>2822</v>
      </c>
      <c r="L2823" s="1" t="s">
        <v>762</v>
      </c>
      <c r="N2823" s="1" t="s">
        <v>3879</v>
      </c>
      <c r="P2823" s="1" t="s">
        <v>5163</v>
      </c>
      <c r="Q2823" s="3">
        <v>0</v>
      </c>
      <c r="R2823" s="22" t="s">
        <v>3871</v>
      </c>
      <c r="S2823" s="22" t="s">
        <v>5100</v>
      </c>
      <c r="T2823" s="51">
        <v>31</v>
      </c>
      <c r="U2823" s="3" t="s">
        <v>5897</v>
      </c>
      <c r="V2823" s="41" t="str">
        <f>HYPERLINK("http://ictvonline.org/taxonomy/p/taxonomy-history?taxnode_id=20182935","ICTVonline=20182935")</f>
        <v>ICTVonline=20182935</v>
      </c>
    </row>
    <row r="2824" spans="1:22">
      <c r="A2824" s="3">
        <v>2823</v>
      </c>
      <c r="L2824" s="1" t="s">
        <v>762</v>
      </c>
      <c r="N2824" s="1" t="s">
        <v>3879</v>
      </c>
      <c r="P2824" s="1" t="s">
        <v>4819</v>
      </c>
      <c r="Q2824" s="3">
        <v>0</v>
      </c>
      <c r="R2824" s="22" t="s">
        <v>3871</v>
      </c>
      <c r="S2824" s="22" t="s">
        <v>5097</v>
      </c>
      <c r="T2824" s="51">
        <v>31</v>
      </c>
      <c r="U2824" s="3" t="s">
        <v>5897</v>
      </c>
      <c r="V2824" s="41" t="str">
        <f>HYPERLINK("http://ictvonline.org/taxonomy/p/taxonomy-history?taxnode_id=20182936","ICTVonline=20182936")</f>
        <v>ICTVonline=20182936</v>
      </c>
    </row>
    <row r="2825" spans="1:22">
      <c r="A2825" s="3">
        <v>2824</v>
      </c>
      <c r="L2825" s="1" t="s">
        <v>762</v>
      </c>
      <c r="N2825" s="1" t="s">
        <v>3879</v>
      </c>
      <c r="P2825" s="1" t="s">
        <v>4820</v>
      </c>
      <c r="Q2825" s="3">
        <v>0</v>
      </c>
      <c r="R2825" s="22" t="s">
        <v>3871</v>
      </c>
      <c r="S2825" s="22" t="s">
        <v>5097</v>
      </c>
      <c r="T2825" s="51">
        <v>31</v>
      </c>
      <c r="U2825" s="3" t="s">
        <v>5897</v>
      </c>
      <c r="V2825" s="41" t="str">
        <f>HYPERLINK("http://ictvonline.org/taxonomy/p/taxonomy-history?taxnode_id=20182937","ICTVonline=20182937")</f>
        <v>ICTVonline=20182937</v>
      </c>
    </row>
    <row r="2826" spans="1:22">
      <c r="A2826" s="3">
        <v>2825</v>
      </c>
      <c r="L2826" s="1" t="s">
        <v>762</v>
      </c>
      <c r="N2826" s="1" t="s">
        <v>3879</v>
      </c>
      <c r="P2826" s="1" t="s">
        <v>4821</v>
      </c>
      <c r="Q2826" s="3">
        <v>0</v>
      </c>
      <c r="R2826" s="22" t="s">
        <v>3871</v>
      </c>
      <c r="S2826" s="22" t="s">
        <v>5097</v>
      </c>
      <c r="T2826" s="51">
        <v>31</v>
      </c>
      <c r="U2826" s="3" t="s">
        <v>5897</v>
      </c>
      <c r="V2826" s="41" t="str">
        <f>HYPERLINK("http://ictvonline.org/taxonomy/p/taxonomy-history?taxnode_id=20182938","ICTVonline=20182938")</f>
        <v>ICTVonline=20182938</v>
      </c>
    </row>
    <row r="2827" spans="1:22">
      <c r="A2827" s="3">
        <v>2826</v>
      </c>
      <c r="L2827" s="1" t="s">
        <v>762</v>
      </c>
      <c r="N2827" s="1" t="s">
        <v>3879</v>
      </c>
      <c r="P2827" s="1" t="s">
        <v>4822</v>
      </c>
      <c r="Q2827" s="3">
        <v>0</v>
      </c>
      <c r="R2827" s="22" t="s">
        <v>3871</v>
      </c>
      <c r="S2827" s="22" t="s">
        <v>5097</v>
      </c>
      <c r="T2827" s="51">
        <v>31</v>
      </c>
      <c r="U2827" s="3" t="s">
        <v>5897</v>
      </c>
      <c r="V2827" s="41" t="str">
        <f>HYPERLINK("http://ictvonline.org/taxonomy/p/taxonomy-history?taxnode_id=20182939","ICTVonline=20182939")</f>
        <v>ICTVonline=20182939</v>
      </c>
    </row>
    <row r="2828" spans="1:22">
      <c r="A2828" s="3">
        <v>2827</v>
      </c>
      <c r="L2828" s="1" t="s">
        <v>762</v>
      </c>
      <c r="N2828" s="1" t="s">
        <v>3879</v>
      </c>
      <c r="P2828" s="1" t="s">
        <v>4823</v>
      </c>
      <c r="Q2828" s="3">
        <v>0</v>
      </c>
      <c r="R2828" s="22" t="s">
        <v>3871</v>
      </c>
      <c r="S2828" s="22" t="s">
        <v>5097</v>
      </c>
      <c r="T2828" s="51">
        <v>31</v>
      </c>
      <c r="U2828" s="3" t="s">
        <v>5897</v>
      </c>
      <c r="V2828" s="41" t="str">
        <f>HYPERLINK("http://ictvonline.org/taxonomy/p/taxonomy-history?taxnode_id=20182940","ICTVonline=20182940")</f>
        <v>ICTVonline=20182940</v>
      </c>
    </row>
    <row r="2829" spans="1:22">
      <c r="A2829" s="3">
        <v>2828</v>
      </c>
      <c r="L2829" s="1" t="s">
        <v>762</v>
      </c>
      <c r="N2829" s="1" t="s">
        <v>3879</v>
      </c>
      <c r="P2829" s="1" t="s">
        <v>4824</v>
      </c>
      <c r="Q2829" s="3">
        <v>0</v>
      </c>
      <c r="R2829" s="22" t="s">
        <v>3871</v>
      </c>
      <c r="S2829" s="22" t="s">
        <v>5097</v>
      </c>
      <c r="T2829" s="51">
        <v>31</v>
      </c>
      <c r="U2829" s="3" t="s">
        <v>5897</v>
      </c>
      <c r="V2829" s="41" t="str">
        <f>HYPERLINK("http://ictvonline.org/taxonomy/p/taxonomy-history?taxnode_id=20182941","ICTVonline=20182941")</f>
        <v>ICTVonline=20182941</v>
      </c>
    </row>
    <row r="2830" spans="1:22">
      <c r="A2830" s="3">
        <v>2829</v>
      </c>
      <c r="L2830" s="1" t="s">
        <v>762</v>
      </c>
      <c r="N2830" s="1" t="s">
        <v>3879</v>
      </c>
      <c r="P2830" s="1" t="s">
        <v>4825</v>
      </c>
      <c r="Q2830" s="3">
        <v>0</v>
      </c>
      <c r="R2830" s="22" t="s">
        <v>3871</v>
      </c>
      <c r="S2830" s="22" t="s">
        <v>5097</v>
      </c>
      <c r="T2830" s="51">
        <v>31</v>
      </c>
      <c r="U2830" s="3" t="s">
        <v>5897</v>
      </c>
      <c r="V2830" s="41" t="str">
        <f>HYPERLINK("http://ictvonline.org/taxonomy/p/taxonomy-history?taxnode_id=20182942","ICTVonline=20182942")</f>
        <v>ICTVonline=20182942</v>
      </c>
    </row>
    <row r="2831" spans="1:22">
      <c r="A2831" s="3">
        <v>2830</v>
      </c>
      <c r="L2831" s="1" t="s">
        <v>762</v>
      </c>
      <c r="N2831" s="1" t="s">
        <v>3879</v>
      </c>
      <c r="P2831" s="1" t="s">
        <v>4826</v>
      </c>
      <c r="Q2831" s="3">
        <v>0</v>
      </c>
      <c r="R2831" s="22" t="s">
        <v>3871</v>
      </c>
      <c r="S2831" s="22" t="s">
        <v>5097</v>
      </c>
      <c r="T2831" s="51">
        <v>31</v>
      </c>
      <c r="U2831" s="3" t="s">
        <v>5897</v>
      </c>
      <c r="V2831" s="41" t="str">
        <f>HYPERLINK("http://ictvonline.org/taxonomy/p/taxonomy-history?taxnode_id=20182943","ICTVonline=20182943")</f>
        <v>ICTVonline=20182943</v>
      </c>
    </row>
    <row r="2832" spans="1:22">
      <c r="A2832" s="3">
        <v>2831</v>
      </c>
      <c r="L2832" s="1" t="s">
        <v>762</v>
      </c>
      <c r="N2832" s="1" t="s">
        <v>3879</v>
      </c>
      <c r="P2832" s="1" t="s">
        <v>4827</v>
      </c>
      <c r="Q2832" s="3">
        <v>0</v>
      </c>
      <c r="R2832" s="22" t="s">
        <v>3871</v>
      </c>
      <c r="S2832" s="22" t="s">
        <v>5097</v>
      </c>
      <c r="T2832" s="51">
        <v>31</v>
      </c>
      <c r="U2832" s="3" t="s">
        <v>5897</v>
      </c>
      <c r="V2832" s="41" t="str">
        <f>HYPERLINK("http://ictvonline.org/taxonomy/p/taxonomy-history?taxnode_id=20182944","ICTVonline=20182944")</f>
        <v>ICTVonline=20182944</v>
      </c>
    </row>
    <row r="2833" spans="1:22">
      <c r="A2833" s="3">
        <v>2832</v>
      </c>
      <c r="L2833" s="1" t="s">
        <v>762</v>
      </c>
      <c r="N2833" s="1" t="s">
        <v>3879</v>
      </c>
      <c r="P2833" s="1" t="s">
        <v>4828</v>
      </c>
      <c r="Q2833" s="3">
        <v>0</v>
      </c>
      <c r="R2833" s="22" t="s">
        <v>3871</v>
      </c>
      <c r="S2833" s="22" t="s">
        <v>5097</v>
      </c>
      <c r="T2833" s="51">
        <v>31</v>
      </c>
      <c r="U2833" s="3" t="s">
        <v>5897</v>
      </c>
      <c r="V2833" s="41" t="str">
        <f>HYPERLINK("http://ictvonline.org/taxonomy/p/taxonomy-history?taxnode_id=20182945","ICTVonline=20182945")</f>
        <v>ICTVonline=20182945</v>
      </c>
    </row>
    <row r="2834" spans="1:22">
      <c r="A2834" s="3">
        <v>2833</v>
      </c>
      <c r="L2834" s="1" t="s">
        <v>762</v>
      </c>
      <c r="N2834" s="1" t="s">
        <v>3879</v>
      </c>
      <c r="P2834" s="1" t="s">
        <v>4829</v>
      </c>
      <c r="Q2834" s="3">
        <v>0</v>
      </c>
      <c r="R2834" s="22" t="s">
        <v>3871</v>
      </c>
      <c r="S2834" s="22" t="s">
        <v>5097</v>
      </c>
      <c r="T2834" s="51">
        <v>31</v>
      </c>
      <c r="U2834" s="3" t="s">
        <v>5897</v>
      </c>
      <c r="V2834" s="41" t="str">
        <f>HYPERLINK("http://ictvonline.org/taxonomy/p/taxonomy-history?taxnode_id=20182946","ICTVonline=20182946")</f>
        <v>ICTVonline=20182946</v>
      </c>
    </row>
    <row r="2835" spans="1:22">
      <c r="A2835" s="3">
        <v>2834</v>
      </c>
      <c r="L2835" s="1" t="s">
        <v>762</v>
      </c>
      <c r="N2835" s="1" t="s">
        <v>3879</v>
      </c>
      <c r="P2835" s="1" t="s">
        <v>5164</v>
      </c>
      <c r="Q2835" s="3">
        <v>0</v>
      </c>
      <c r="R2835" s="22" t="s">
        <v>3871</v>
      </c>
      <c r="S2835" s="22" t="s">
        <v>5100</v>
      </c>
      <c r="T2835" s="51">
        <v>31</v>
      </c>
      <c r="U2835" s="3" t="s">
        <v>5897</v>
      </c>
      <c r="V2835" s="41" t="str">
        <f>HYPERLINK("http://ictvonline.org/taxonomy/p/taxonomy-history?taxnode_id=20182947","ICTVonline=20182947")</f>
        <v>ICTVonline=20182947</v>
      </c>
    </row>
    <row r="2836" spans="1:22">
      <c r="A2836" s="3">
        <v>2835</v>
      </c>
      <c r="L2836" s="1" t="s">
        <v>762</v>
      </c>
      <c r="N2836" s="1" t="s">
        <v>3879</v>
      </c>
      <c r="P2836" s="1" t="s">
        <v>5165</v>
      </c>
      <c r="Q2836" s="3">
        <v>0</v>
      </c>
      <c r="R2836" s="22" t="s">
        <v>3871</v>
      </c>
      <c r="S2836" s="22" t="s">
        <v>5100</v>
      </c>
      <c r="T2836" s="51">
        <v>31</v>
      </c>
      <c r="U2836" s="3" t="s">
        <v>5897</v>
      </c>
      <c r="V2836" s="41" t="str">
        <f>HYPERLINK("http://ictvonline.org/taxonomy/p/taxonomy-history?taxnode_id=20182948","ICTVonline=20182948")</f>
        <v>ICTVonline=20182948</v>
      </c>
    </row>
    <row r="2837" spans="1:22">
      <c r="A2837" s="3">
        <v>2836</v>
      </c>
      <c r="L2837" s="1" t="s">
        <v>762</v>
      </c>
      <c r="N2837" s="1" t="s">
        <v>3879</v>
      </c>
      <c r="P2837" s="1" t="s">
        <v>5166</v>
      </c>
      <c r="Q2837" s="3">
        <v>0</v>
      </c>
      <c r="R2837" s="22" t="s">
        <v>3871</v>
      </c>
      <c r="S2837" s="22" t="s">
        <v>5100</v>
      </c>
      <c r="T2837" s="51">
        <v>31</v>
      </c>
      <c r="U2837" s="3" t="s">
        <v>5897</v>
      </c>
      <c r="V2837" s="41" t="str">
        <f>HYPERLINK("http://ictvonline.org/taxonomy/p/taxonomy-history?taxnode_id=20182949","ICTVonline=20182949")</f>
        <v>ICTVonline=20182949</v>
      </c>
    </row>
    <row r="2838" spans="1:22">
      <c r="A2838" s="3">
        <v>2837</v>
      </c>
      <c r="L2838" s="1" t="s">
        <v>762</v>
      </c>
      <c r="N2838" s="1" t="s">
        <v>3879</v>
      </c>
      <c r="P2838" s="1" t="s">
        <v>5167</v>
      </c>
      <c r="Q2838" s="3">
        <v>0</v>
      </c>
      <c r="R2838" s="22" t="s">
        <v>3871</v>
      </c>
      <c r="S2838" s="22" t="s">
        <v>5100</v>
      </c>
      <c r="T2838" s="51">
        <v>31</v>
      </c>
      <c r="U2838" s="3" t="s">
        <v>5897</v>
      </c>
      <c r="V2838" s="41" t="str">
        <f>HYPERLINK("http://ictvonline.org/taxonomy/p/taxonomy-history?taxnode_id=20182950","ICTVonline=20182950")</f>
        <v>ICTVonline=20182950</v>
      </c>
    </row>
    <row r="2839" spans="1:22">
      <c r="A2839" s="3">
        <v>2838</v>
      </c>
      <c r="L2839" s="1" t="s">
        <v>762</v>
      </c>
      <c r="N2839" s="1" t="s">
        <v>3879</v>
      </c>
      <c r="P2839" s="1" t="s">
        <v>5168</v>
      </c>
      <c r="Q2839" s="3">
        <v>0</v>
      </c>
      <c r="R2839" s="22" t="s">
        <v>3871</v>
      </c>
      <c r="S2839" s="22" t="s">
        <v>5100</v>
      </c>
      <c r="T2839" s="51">
        <v>31</v>
      </c>
      <c r="U2839" s="3" t="s">
        <v>5897</v>
      </c>
      <c r="V2839" s="41" t="str">
        <f>HYPERLINK("http://ictvonline.org/taxonomy/p/taxonomy-history?taxnode_id=20182951","ICTVonline=20182951")</f>
        <v>ICTVonline=20182951</v>
      </c>
    </row>
    <row r="2840" spans="1:22">
      <c r="A2840" s="3">
        <v>2839</v>
      </c>
      <c r="L2840" s="1" t="s">
        <v>762</v>
      </c>
      <c r="N2840" s="1" t="s">
        <v>3879</v>
      </c>
      <c r="P2840" s="1" t="s">
        <v>5169</v>
      </c>
      <c r="Q2840" s="3">
        <v>0</v>
      </c>
      <c r="R2840" s="22" t="s">
        <v>3871</v>
      </c>
      <c r="S2840" s="22" t="s">
        <v>5100</v>
      </c>
      <c r="T2840" s="51">
        <v>31</v>
      </c>
      <c r="U2840" s="3" t="s">
        <v>5897</v>
      </c>
      <c r="V2840" s="41" t="str">
        <f>HYPERLINK("http://ictvonline.org/taxonomy/p/taxonomy-history?taxnode_id=20182952","ICTVonline=20182952")</f>
        <v>ICTVonline=20182952</v>
      </c>
    </row>
    <row r="2841" spans="1:22">
      <c r="A2841" s="3">
        <v>2840</v>
      </c>
      <c r="L2841" s="1" t="s">
        <v>762</v>
      </c>
      <c r="N2841" s="1" t="s">
        <v>3879</v>
      </c>
      <c r="P2841" s="1" t="s">
        <v>5170</v>
      </c>
      <c r="Q2841" s="3">
        <v>0</v>
      </c>
      <c r="R2841" s="22" t="s">
        <v>3871</v>
      </c>
      <c r="S2841" s="22" t="s">
        <v>5100</v>
      </c>
      <c r="T2841" s="51">
        <v>31</v>
      </c>
      <c r="U2841" s="3" t="s">
        <v>5897</v>
      </c>
      <c r="V2841" s="41" t="str">
        <f>HYPERLINK("http://ictvonline.org/taxonomy/p/taxonomy-history?taxnode_id=20182953","ICTVonline=20182953")</f>
        <v>ICTVonline=20182953</v>
      </c>
    </row>
    <row r="2842" spans="1:22">
      <c r="A2842" s="3">
        <v>2841</v>
      </c>
      <c r="L2842" s="1" t="s">
        <v>762</v>
      </c>
      <c r="N2842" s="1" t="s">
        <v>3879</v>
      </c>
      <c r="P2842" s="1" t="s">
        <v>5171</v>
      </c>
      <c r="Q2842" s="3">
        <v>0</v>
      </c>
      <c r="R2842" s="22" t="s">
        <v>3871</v>
      </c>
      <c r="S2842" s="22" t="s">
        <v>5100</v>
      </c>
      <c r="T2842" s="51">
        <v>31</v>
      </c>
      <c r="U2842" s="3" t="s">
        <v>5897</v>
      </c>
      <c r="V2842" s="41" t="str">
        <f>HYPERLINK("http://ictvonline.org/taxonomy/p/taxonomy-history?taxnode_id=20182954","ICTVonline=20182954")</f>
        <v>ICTVonline=20182954</v>
      </c>
    </row>
    <row r="2843" spans="1:22">
      <c r="A2843" s="3">
        <v>2842</v>
      </c>
      <c r="L2843" s="1" t="s">
        <v>762</v>
      </c>
      <c r="N2843" s="1" t="s">
        <v>3879</v>
      </c>
      <c r="P2843" s="1" t="s">
        <v>5172</v>
      </c>
      <c r="Q2843" s="3">
        <v>0</v>
      </c>
      <c r="R2843" s="22" t="s">
        <v>3871</v>
      </c>
      <c r="S2843" s="22" t="s">
        <v>5100</v>
      </c>
      <c r="T2843" s="51">
        <v>31</v>
      </c>
      <c r="U2843" s="3" t="s">
        <v>5897</v>
      </c>
      <c r="V2843" s="41" t="str">
        <f>HYPERLINK("http://ictvonline.org/taxonomy/p/taxonomy-history?taxnode_id=20182955","ICTVonline=20182955")</f>
        <v>ICTVonline=20182955</v>
      </c>
    </row>
    <row r="2844" spans="1:22">
      <c r="A2844" s="3">
        <v>2843</v>
      </c>
      <c r="L2844" s="1" t="s">
        <v>762</v>
      </c>
      <c r="N2844" s="1" t="s">
        <v>3879</v>
      </c>
      <c r="P2844" s="1" t="s">
        <v>5173</v>
      </c>
      <c r="Q2844" s="3">
        <v>0</v>
      </c>
      <c r="R2844" s="22" t="s">
        <v>3871</v>
      </c>
      <c r="S2844" s="22" t="s">
        <v>5100</v>
      </c>
      <c r="T2844" s="51">
        <v>31</v>
      </c>
      <c r="U2844" s="3" t="s">
        <v>5897</v>
      </c>
      <c r="V2844" s="41" t="str">
        <f>HYPERLINK("http://ictvonline.org/taxonomy/p/taxonomy-history?taxnode_id=20182956","ICTVonline=20182956")</f>
        <v>ICTVonline=20182956</v>
      </c>
    </row>
    <row r="2845" spans="1:22">
      <c r="A2845" s="3">
        <v>2844</v>
      </c>
      <c r="L2845" s="1" t="s">
        <v>762</v>
      </c>
      <c r="N2845" s="1" t="s">
        <v>3879</v>
      </c>
      <c r="P2845" s="1" t="s">
        <v>5174</v>
      </c>
      <c r="Q2845" s="3">
        <v>0</v>
      </c>
      <c r="R2845" s="22" t="s">
        <v>3871</v>
      </c>
      <c r="S2845" s="22" t="s">
        <v>5100</v>
      </c>
      <c r="T2845" s="51">
        <v>31</v>
      </c>
      <c r="U2845" s="3" t="s">
        <v>5897</v>
      </c>
      <c r="V2845" s="41" t="str">
        <f>HYPERLINK("http://ictvonline.org/taxonomy/p/taxonomy-history?taxnode_id=20182957","ICTVonline=20182957")</f>
        <v>ICTVonline=20182957</v>
      </c>
    </row>
    <row r="2846" spans="1:22">
      <c r="A2846" s="3">
        <v>2845</v>
      </c>
      <c r="L2846" s="1" t="s">
        <v>762</v>
      </c>
      <c r="N2846" s="1" t="s">
        <v>3879</v>
      </c>
      <c r="P2846" s="1" t="s">
        <v>5175</v>
      </c>
      <c r="Q2846" s="3">
        <v>0</v>
      </c>
      <c r="R2846" s="22" t="s">
        <v>3871</v>
      </c>
      <c r="S2846" s="22" t="s">
        <v>5100</v>
      </c>
      <c r="T2846" s="51">
        <v>31</v>
      </c>
      <c r="U2846" s="3" t="s">
        <v>5897</v>
      </c>
      <c r="V2846" s="41" t="str">
        <f>HYPERLINK("http://ictvonline.org/taxonomy/p/taxonomy-history?taxnode_id=20182958","ICTVonline=20182958")</f>
        <v>ICTVonline=20182958</v>
      </c>
    </row>
    <row r="2847" spans="1:22">
      <c r="A2847" s="3">
        <v>2846</v>
      </c>
      <c r="L2847" s="1" t="s">
        <v>762</v>
      </c>
      <c r="N2847" s="1" t="s">
        <v>3879</v>
      </c>
      <c r="P2847" s="1" t="s">
        <v>4830</v>
      </c>
      <c r="Q2847" s="3">
        <v>0</v>
      </c>
      <c r="R2847" s="22" t="s">
        <v>3871</v>
      </c>
      <c r="S2847" s="22" t="s">
        <v>5097</v>
      </c>
      <c r="T2847" s="51">
        <v>31</v>
      </c>
      <c r="U2847" s="3" t="s">
        <v>5897</v>
      </c>
      <c r="V2847" s="41" t="str">
        <f>HYPERLINK("http://ictvonline.org/taxonomy/p/taxonomy-history?taxnode_id=20182959","ICTVonline=20182959")</f>
        <v>ICTVonline=20182959</v>
      </c>
    </row>
    <row r="2848" spans="1:22">
      <c r="A2848" s="3">
        <v>2847</v>
      </c>
      <c r="L2848" s="1" t="s">
        <v>762</v>
      </c>
      <c r="N2848" s="1" t="s">
        <v>3879</v>
      </c>
      <c r="P2848" s="1" t="s">
        <v>5176</v>
      </c>
      <c r="Q2848" s="3">
        <v>0</v>
      </c>
      <c r="R2848" s="22" t="s">
        <v>3871</v>
      </c>
      <c r="S2848" s="22" t="s">
        <v>5100</v>
      </c>
      <c r="T2848" s="51">
        <v>31</v>
      </c>
      <c r="U2848" s="3" t="s">
        <v>5897</v>
      </c>
      <c r="V2848" s="41" t="str">
        <f>HYPERLINK("http://ictvonline.org/taxonomy/p/taxonomy-history?taxnode_id=20182960","ICTVonline=20182960")</f>
        <v>ICTVonline=20182960</v>
      </c>
    </row>
    <row r="2849" spans="1:22">
      <c r="A2849" s="3">
        <v>2848</v>
      </c>
      <c r="L2849" s="1" t="s">
        <v>762</v>
      </c>
      <c r="N2849" s="1" t="s">
        <v>3879</v>
      </c>
      <c r="P2849" s="1" t="s">
        <v>4831</v>
      </c>
      <c r="Q2849" s="3">
        <v>0</v>
      </c>
      <c r="R2849" s="22" t="s">
        <v>3871</v>
      </c>
      <c r="S2849" s="22" t="s">
        <v>5097</v>
      </c>
      <c r="T2849" s="51">
        <v>31</v>
      </c>
      <c r="U2849" s="3" t="s">
        <v>5897</v>
      </c>
      <c r="V2849" s="41" t="str">
        <f>HYPERLINK("http://ictvonline.org/taxonomy/p/taxonomy-history?taxnode_id=20182961","ICTVonline=20182961")</f>
        <v>ICTVonline=20182961</v>
      </c>
    </row>
    <row r="2850" spans="1:22">
      <c r="A2850" s="3">
        <v>2849</v>
      </c>
      <c r="L2850" s="1" t="s">
        <v>762</v>
      </c>
      <c r="N2850" s="1" t="s">
        <v>3879</v>
      </c>
      <c r="P2850" s="1" t="s">
        <v>5177</v>
      </c>
      <c r="Q2850" s="3">
        <v>0</v>
      </c>
      <c r="R2850" s="22" t="s">
        <v>3871</v>
      </c>
      <c r="S2850" s="22" t="s">
        <v>5100</v>
      </c>
      <c r="T2850" s="51">
        <v>31</v>
      </c>
      <c r="U2850" s="3" t="s">
        <v>5897</v>
      </c>
      <c r="V2850" s="41" t="str">
        <f>HYPERLINK("http://ictvonline.org/taxonomy/p/taxonomy-history?taxnode_id=20182962","ICTVonline=20182962")</f>
        <v>ICTVonline=20182962</v>
      </c>
    </row>
    <row r="2851" spans="1:22">
      <c r="A2851" s="3">
        <v>2850</v>
      </c>
      <c r="L2851" s="1" t="s">
        <v>762</v>
      </c>
      <c r="N2851" s="1" t="s">
        <v>3879</v>
      </c>
      <c r="P2851" s="1" t="s">
        <v>5178</v>
      </c>
      <c r="Q2851" s="3">
        <v>0</v>
      </c>
      <c r="R2851" s="22" t="s">
        <v>3871</v>
      </c>
      <c r="S2851" s="22" t="s">
        <v>5100</v>
      </c>
      <c r="T2851" s="51">
        <v>31</v>
      </c>
      <c r="U2851" s="3" t="s">
        <v>5897</v>
      </c>
      <c r="V2851" s="41" t="str">
        <f>HYPERLINK("http://ictvonline.org/taxonomy/p/taxonomy-history?taxnode_id=20182963","ICTVonline=20182963")</f>
        <v>ICTVonline=20182963</v>
      </c>
    </row>
    <row r="2852" spans="1:22">
      <c r="A2852" s="3">
        <v>2851</v>
      </c>
      <c r="L2852" s="1" t="s">
        <v>762</v>
      </c>
      <c r="N2852" s="1" t="s">
        <v>3879</v>
      </c>
      <c r="P2852" s="1" t="s">
        <v>5179</v>
      </c>
      <c r="Q2852" s="3">
        <v>0</v>
      </c>
      <c r="R2852" s="22" t="s">
        <v>3871</v>
      </c>
      <c r="S2852" s="22" t="s">
        <v>5100</v>
      </c>
      <c r="T2852" s="51">
        <v>31</v>
      </c>
      <c r="U2852" s="3" t="s">
        <v>5897</v>
      </c>
      <c r="V2852" s="41" t="str">
        <f>HYPERLINK("http://ictvonline.org/taxonomy/p/taxonomy-history?taxnode_id=20182964","ICTVonline=20182964")</f>
        <v>ICTVonline=20182964</v>
      </c>
    </row>
    <row r="2853" spans="1:22">
      <c r="A2853" s="3">
        <v>2852</v>
      </c>
      <c r="L2853" s="1" t="s">
        <v>762</v>
      </c>
      <c r="N2853" s="1" t="s">
        <v>3879</v>
      </c>
      <c r="P2853" s="1" t="s">
        <v>5180</v>
      </c>
      <c r="Q2853" s="3">
        <v>0</v>
      </c>
      <c r="R2853" s="22" t="s">
        <v>3871</v>
      </c>
      <c r="S2853" s="22" t="s">
        <v>5100</v>
      </c>
      <c r="T2853" s="51">
        <v>31</v>
      </c>
      <c r="U2853" s="3" t="s">
        <v>5897</v>
      </c>
      <c r="V2853" s="41" t="str">
        <f>HYPERLINK("http://ictvonline.org/taxonomy/p/taxonomy-history?taxnode_id=20182965","ICTVonline=20182965")</f>
        <v>ICTVonline=20182965</v>
      </c>
    </row>
    <row r="2854" spans="1:22">
      <c r="A2854" s="3">
        <v>2853</v>
      </c>
      <c r="L2854" s="1" t="s">
        <v>762</v>
      </c>
      <c r="N2854" s="1" t="s">
        <v>3879</v>
      </c>
      <c r="P2854" s="1" t="s">
        <v>5181</v>
      </c>
      <c r="Q2854" s="3">
        <v>0</v>
      </c>
      <c r="R2854" s="22" t="s">
        <v>3871</v>
      </c>
      <c r="S2854" s="22" t="s">
        <v>5100</v>
      </c>
      <c r="T2854" s="51">
        <v>31</v>
      </c>
      <c r="U2854" s="3" t="s">
        <v>5897</v>
      </c>
      <c r="V2854" s="41" t="str">
        <f>HYPERLINK("http://ictvonline.org/taxonomy/p/taxonomy-history?taxnode_id=20182966","ICTVonline=20182966")</f>
        <v>ICTVonline=20182966</v>
      </c>
    </row>
    <row r="2855" spans="1:22">
      <c r="A2855" s="3">
        <v>2854</v>
      </c>
      <c r="L2855" s="1" t="s">
        <v>762</v>
      </c>
      <c r="N2855" s="1" t="s">
        <v>3879</v>
      </c>
      <c r="P2855" s="1" t="s">
        <v>5182</v>
      </c>
      <c r="Q2855" s="3">
        <v>0</v>
      </c>
      <c r="R2855" s="22" t="s">
        <v>3871</v>
      </c>
      <c r="S2855" s="22" t="s">
        <v>5100</v>
      </c>
      <c r="T2855" s="51">
        <v>31</v>
      </c>
      <c r="U2855" s="3" t="s">
        <v>5897</v>
      </c>
      <c r="V2855" s="41" t="str">
        <f>HYPERLINK("http://ictvonline.org/taxonomy/p/taxonomy-history?taxnode_id=20182967","ICTVonline=20182967")</f>
        <v>ICTVonline=20182967</v>
      </c>
    </row>
    <row r="2856" spans="1:22">
      <c r="A2856" s="3">
        <v>2855</v>
      </c>
      <c r="L2856" s="1" t="s">
        <v>762</v>
      </c>
      <c r="N2856" s="1" t="s">
        <v>3879</v>
      </c>
      <c r="P2856" s="1" t="s">
        <v>5183</v>
      </c>
      <c r="Q2856" s="3">
        <v>0</v>
      </c>
      <c r="R2856" s="22" t="s">
        <v>3871</v>
      </c>
      <c r="S2856" s="22" t="s">
        <v>5100</v>
      </c>
      <c r="T2856" s="51">
        <v>31</v>
      </c>
      <c r="U2856" s="3" t="s">
        <v>5897</v>
      </c>
      <c r="V2856" s="41" t="str">
        <f>HYPERLINK("http://ictvonline.org/taxonomy/p/taxonomy-history?taxnode_id=20182968","ICTVonline=20182968")</f>
        <v>ICTVonline=20182968</v>
      </c>
    </row>
    <row r="2857" spans="1:22">
      <c r="A2857" s="3">
        <v>2856</v>
      </c>
      <c r="L2857" s="1" t="s">
        <v>762</v>
      </c>
      <c r="N2857" s="1" t="s">
        <v>3879</v>
      </c>
      <c r="P2857" s="1" t="s">
        <v>5184</v>
      </c>
      <c r="Q2857" s="3">
        <v>1</v>
      </c>
      <c r="R2857" s="22" t="s">
        <v>3871</v>
      </c>
      <c r="S2857" s="22" t="s">
        <v>5100</v>
      </c>
      <c r="T2857" s="51">
        <v>31</v>
      </c>
      <c r="U2857" s="3" t="s">
        <v>5897</v>
      </c>
      <c r="V2857" s="41" t="str">
        <f>HYPERLINK("http://ictvonline.org/taxonomy/p/taxonomy-history?taxnode_id=20182969","ICTVonline=20182969")</f>
        <v>ICTVonline=20182969</v>
      </c>
    </row>
    <row r="2858" spans="1:22">
      <c r="A2858" s="3">
        <v>2857</v>
      </c>
      <c r="L2858" s="1" t="s">
        <v>762</v>
      </c>
      <c r="N2858" s="1" t="s">
        <v>3879</v>
      </c>
      <c r="P2858" s="1" t="s">
        <v>5185</v>
      </c>
      <c r="Q2858" s="3">
        <v>0</v>
      </c>
      <c r="R2858" s="22" t="s">
        <v>3871</v>
      </c>
      <c r="S2858" s="22" t="s">
        <v>5100</v>
      </c>
      <c r="T2858" s="51">
        <v>31</v>
      </c>
      <c r="U2858" s="3" t="s">
        <v>5897</v>
      </c>
      <c r="V2858" s="41" t="str">
        <f>HYPERLINK("http://ictvonline.org/taxonomy/p/taxonomy-history?taxnode_id=20182970","ICTVonline=20182970")</f>
        <v>ICTVonline=20182970</v>
      </c>
    </row>
    <row r="2859" spans="1:22">
      <c r="A2859" s="3">
        <v>2858</v>
      </c>
      <c r="L2859" s="1" t="s">
        <v>762</v>
      </c>
      <c r="N2859" s="1" t="s">
        <v>3879</v>
      </c>
      <c r="P2859" s="1" t="s">
        <v>5186</v>
      </c>
      <c r="Q2859" s="3">
        <v>0</v>
      </c>
      <c r="R2859" s="22" t="s">
        <v>3871</v>
      </c>
      <c r="S2859" s="22" t="s">
        <v>5100</v>
      </c>
      <c r="T2859" s="51">
        <v>31</v>
      </c>
      <c r="U2859" s="3" t="s">
        <v>5897</v>
      </c>
      <c r="V2859" s="41" t="str">
        <f>HYPERLINK("http://ictvonline.org/taxonomy/p/taxonomy-history?taxnode_id=20182971","ICTVonline=20182971")</f>
        <v>ICTVonline=20182971</v>
      </c>
    </row>
    <row r="2860" spans="1:22">
      <c r="A2860" s="3">
        <v>2859</v>
      </c>
      <c r="L2860" s="1" t="s">
        <v>762</v>
      </c>
      <c r="N2860" s="1" t="s">
        <v>3879</v>
      </c>
      <c r="P2860" s="1" t="s">
        <v>4832</v>
      </c>
      <c r="Q2860" s="3">
        <v>0</v>
      </c>
      <c r="R2860" s="22" t="s">
        <v>3871</v>
      </c>
      <c r="S2860" s="22" t="s">
        <v>5097</v>
      </c>
      <c r="T2860" s="51">
        <v>31</v>
      </c>
      <c r="U2860" s="3" t="s">
        <v>5897</v>
      </c>
      <c r="V2860" s="41" t="str">
        <f>HYPERLINK("http://ictvonline.org/taxonomy/p/taxonomy-history?taxnode_id=20182972","ICTVonline=20182972")</f>
        <v>ICTVonline=20182972</v>
      </c>
    </row>
    <row r="2861" spans="1:22">
      <c r="A2861" s="3">
        <v>2860</v>
      </c>
      <c r="L2861" s="1" t="s">
        <v>762</v>
      </c>
      <c r="N2861" s="1" t="s">
        <v>3879</v>
      </c>
      <c r="P2861" s="1" t="s">
        <v>5898</v>
      </c>
      <c r="Q2861" s="3">
        <v>0</v>
      </c>
      <c r="R2861" s="22" t="s">
        <v>3871</v>
      </c>
      <c r="S2861" s="22" t="s">
        <v>5097</v>
      </c>
      <c r="T2861" s="51">
        <v>32</v>
      </c>
      <c r="U2861" s="3" t="s">
        <v>5891</v>
      </c>
      <c r="V2861" s="41" t="str">
        <f>HYPERLINK("http://ictvonline.org/taxonomy/p/taxonomy-history?taxnode_id=20185769","ICTVonline=20185769")</f>
        <v>ICTVonline=20185769</v>
      </c>
    </row>
    <row r="2862" spans="1:22">
      <c r="A2862" s="3">
        <v>2861</v>
      </c>
      <c r="L2862" s="1" t="s">
        <v>762</v>
      </c>
      <c r="N2862" s="1" t="s">
        <v>3879</v>
      </c>
      <c r="P2862" s="1" t="s">
        <v>5899</v>
      </c>
      <c r="Q2862" s="3">
        <v>0</v>
      </c>
      <c r="R2862" s="22" t="s">
        <v>3871</v>
      </c>
      <c r="S2862" s="22" t="s">
        <v>5097</v>
      </c>
      <c r="T2862" s="51">
        <v>32</v>
      </c>
      <c r="U2862" s="3" t="s">
        <v>5891</v>
      </c>
      <c r="V2862" s="41" t="str">
        <f>HYPERLINK("http://ictvonline.org/taxonomy/p/taxonomy-history?taxnode_id=20185770","ICTVonline=20185770")</f>
        <v>ICTVonline=20185770</v>
      </c>
    </row>
    <row r="2863" spans="1:22">
      <c r="A2863" s="3">
        <v>2862</v>
      </c>
      <c r="L2863" s="1" t="s">
        <v>762</v>
      </c>
      <c r="N2863" s="1" t="s">
        <v>3879</v>
      </c>
      <c r="P2863" s="1" t="s">
        <v>4833</v>
      </c>
      <c r="Q2863" s="3">
        <v>0</v>
      </c>
      <c r="R2863" s="22" t="s">
        <v>3871</v>
      </c>
      <c r="S2863" s="22" t="s">
        <v>5097</v>
      </c>
      <c r="T2863" s="51">
        <v>31</v>
      </c>
      <c r="U2863" s="3" t="s">
        <v>5897</v>
      </c>
      <c r="V2863" s="41" t="str">
        <f>HYPERLINK("http://ictvonline.org/taxonomy/p/taxonomy-history?taxnode_id=20182973","ICTVonline=20182973")</f>
        <v>ICTVonline=20182973</v>
      </c>
    </row>
    <row r="2864" spans="1:22">
      <c r="A2864" s="3">
        <v>2863</v>
      </c>
      <c r="L2864" s="1" t="s">
        <v>89</v>
      </c>
      <c r="N2864" s="1" t="s">
        <v>90</v>
      </c>
      <c r="P2864" s="1" t="s">
        <v>91</v>
      </c>
      <c r="Q2864" s="3">
        <v>1</v>
      </c>
      <c r="R2864" s="22" t="s">
        <v>2764</v>
      </c>
      <c r="S2864" s="22" t="s">
        <v>5102</v>
      </c>
      <c r="T2864" s="51">
        <v>26</v>
      </c>
      <c r="U2864" s="3" t="s">
        <v>5900</v>
      </c>
      <c r="V2864" s="41" t="str">
        <f>HYPERLINK("http://ictvonline.org/taxonomy/p/taxonomy-history?taxnode_id=20182977","ICTVonline=20182977")</f>
        <v>ICTVonline=20182977</v>
      </c>
    </row>
    <row r="2865" spans="1:22">
      <c r="A2865" s="3">
        <v>2864</v>
      </c>
      <c r="L2865" s="1" t="s">
        <v>1972</v>
      </c>
      <c r="N2865" s="1" t="s">
        <v>1973</v>
      </c>
      <c r="P2865" s="1" t="s">
        <v>3880</v>
      </c>
      <c r="Q2865" s="3">
        <v>0</v>
      </c>
      <c r="R2865" s="22" t="s">
        <v>2766</v>
      </c>
      <c r="S2865" s="22" t="s">
        <v>5097</v>
      </c>
      <c r="T2865" s="51">
        <v>30</v>
      </c>
      <c r="U2865" s="3" t="s">
        <v>5901</v>
      </c>
      <c r="V2865" s="41" t="str">
        <f>HYPERLINK("http://ictvonline.org/taxonomy/p/taxonomy-history?taxnode_id=20182981","ICTVonline=20182981")</f>
        <v>ICTVonline=20182981</v>
      </c>
    </row>
    <row r="2866" spans="1:22">
      <c r="A2866" s="3">
        <v>2865</v>
      </c>
      <c r="L2866" s="1" t="s">
        <v>1972</v>
      </c>
      <c r="N2866" s="1" t="s">
        <v>1973</v>
      </c>
      <c r="P2866" s="1" t="s">
        <v>2068</v>
      </c>
      <c r="Q2866" s="3">
        <v>0</v>
      </c>
      <c r="R2866" s="22" t="s">
        <v>2766</v>
      </c>
      <c r="S2866" s="22" t="s">
        <v>5097</v>
      </c>
      <c r="T2866" s="51">
        <v>20</v>
      </c>
      <c r="U2866" s="3" t="s">
        <v>5490</v>
      </c>
      <c r="V2866" s="41" t="str">
        <f>HYPERLINK("http://ictvonline.org/taxonomy/p/taxonomy-history?taxnode_id=20182982","ICTVonline=20182982")</f>
        <v>ICTVonline=20182982</v>
      </c>
    </row>
    <row r="2867" spans="1:22">
      <c r="A2867" s="3">
        <v>2866</v>
      </c>
      <c r="L2867" s="1" t="s">
        <v>1972</v>
      </c>
      <c r="N2867" s="1" t="s">
        <v>1973</v>
      </c>
      <c r="P2867" s="1" t="s">
        <v>2069</v>
      </c>
      <c r="Q2867" s="3">
        <v>1</v>
      </c>
      <c r="R2867" s="22" t="s">
        <v>2766</v>
      </c>
      <c r="S2867" s="22" t="s">
        <v>5103</v>
      </c>
      <c r="T2867" s="51">
        <v>20</v>
      </c>
      <c r="U2867" s="3" t="s">
        <v>5490</v>
      </c>
      <c r="V2867" s="41" t="str">
        <f>HYPERLINK("http://ictvonline.org/taxonomy/p/taxonomy-history?taxnode_id=20182983","ICTVonline=20182983")</f>
        <v>ICTVonline=20182983</v>
      </c>
    </row>
    <row r="2868" spans="1:22">
      <c r="A2868" s="3">
        <v>2867</v>
      </c>
      <c r="L2868" s="1" t="s">
        <v>1972</v>
      </c>
      <c r="N2868" s="1" t="s">
        <v>1973</v>
      </c>
      <c r="P2868" s="1" t="s">
        <v>2240</v>
      </c>
      <c r="Q2868" s="3">
        <v>0</v>
      </c>
      <c r="R2868" s="22" t="s">
        <v>2766</v>
      </c>
      <c r="S2868" s="22" t="s">
        <v>5097</v>
      </c>
      <c r="T2868" s="51">
        <v>27</v>
      </c>
      <c r="U2868" s="3" t="s">
        <v>5902</v>
      </c>
      <c r="V2868" s="41" t="str">
        <f>HYPERLINK("http://ictvonline.org/taxonomy/p/taxonomy-history?taxnode_id=20182984","ICTVonline=20182984")</f>
        <v>ICTVonline=20182984</v>
      </c>
    </row>
    <row r="2869" spans="1:22">
      <c r="A2869" s="3">
        <v>2868</v>
      </c>
      <c r="L2869" s="1" t="s">
        <v>1972</v>
      </c>
      <c r="N2869" s="1" t="s">
        <v>1973</v>
      </c>
      <c r="P2869" s="1" t="s">
        <v>5903</v>
      </c>
      <c r="Q2869" s="3">
        <v>0</v>
      </c>
      <c r="R2869" s="22" t="s">
        <v>2766</v>
      </c>
      <c r="S2869" s="22" t="s">
        <v>5097</v>
      </c>
      <c r="T2869" s="51">
        <v>32</v>
      </c>
      <c r="U2869" s="3" t="s">
        <v>5904</v>
      </c>
      <c r="V2869" s="41" t="str">
        <f>HYPERLINK("http://ictvonline.org/taxonomy/p/taxonomy-history?taxnode_id=20185771","ICTVonline=20185771")</f>
        <v>ICTVonline=20185771</v>
      </c>
    </row>
    <row r="2870" spans="1:22">
      <c r="A2870" s="3">
        <v>2869</v>
      </c>
      <c r="L2870" s="1" t="s">
        <v>1972</v>
      </c>
      <c r="N2870" s="1" t="s">
        <v>1973</v>
      </c>
      <c r="P2870" s="1" t="s">
        <v>2070</v>
      </c>
      <c r="Q2870" s="3">
        <v>0</v>
      </c>
      <c r="R2870" s="22" t="s">
        <v>2766</v>
      </c>
      <c r="S2870" s="22" t="s">
        <v>5107</v>
      </c>
      <c r="T2870" s="51">
        <v>20</v>
      </c>
      <c r="U2870" s="3" t="s">
        <v>5490</v>
      </c>
      <c r="V2870" s="41" t="str">
        <f>HYPERLINK("http://ictvonline.org/taxonomy/p/taxonomy-history?taxnode_id=20182985","ICTVonline=20182985")</f>
        <v>ICTVonline=20182985</v>
      </c>
    </row>
    <row r="2871" spans="1:22">
      <c r="A2871" s="3">
        <v>2870</v>
      </c>
      <c r="L2871" s="1" t="s">
        <v>1972</v>
      </c>
      <c r="N2871" s="1" t="s">
        <v>1973</v>
      </c>
      <c r="P2871" s="1" t="s">
        <v>2071</v>
      </c>
      <c r="Q2871" s="3">
        <v>0</v>
      </c>
      <c r="R2871" s="22" t="s">
        <v>2766</v>
      </c>
      <c r="S2871" s="22" t="s">
        <v>5097</v>
      </c>
      <c r="T2871" s="51">
        <v>20</v>
      </c>
      <c r="U2871" s="3" t="s">
        <v>5490</v>
      </c>
      <c r="V2871" s="41" t="str">
        <f>HYPERLINK("http://ictvonline.org/taxonomy/p/taxonomy-history?taxnode_id=20182986","ICTVonline=20182986")</f>
        <v>ICTVonline=20182986</v>
      </c>
    </row>
    <row r="2872" spans="1:22">
      <c r="A2872" s="3">
        <v>2871</v>
      </c>
      <c r="L2872" s="1" t="s">
        <v>1972</v>
      </c>
      <c r="N2872" s="1" t="s">
        <v>1973</v>
      </c>
      <c r="P2872" s="1" t="s">
        <v>2072</v>
      </c>
      <c r="Q2872" s="3">
        <v>0</v>
      </c>
      <c r="R2872" s="22" t="s">
        <v>2766</v>
      </c>
      <c r="S2872" s="22" t="s">
        <v>5097</v>
      </c>
      <c r="T2872" s="51">
        <v>20</v>
      </c>
      <c r="U2872" s="3" t="s">
        <v>5490</v>
      </c>
      <c r="V2872" s="41" t="str">
        <f>HYPERLINK("http://ictvonline.org/taxonomy/p/taxonomy-history?taxnode_id=20182987","ICTVonline=20182987")</f>
        <v>ICTVonline=20182987</v>
      </c>
    </row>
    <row r="2873" spans="1:22">
      <c r="A2873" s="3">
        <v>2872</v>
      </c>
      <c r="L2873" s="1" t="s">
        <v>1972</v>
      </c>
      <c r="N2873" s="1" t="s">
        <v>1973</v>
      </c>
      <c r="P2873" s="1" t="s">
        <v>1832</v>
      </c>
      <c r="Q2873" s="3">
        <v>0</v>
      </c>
      <c r="R2873" s="22" t="s">
        <v>2766</v>
      </c>
      <c r="S2873" s="22" t="s">
        <v>5097</v>
      </c>
      <c r="T2873" s="51">
        <v>25</v>
      </c>
      <c r="U2873" s="3" t="s">
        <v>5905</v>
      </c>
      <c r="V2873" s="41" t="str">
        <f>HYPERLINK("http://ictvonline.org/taxonomy/p/taxonomy-history?taxnode_id=20182988","ICTVonline=20182988")</f>
        <v>ICTVonline=20182988</v>
      </c>
    </row>
    <row r="2874" spans="1:22">
      <c r="A2874" s="3">
        <v>2873</v>
      </c>
      <c r="L2874" s="1" t="s">
        <v>1972</v>
      </c>
      <c r="N2874" s="1" t="s">
        <v>1973</v>
      </c>
      <c r="P2874" s="1" t="s">
        <v>2136</v>
      </c>
      <c r="Q2874" s="3">
        <v>0</v>
      </c>
      <c r="R2874" s="22" t="s">
        <v>2766</v>
      </c>
      <c r="S2874" s="22" t="s">
        <v>5097</v>
      </c>
      <c r="T2874" s="51">
        <v>25</v>
      </c>
      <c r="U2874" s="3" t="s">
        <v>5906</v>
      </c>
      <c r="V2874" s="41" t="str">
        <f>HYPERLINK("http://ictvonline.org/taxonomy/p/taxonomy-history?taxnode_id=20182989","ICTVonline=20182989")</f>
        <v>ICTVonline=20182989</v>
      </c>
    </row>
    <row r="2875" spans="1:22">
      <c r="A2875" s="3">
        <v>2874</v>
      </c>
      <c r="L2875" s="1" t="s">
        <v>1972</v>
      </c>
      <c r="N2875" s="1" t="s">
        <v>2073</v>
      </c>
      <c r="P2875" s="1" t="s">
        <v>2074</v>
      </c>
      <c r="Q2875" s="3">
        <v>0</v>
      </c>
      <c r="R2875" s="22" t="s">
        <v>2766</v>
      </c>
      <c r="S2875" s="22" t="s">
        <v>5099</v>
      </c>
      <c r="T2875" s="51">
        <v>15</v>
      </c>
      <c r="U2875" s="3" t="s">
        <v>5907</v>
      </c>
      <c r="V2875" s="41" t="str">
        <f>HYPERLINK("http://ictvonline.org/taxonomy/p/taxonomy-history?taxnode_id=20182991","ICTVonline=20182991")</f>
        <v>ICTVonline=20182991</v>
      </c>
    </row>
    <row r="2876" spans="1:22">
      <c r="A2876" s="3">
        <v>2875</v>
      </c>
      <c r="L2876" s="1" t="s">
        <v>1972</v>
      </c>
      <c r="N2876" s="1" t="s">
        <v>2073</v>
      </c>
      <c r="P2876" s="1" t="s">
        <v>2075</v>
      </c>
      <c r="Q2876" s="3">
        <v>1</v>
      </c>
      <c r="R2876" s="22" t="s">
        <v>2766</v>
      </c>
      <c r="S2876" s="22" t="s">
        <v>5099</v>
      </c>
      <c r="T2876" s="51">
        <v>15</v>
      </c>
      <c r="U2876" s="3" t="s">
        <v>5907</v>
      </c>
      <c r="V2876" s="41" t="str">
        <f>HYPERLINK("http://ictvonline.org/taxonomy/p/taxonomy-history?taxnode_id=20182992","ICTVonline=20182992")</f>
        <v>ICTVonline=20182992</v>
      </c>
    </row>
    <row r="2877" spans="1:22">
      <c r="A2877" s="3">
        <v>2876</v>
      </c>
      <c r="L2877" s="1" t="s">
        <v>1972</v>
      </c>
      <c r="N2877" s="1" t="s">
        <v>2073</v>
      </c>
      <c r="P2877" s="1" t="s">
        <v>2076</v>
      </c>
      <c r="Q2877" s="3">
        <v>0</v>
      </c>
      <c r="R2877" s="22" t="s">
        <v>2766</v>
      </c>
      <c r="S2877" s="22" t="s">
        <v>5099</v>
      </c>
      <c r="T2877" s="51">
        <v>15</v>
      </c>
      <c r="U2877" s="3" t="s">
        <v>5907</v>
      </c>
      <c r="V2877" s="41" t="str">
        <f>HYPERLINK("http://ictvonline.org/taxonomy/p/taxonomy-history?taxnode_id=20182993","ICTVonline=20182993")</f>
        <v>ICTVonline=20182993</v>
      </c>
    </row>
    <row r="2878" spans="1:22">
      <c r="A2878" s="3">
        <v>2877</v>
      </c>
      <c r="L2878" s="1" t="s">
        <v>1972</v>
      </c>
      <c r="N2878" s="1" t="s">
        <v>2073</v>
      </c>
      <c r="P2878" s="1" t="s">
        <v>2077</v>
      </c>
      <c r="Q2878" s="3">
        <v>0</v>
      </c>
      <c r="R2878" s="22" t="s">
        <v>2766</v>
      </c>
      <c r="S2878" s="22" t="s">
        <v>5099</v>
      </c>
      <c r="T2878" s="51">
        <v>15</v>
      </c>
      <c r="U2878" s="3" t="s">
        <v>5907</v>
      </c>
      <c r="V2878" s="41" t="str">
        <f>HYPERLINK("http://ictvonline.org/taxonomy/p/taxonomy-history?taxnode_id=20182994","ICTVonline=20182994")</f>
        <v>ICTVonline=20182994</v>
      </c>
    </row>
    <row r="2879" spans="1:22">
      <c r="A2879" s="3">
        <v>2878</v>
      </c>
      <c r="L2879" s="1" t="s">
        <v>1972</v>
      </c>
      <c r="N2879" s="1" t="s">
        <v>2073</v>
      </c>
      <c r="P2879" s="1" t="s">
        <v>2078</v>
      </c>
      <c r="Q2879" s="3">
        <v>0</v>
      </c>
      <c r="R2879" s="22" t="s">
        <v>2766</v>
      </c>
      <c r="S2879" s="22" t="s">
        <v>5099</v>
      </c>
      <c r="T2879" s="51">
        <v>15</v>
      </c>
      <c r="U2879" s="3" t="s">
        <v>5907</v>
      </c>
      <c r="V2879" s="41" t="str">
        <f>HYPERLINK("http://ictvonline.org/taxonomy/p/taxonomy-history?taxnode_id=20182995","ICTVonline=20182995")</f>
        <v>ICTVonline=20182995</v>
      </c>
    </row>
    <row r="2880" spans="1:22">
      <c r="A2880" s="3">
        <v>2879</v>
      </c>
      <c r="L2880" s="1" t="s">
        <v>1972</v>
      </c>
      <c r="N2880" s="1" t="s">
        <v>2073</v>
      </c>
      <c r="P2880" s="1" t="s">
        <v>2079</v>
      </c>
      <c r="Q2880" s="3">
        <v>0</v>
      </c>
      <c r="R2880" s="22" t="s">
        <v>2766</v>
      </c>
      <c r="S2880" s="22" t="s">
        <v>5099</v>
      </c>
      <c r="T2880" s="51">
        <v>15</v>
      </c>
      <c r="U2880" s="3" t="s">
        <v>5907</v>
      </c>
      <c r="V2880" s="41" t="str">
        <f>HYPERLINK("http://ictvonline.org/taxonomy/p/taxonomy-history?taxnode_id=20182996","ICTVonline=20182996")</f>
        <v>ICTVonline=20182996</v>
      </c>
    </row>
    <row r="2881" spans="1:22">
      <c r="A2881" s="3">
        <v>2880</v>
      </c>
      <c r="L2881" s="1" t="s">
        <v>1972</v>
      </c>
      <c r="N2881" s="1" t="s">
        <v>2073</v>
      </c>
      <c r="P2881" s="1" t="s">
        <v>2080</v>
      </c>
      <c r="Q2881" s="3">
        <v>0</v>
      </c>
      <c r="R2881" s="22" t="s">
        <v>2766</v>
      </c>
      <c r="S2881" s="22" t="s">
        <v>5097</v>
      </c>
      <c r="T2881" s="51">
        <v>18</v>
      </c>
      <c r="U2881" s="3" t="s">
        <v>5486</v>
      </c>
      <c r="V2881" s="41" t="str">
        <f>HYPERLINK("http://ictvonline.org/taxonomy/p/taxonomy-history?taxnode_id=20182997","ICTVonline=20182997")</f>
        <v>ICTVonline=20182997</v>
      </c>
    </row>
    <row r="2882" spans="1:22">
      <c r="A2882" s="3">
        <v>2881</v>
      </c>
      <c r="L2882" s="1" t="s">
        <v>1972</v>
      </c>
      <c r="N2882" s="1" t="s">
        <v>2073</v>
      </c>
      <c r="P2882" s="1" t="s">
        <v>2081</v>
      </c>
      <c r="Q2882" s="3">
        <v>0</v>
      </c>
      <c r="R2882" s="22" t="s">
        <v>2766</v>
      </c>
      <c r="S2882" s="22" t="s">
        <v>5097</v>
      </c>
      <c r="T2882" s="51">
        <v>24</v>
      </c>
      <c r="U2882" s="3" t="s">
        <v>5908</v>
      </c>
      <c r="V2882" s="41" t="str">
        <f>HYPERLINK("http://ictvonline.org/taxonomy/p/taxonomy-history?taxnode_id=20182998","ICTVonline=20182998")</f>
        <v>ICTVonline=20182998</v>
      </c>
    </row>
    <row r="2883" spans="1:22">
      <c r="A2883" s="3">
        <v>2882</v>
      </c>
      <c r="L2883" s="1" t="s">
        <v>1972</v>
      </c>
      <c r="N2883" s="1" t="s">
        <v>2073</v>
      </c>
      <c r="P2883" s="1" t="s">
        <v>92</v>
      </c>
      <c r="Q2883" s="3">
        <v>0</v>
      </c>
      <c r="R2883" s="22" t="s">
        <v>2766</v>
      </c>
      <c r="S2883" s="22" t="s">
        <v>5097</v>
      </c>
      <c r="T2883" s="51">
        <v>26</v>
      </c>
      <c r="U2883" s="3" t="s">
        <v>5909</v>
      </c>
      <c r="V2883" s="41" t="str">
        <f>HYPERLINK("http://ictvonline.org/taxonomy/p/taxonomy-history?taxnode_id=20182999","ICTVonline=20182999")</f>
        <v>ICTVonline=20182999</v>
      </c>
    </row>
    <row r="2884" spans="1:22">
      <c r="A2884" s="3">
        <v>2883</v>
      </c>
      <c r="L2884" s="1" t="s">
        <v>1972</v>
      </c>
      <c r="N2884" s="1" t="s">
        <v>2073</v>
      </c>
      <c r="P2884" s="1" t="s">
        <v>4834</v>
      </c>
      <c r="Q2884" s="3">
        <v>0</v>
      </c>
      <c r="R2884" s="22" t="s">
        <v>2766</v>
      </c>
      <c r="S2884" s="22" t="s">
        <v>5097</v>
      </c>
      <c r="T2884" s="51">
        <v>31</v>
      </c>
      <c r="U2884" s="3" t="s">
        <v>5910</v>
      </c>
      <c r="V2884" s="41" t="str">
        <f>HYPERLINK("http://ictvonline.org/taxonomy/p/taxonomy-history?taxnode_id=20183000","ICTVonline=20183000")</f>
        <v>ICTVonline=20183000</v>
      </c>
    </row>
    <row r="2885" spans="1:22">
      <c r="A2885" s="3">
        <v>2884</v>
      </c>
      <c r="L2885" s="1" t="s">
        <v>1972</v>
      </c>
      <c r="N2885" s="1" t="s">
        <v>2073</v>
      </c>
      <c r="P2885" s="1" t="s">
        <v>93</v>
      </c>
      <c r="Q2885" s="3">
        <v>0</v>
      </c>
      <c r="R2885" s="22" t="s">
        <v>2766</v>
      </c>
      <c r="S2885" s="22" t="s">
        <v>5097</v>
      </c>
      <c r="T2885" s="51">
        <v>26</v>
      </c>
      <c r="U2885" s="3" t="s">
        <v>5909</v>
      </c>
      <c r="V2885" s="41" t="str">
        <f>HYPERLINK("http://ictvonline.org/taxonomy/p/taxonomy-history?taxnode_id=20183001","ICTVonline=20183001")</f>
        <v>ICTVonline=20183001</v>
      </c>
    </row>
    <row r="2886" spans="1:22">
      <c r="A2886" s="3">
        <v>2885</v>
      </c>
      <c r="L2886" s="1" t="s">
        <v>1972</v>
      </c>
      <c r="N2886" s="1" t="s">
        <v>2073</v>
      </c>
      <c r="P2886" s="1" t="s">
        <v>4835</v>
      </c>
      <c r="Q2886" s="3">
        <v>0</v>
      </c>
      <c r="R2886" s="22" t="s">
        <v>2766</v>
      </c>
      <c r="S2886" s="22" t="s">
        <v>5097</v>
      </c>
      <c r="T2886" s="51">
        <v>31</v>
      </c>
      <c r="U2886" s="3" t="s">
        <v>5910</v>
      </c>
      <c r="V2886" s="41" t="str">
        <f>HYPERLINK("http://ictvonline.org/taxonomy/p/taxonomy-history?taxnode_id=20183002","ICTVonline=20183002")</f>
        <v>ICTVonline=20183002</v>
      </c>
    </row>
    <row r="2887" spans="1:22">
      <c r="A2887" s="3">
        <v>2886</v>
      </c>
      <c r="L2887" s="1" t="s">
        <v>1972</v>
      </c>
      <c r="N2887" s="1" t="s">
        <v>2073</v>
      </c>
      <c r="P2887" s="1" t="s">
        <v>2082</v>
      </c>
      <c r="Q2887" s="3">
        <v>0</v>
      </c>
      <c r="R2887" s="22" t="s">
        <v>2766</v>
      </c>
      <c r="S2887" s="22" t="s">
        <v>5099</v>
      </c>
      <c r="T2887" s="51">
        <v>15</v>
      </c>
      <c r="U2887" s="3" t="s">
        <v>5907</v>
      </c>
      <c r="V2887" s="41" t="str">
        <f>HYPERLINK("http://ictvonline.org/taxonomy/p/taxonomy-history?taxnode_id=20183003","ICTVonline=20183003")</f>
        <v>ICTVonline=20183003</v>
      </c>
    </row>
    <row r="2888" spans="1:22">
      <c r="A2888" s="3">
        <v>2887</v>
      </c>
      <c r="L2888" s="1" t="s">
        <v>1972</v>
      </c>
      <c r="N2888" s="1" t="s">
        <v>2083</v>
      </c>
      <c r="P2888" s="1" t="s">
        <v>2084</v>
      </c>
      <c r="Q2888" s="3">
        <v>0</v>
      </c>
      <c r="R2888" s="22" t="s">
        <v>2766</v>
      </c>
      <c r="S2888" s="22" t="s">
        <v>5097</v>
      </c>
      <c r="T2888" s="51">
        <v>17</v>
      </c>
      <c r="U2888" s="3" t="s">
        <v>5823</v>
      </c>
      <c r="V2888" s="41" t="str">
        <f>HYPERLINK("http://ictvonline.org/taxonomy/p/taxonomy-history?taxnode_id=20183005","ICTVonline=20183005")</f>
        <v>ICTVonline=20183005</v>
      </c>
    </row>
    <row r="2889" spans="1:22">
      <c r="A2889" s="3">
        <v>2888</v>
      </c>
      <c r="L2889" s="1" t="s">
        <v>1972</v>
      </c>
      <c r="N2889" s="1" t="s">
        <v>2083</v>
      </c>
      <c r="P2889" s="1" t="s">
        <v>2137</v>
      </c>
      <c r="Q2889" s="3">
        <v>0</v>
      </c>
      <c r="R2889" s="22" t="s">
        <v>2766</v>
      </c>
      <c r="S2889" s="22" t="s">
        <v>5097</v>
      </c>
      <c r="T2889" s="51">
        <v>25</v>
      </c>
      <c r="U2889" s="3" t="s">
        <v>5911</v>
      </c>
      <c r="V2889" s="41" t="str">
        <f>HYPERLINK("http://ictvonline.org/taxonomy/p/taxonomy-history?taxnode_id=20183006","ICTVonline=20183006")</f>
        <v>ICTVonline=20183006</v>
      </c>
    </row>
    <row r="2890" spans="1:22">
      <c r="A2890" s="3">
        <v>2889</v>
      </c>
      <c r="L2890" s="1" t="s">
        <v>1972</v>
      </c>
      <c r="N2890" s="1" t="s">
        <v>2083</v>
      </c>
      <c r="P2890" s="1" t="s">
        <v>488</v>
      </c>
      <c r="Q2890" s="3">
        <v>0</v>
      </c>
      <c r="R2890" s="22" t="s">
        <v>2766</v>
      </c>
      <c r="S2890" s="22" t="s">
        <v>5097</v>
      </c>
      <c r="T2890" s="51">
        <v>23</v>
      </c>
      <c r="U2890" s="3" t="s">
        <v>5872</v>
      </c>
      <c r="V2890" s="41" t="str">
        <f>HYPERLINK("http://ictvonline.org/taxonomy/p/taxonomy-history?taxnode_id=20183007","ICTVonline=20183007")</f>
        <v>ICTVonline=20183007</v>
      </c>
    </row>
    <row r="2891" spans="1:22">
      <c r="A2891" s="3">
        <v>2890</v>
      </c>
      <c r="L2891" s="1" t="s">
        <v>1972</v>
      </c>
      <c r="N2891" s="1" t="s">
        <v>2083</v>
      </c>
      <c r="P2891" s="1" t="s">
        <v>489</v>
      </c>
      <c r="Q2891" s="3">
        <v>0</v>
      </c>
      <c r="R2891" s="22" t="s">
        <v>2766</v>
      </c>
      <c r="S2891" s="22" t="s">
        <v>5097</v>
      </c>
      <c r="T2891" s="51">
        <v>24</v>
      </c>
      <c r="U2891" s="3" t="s">
        <v>5912</v>
      </c>
      <c r="V2891" s="41" t="str">
        <f>HYPERLINK("http://ictvonline.org/taxonomy/p/taxonomy-history?taxnode_id=20183008","ICTVonline=20183008")</f>
        <v>ICTVonline=20183008</v>
      </c>
    </row>
    <row r="2892" spans="1:22">
      <c r="A2892" s="3">
        <v>2891</v>
      </c>
      <c r="L2892" s="1" t="s">
        <v>1972</v>
      </c>
      <c r="N2892" s="1" t="s">
        <v>2083</v>
      </c>
      <c r="P2892" s="1" t="s">
        <v>2085</v>
      </c>
      <c r="Q2892" s="3">
        <v>0</v>
      </c>
      <c r="R2892" s="22" t="s">
        <v>2766</v>
      </c>
      <c r="S2892" s="22" t="s">
        <v>5097</v>
      </c>
      <c r="T2892" s="51">
        <v>17</v>
      </c>
      <c r="U2892" s="3" t="s">
        <v>5823</v>
      </c>
      <c r="V2892" s="41" t="str">
        <f>HYPERLINK("http://ictvonline.org/taxonomy/p/taxonomy-history?taxnode_id=20183009","ICTVonline=20183009")</f>
        <v>ICTVonline=20183009</v>
      </c>
    </row>
    <row r="2893" spans="1:22">
      <c r="A2893" s="3">
        <v>2892</v>
      </c>
      <c r="L2893" s="1" t="s">
        <v>1972</v>
      </c>
      <c r="N2893" s="1" t="s">
        <v>2083</v>
      </c>
      <c r="P2893" s="1" t="s">
        <v>2241</v>
      </c>
      <c r="Q2893" s="3">
        <v>0</v>
      </c>
      <c r="R2893" s="22" t="s">
        <v>2766</v>
      </c>
      <c r="S2893" s="22" t="s">
        <v>5097</v>
      </c>
      <c r="T2893" s="51">
        <v>27</v>
      </c>
      <c r="U2893" s="3" t="s">
        <v>5913</v>
      </c>
      <c r="V2893" s="41" t="str">
        <f>HYPERLINK("http://ictvonline.org/taxonomy/p/taxonomy-history?taxnode_id=20183010","ICTVonline=20183010")</f>
        <v>ICTVonline=20183010</v>
      </c>
    </row>
    <row r="2894" spans="1:22">
      <c r="A2894" s="3">
        <v>2893</v>
      </c>
      <c r="L2894" s="1" t="s">
        <v>1972</v>
      </c>
      <c r="N2894" s="1" t="s">
        <v>2083</v>
      </c>
      <c r="P2894" s="1" t="s">
        <v>1982</v>
      </c>
      <c r="Q2894" s="3">
        <v>0</v>
      </c>
      <c r="R2894" s="22" t="s">
        <v>2766</v>
      </c>
      <c r="S2894" s="22" t="s">
        <v>5097</v>
      </c>
      <c r="T2894" s="51">
        <v>17</v>
      </c>
      <c r="U2894" s="3" t="s">
        <v>5823</v>
      </c>
      <c r="V2894" s="41" t="str">
        <f>HYPERLINK("http://ictvonline.org/taxonomy/p/taxonomy-history?taxnode_id=20183011","ICTVonline=20183011")</f>
        <v>ICTVonline=20183011</v>
      </c>
    </row>
    <row r="2895" spans="1:22">
      <c r="A2895" s="3">
        <v>2894</v>
      </c>
      <c r="L2895" s="1" t="s">
        <v>1972</v>
      </c>
      <c r="N2895" s="1" t="s">
        <v>2083</v>
      </c>
      <c r="P2895" s="1" t="s">
        <v>1983</v>
      </c>
      <c r="Q2895" s="3">
        <v>1</v>
      </c>
      <c r="R2895" s="22" t="s">
        <v>2766</v>
      </c>
      <c r="S2895" s="22" t="s">
        <v>5099</v>
      </c>
      <c r="T2895" s="51">
        <v>16</v>
      </c>
      <c r="U2895" s="3" t="s">
        <v>5884</v>
      </c>
      <c r="V2895" s="41" t="str">
        <f>HYPERLINK("http://ictvonline.org/taxonomy/p/taxonomy-history?taxnode_id=20183012","ICTVonline=20183012")</f>
        <v>ICTVonline=20183012</v>
      </c>
    </row>
    <row r="2896" spans="1:22">
      <c r="A2896" s="3">
        <v>2895</v>
      </c>
      <c r="L2896" s="1" t="s">
        <v>1972</v>
      </c>
      <c r="N2896" s="1" t="s">
        <v>2083</v>
      </c>
      <c r="P2896" s="1" t="s">
        <v>1984</v>
      </c>
      <c r="Q2896" s="3">
        <v>0</v>
      </c>
      <c r="R2896" s="22" t="s">
        <v>2766</v>
      </c>
      <c r="S2896" s="22" t="s">
        <v>5097</v>
      </c>
      <c r="T2896" s="51">
        <v>24</v>
      </c>
      <c r="U2896" s="3" t="s">
        <v>5914</v>
      </c>
      <c r="V2896" s="41" t="str">
        <f>HYPERLINK("http://ictvonline.org/taxonomy/p/taxonomy-history?taxnode_id=20183013","ICTVonline=20183013")</f>
        <v>ICTVonline=20183013</v>
      </c>
    </row>
    <row r="2897" spans="1:22">
      <c r="A2897" s="3">
        <v>2896</v>
      </c>
      <c r="L2897" s="1" t="s">
        <v>1972</v>
      </c>
      <c r="N2897" s="1" t="s">
        <v>2083</v>
      </c>
      <c r="P2897" s="1" t="s">
        <v>1985</v>
      </c>
      <c r="Q2897" s="3">
        <v>0</v>
      </c>
      <c r="R2897" s="22" t="s">
        <v>2766</v>
      </c>
      <c r="S2897" s="22" t="s">
        <v>5097</v>
      </c>
      <c r="T2897" s="51">
        <v>24</v>
      </c>
      <c r="U2897" s="3" t="s">
        <v>5915</v>
      </c>
      <c r="V2897" s="41" t="str">
        <f>HYPERLINK("http://ictvonline.org/taxonomy/p/taxonomy-history?taxnode_id=20183014","ICTVonline=20183014")</f>
        <v>ICTVonline=20183014</v>
      </c>
    </row>
    <row r="2898" spans="1:22">
      <c r="A2898" s="3">
        <v>2897</v>
      </c>
      <c r="L2898" s="1" t="s">
        <v>1972</v>
      </c>
      <c r="N2898" s="1" t="s">
        <v>2083</v>
      </c>
      <c r="P2898" s="1" t="s">
        <v>486</v>
      </c>
      <c r="Q2898" s="3">
        <v>0</v>
      </c>
      <c r="R2898" s="22" t="s">
        <v>2766</v>
      </c>
      <c r="S2898" s="22" t="s">
        <v>5097</v>
      </c>
      <c r="T2898" s="51">
        <v>17</v>
      </c>
      <c r="U2898" s="3" t="s">
        <v>5823</v>
      </c>
      <c r="V2898" s="41" t="str">
        <f>HYPERLINK("http://ictvonline.org/taxonomy/p/taxonomy-history?taxnode_id=20183015","ICTVonline=20183015")</f>
        <v>ICTVonline=20183015</v>
      </c>
    </row>
    <row r="2899" spans="1:22">
      <c r="A2899" s="3">
        <v>2898</v>
      </c>
      <c r="L2899" s="1" t="s">
        <v>1972</v>
      </c>
      <c r="N2899" s="1" t="s">
        <v>2083</v>
      </c>
      <c r="P2899" s="1" t="s">
        <v>4836</v>
      </c>
      <c r="Q2899" s="3">
        <v>0</v>
      </c>
      <c r="R2899" s="22" t="s">
        <v>2766</v>
      </c>
      <c r="S2899" s="22" t="s">
        <v>5097</v>
      </c>
      <c r="T2899" s="51">
        <v>31</v>
      </c>
      <c r="U2899" s="3" t="s">
        <v>5910</v>
      </c>
      <c r="V2899" s="41" t="str">
        <f>HYPERLINK("http://ictvonline.org/taxonomy/p/taxonomy-history?taxnode_id=20183016","ICTVonline=20183016")</f>
        <v>ICTVonline=20183016</v>
      </c>
    </row>
    <row r="2900" spans="1:22">
      <c r="A2900" s="3">
        <v>2899</v>
      </c>
      <c r="L2900" s="1" t="s">
        <v>1972</v>
      </c>
      <c r="N2900" s="1" t="s">
        <v>2083</v>
      </c>
      <c r="P2900" s="1" t="s">
        <v>487</v>
      </c>
      <c r="Q2900" s="3">
        <v>0</v>
      </c>
      <c r="R2900" s="22" t="s">
        <v>2766</v>
      </c>
      <c r="S2900" s="22" t="s">
        <v>5097</v>
      </c>
      <c r="T2900" s="51">
        <v>17</v>
      </c>
      <c r="U2900" s="3" t="s">
        <v>5823</v>
      </c>
      <c r="V2900" s="41" t="str">
        <f>HYPERLINK("http://ictvonline.org/taxonomy/p/taxonomy-history?taxnode_id=20183017","ICTVonline=20183017")</f>
        <v>ICTVonline=20183017</v>
      </c>
    </row>
    <row r="2901" spans="1:22">
      <c r="A2901" s="3">
        <v>2900</v>
      </c>
      <c r="L2901" s="1" t="s">
        <v>1972</v>
      </c>
      <c r="N2901" s="1" t="s">
        <v>2083</v>
      </c>
      <c r="P2901" s="1" t="s">
        <v>1569</v>
      </c>
      <c r="Q2901" s="3">
        <v>0</v>
      </c>
      <c r="R2901" s="22" t="s">
        <v>2766</v>
      </c>
      <c r="S2901" s="22" t="s">
        <v>5097</v>
      </c>
      <c r="T2901" s="51">
        <v>17</v>
      </c>
      <c r="U2901" s="3" t="s">
        <v>5823</v>
      </c>
      <c r="V2901" s="41" t="str">
        <f>HYPERLINK("http://ictvonline.org/taxonomy/p/taxonomy-history?taxnode_id=20183018","ICTVonline=20183018")</f>
        <v>ICTVonline=20183018</v>
      </c>
    </row>
    <row r="2902" spans="1:22">
      <c r="A2902" s="3">
        <v>2901</v>
      </c>
      <c r="L2902" s="1" t="s">
        <v>1972</v>
      </c>
      <c r="N2902" s="1" t="s">
        <v>2394</v>
      </c>
      <c r="P2902" s="1" t="s">
        <v>4838</v>
      </c>
      <c r="Q2902" s="3">
        <v>0</v>
      </c>
      <c r="R2902" s="22" t="s">
        <v>2766</v>
      </c>
      <c r="S2902" s="22" t="s">
        <v>5097</v>
      </c>
      <c r="T2902" s="51">
        <v>31</v>
      </c>
      <c r="U2902" s="3" t="s">
        <v>5910</v>
      </c>
      <c r="V2902" s="41" t="str">
        <f>HYPERLINK("http://ictvonline.org/taxonomy/p/taxonomy-history?taxnode_id=20183027","ICTVonline=20183027")</f>
        <v>ICTVonline=20183027</v>
      </c>
    </row>
    <row r="2903" spans="1:22">
      <c r="A2903" s="3">
        <v>2902</v>
      </c>
      <c r="L2903" s="1" t="s">
        <v>1972</v>
      </c>
      <c r="N2903" s="1" t="s">
        <v>2394</v>
      </c>
      <c r="P2903" s="1" t="s">
        <v>2395</v>
      </c>
      <c r="Q2903" s="3">
        <v>0</v>
      </c>
      <c r="R2903" s="22" t="s">
        <v>2766</v>
      </c>
      <c r="S2903" s="22" t="s">
        <v>5097</v>
      </c>
      <c r="T2903" s="51">
        <v>28</v>
      </c>
      <c r="U2903" s="3" t="s">
        <v>5918</v>
      </c>
      <c r="V2903" s="41" t="str">
        <f>HYPERLINK("http://ictvonline.org/taxonomy/p/taxonomy-history?taxnode_id=20183028","ICTVonline=20183028")</f>
        <v>ICTVonline=20183028</v>
      </c>
    </row>
    <row r="2904" spans="1:22">
      <c r="A2904" s="3">
        <v>2903</v>
      </c>
      <c r="L2904" s="1" t="s">
        <v>1972</v>
      </c>
      <c r="N2904" s="1" t="s">
        <v>2394</v>
      </c>
      <c r="P2904" s="1" t="s">
        <v>3882</v>
      </c>
      <c r="Q2904" s="3">
        <v>0</v>
      </c>
      <c r="R2904" s="22" t="s">
        <v>2766</v>
      </c>
      <c r="S2904" s="22" t="s">
        <v>5097</v>
      </c>
      <c r="T2904" s="51">
        <v>30</v>
      </c>
      <c r="U2904" s="3" t="s">
        <v>5901</v>
      </c>
      <c r="V2904" s="41" t="str">
        <f>HYPERLINK("http://ictvonline.org/taxonomy/p/taxonomy-history?taxnode_id=20183029","ICTVonline=20183029")</f>
        <v>ICTVonline=20183029</v>
      </c>
    </row>
    <row r="2905" spans="1:22">
      <c r="A2905" s="3">
        <v>2904</v>
      </c>
      <c r="L2905" s="1" t="s">
        <v>1972</v>
      </c>
      <c r="N2905" s="1" t="s">
        <v>2394</v>
      </c>
      <c r="P2905" s="1" t="s">
        <v>3883</v>
      </c>
      <c r="Q2905" s="3">
        <v>0</v>
      </c>
      <c r="R2905" s="22" t="s">
        <v>2766</v>
      </c>
      <c r="S2905" s="22" t="s">
        <v>5097</v>
      </c>
      <c r="T2905" s="51">
        <v>30</v>
      </c>
      <c r="U2905" s="3" t="s">
        <v>5901</v>
      </c>
      <c r="V2905" s="41" t="str">
        <f>HYPERLINK("http://ictvonline.org/taxonomy/p/taxonomy-history?taxnode_id=20183030","ICTVonline=20183030")</f>
        <v>ICTVonline=20183030</v>
      </c>
    </row>
    <row r="2906" spans="1:22">
      <c r="A2906" s="3">
        <v>2905</v>
      </c>
      <c r="L2906" s="1" t="s">
        <v>1972</v>
      </c>
      <c r="N2906" s="1" t="s">
        <v>2394</v>
      </c>
      <c r="P2906" s="1" t="s">
        <v>3884</v>
      </c>
      <c r="Q2906" s="3">
        <v>0</v>
      </c>
      <c r="R2906" s="22" t="s">
        <v>2766</v>
      </c>
      <c r="S2906" s="22" t="s">
        <v>5097</v>
      </c>
      <c r="T2906" s="51">
        <v>30</v>
      </c>
      <c r="U2906" s="3" t="s">
        <v>5901</v>
      </c>
      <c r="V2906" s="41" t="str">
        <f>HYPERLINK("http://ictvonline.org/taxonomy/p/taxonomy-history?taxnode_id=20183031","ICTVonline=20183031")</f>
        <v>ICTVonline=20183031</v>
      </c>
    </row>
    <row r="2907" spans="1:22">
      <c r="A2907" s="3">
        <v>2906</v>
      </c>
      <c r="L2907" s="1" t="s">
        <v>1972</v>
      </c>
      <c r="N2907" s="1" t="s">
        <v>2394</v>
      </c>
      <c r="P2907" s="1" t="s">
        <v>2163</v>
      </c>
      <c r="Q2907" s="3">
        <v>1</v>
      </c>
      <c r="R2907" s="22" t="s">
        <v>2766</v>
      </c>
      <c r="S2907" s="22" t="s">
        <v>5099</v>
      </c>
      <c r="T2907" s="51">
        <v>28</v>
      </c>
      <c r="U2907" s="3" t="s">
        <v>5918</v>
      </c>
      <c r="V2907" s="41" t="str">
        <f>HYPERLINK("http://ictvonline.org/taxonomy/p/taxonomy-history?taxnode_id=20183032","ICTVonline=20183032")</f>
        <v>ICTVonline=20183032</v>
      </c>
    </row>
    <row r="2908" spans="1:22">
      <c r="A2908" s="3">
        <v>2907</v>
      </c>
      <c r="L2908" s="1" t="s">
        <v>1972</v>
      </c>
      <c r="N2908" s="1" t="s">
        <v>2394</v>
      </c>
      <c r="P2908" s="1" t="s">
        <v>2164</v>
      </c>
      <c r="Q2908" s="3">
        <v>0</v>
      </c>
      <c r="R2908" s="22" t="s">
        <v>2766</v>
      </c>
      <c r="S2908" s="22" t="s">
        <v>5099</v>
      </c>
      <c r="T2908" s="51">
        <v>28</v>
      </c>
      <c r="U2908" s="3" t="s">
        <v>5918</v>
      </c>
      <c r="V2908" s="41" t="str">
        <f>HYPERLINK("http://ictvonline.org/taxonomy/p/taxonomy-history?taxnode_id=20183033","ICTVonline=20183033")</f>
        <v>ICTVonline=20183033</v>
      </c>
    </row>
    <row r="2909" spans="1:22">
      <c r="A2909" s="3">
        <v>2908</v>
      </c>
      <c r="L2909" s="1" t="s">
        <v>1972</v>
      </c>
      <c r="P2909" s="1" t="s">
        <v>2162</v>
      </c>
      <c r="Q2909" s="3">
        <v>0</v>
      </c>
      <c r="R2909" s="22" t="s">
        <v>2766</v>
      </c>
      <c r="S2909" s="22" t="s">
        <v>5097</v>
      </c>
      <c r="T2909" s="51">
        <v>26</v>
      </c>
      <c r="U2909" s="3" t="s">
        <v>5916</v>
      </c>
      <c r="V2909" s="41" t="str">
        <f>HYPERLINK("http://ictvonline.org/taxonomy/p/taxonomy-history?taxnode_id=20183020","ICTVonline=20183020")</f>
        <v>ICTVonline=20183020</v>
      </c>
    </row>
    <row r="2910" spans="1:22">
      <c r="A2910" s="3">
        <v>2909</v>
      </c>
      <c r="L2910" s="1" t="s">
        <v>1972</v>
      </c>
      <c r="P2910" s="1" t="s">
        <v>3881</v>
      </c>
      <c r="Q2910" s="3">
        <v>0</v>
      </c>
      <c r="R2910" s="22" t="s">
        <v>2766</v>
      </c>
      <c r="S2910" s="22" t="s">
        <v>5097</v>
      </c>
      <c r="T2910" s="51">
        <v>30</v>
      </c>
      <c r="U2910" s="3" t="s">
        <v>5901</v>
      </c>
      <c r="V2910" s="41" t="str">
        <f>HYPERLINK("http://ictvonline.org/taxonomy/p/taxonomy-history?taxnode_id=20183021","ICTVonline=20183021")</f>
        <v>ICTVonline=20183021</v>
      </c>
    </row>
    <row r="2911" spans="1:22">
      <c r="A2911" s="3">
        <v>2910</v>
      </c>
      <c r="L2911" s="1" t="s">
        <v>1972</v>
      </c>
      <c r="P2911" s="1" t="s">
        <v>2165</v>
      </c>
      <c r="Q2911" s="3">
        <v>0</v>
      </c>
      <c r="R2911" s="22" t="s">
        <v>2766</v>
      </c>
      <c r="S2911" s="22" t="s">
        <v>5097</v>
      </c>
      <c r="T2911" s="51">
        <v>26</v>
      </c>
      <c r="U2911" s="3" t="s">
        <v>5916</v>
      </c>
      <c r="V2911" s="41" t="str">
        <f>HYPERLINK("http://ictvonline.org/taxonomy/p/taxonomy-history?taxnode_id=20183022","ICTVonline=20183022")</f>
        <v>ICTVonline=20183022</v>
      </c>
    </row>
    <row r="2912" spans="1:22">
      <c r="A2912" s="3">
        <v>2911</v>
      </c>
      <c r="L2912" s="1" t="s">
        <v>1972</v>
      </c>
      <c r="P2912" s="1" t="s">
        <v>1570</v>
      </c>
      <c r="Q2912" s="3">
        <v>0</v>
      </c>
      <c r="R2912" s="22" t="s">
        <v>2766</v>
      </c>
      <c r="S2912" s="22" t="s">
        <v>5097</v>
      </c>
      <c r="T2912" s="51">
        <v>24</v>
      </c>
      <c r="U2912" s="3" t="s">
        <v>5917</v>
      </c>
      <c r="V2912" s="41" t="str">
        <f>HYPERLINK("http://ictvonline.org/taxonomy/p/taxonomy-history?taxnode_id=20183023","ICTVonline=20183023")</f>
        <v>ICTVonline=20183023</v>
      </c>
    </row>
    <row r="2913" spans="1:22">
      <c r="A2913" s="3">
        <v>2912</v>
      </c>
      <c r="L2913" s="1" t="s">
        <v>1972</v>
      </c>
      <c r="P2913" s="1" t="s">
        <v>2166</v>
      </c>
      <c r="Q2913" s="3">
        <v>0</v>
      </c>
      <c r="R2913" s="22" t="s">
        <v>2766</v>
      </c>
      <c r="S2913" s="22" t="s">
        <v>5097</v>
      </c>
      <c r="T2913" s="51">
        <v>26</v>
      </c>
      <c r="U2913" s="3" t="s">
        <v>5916</v>
      </c>
      <c r="V2913" s="41" t="str">
        <f>HYPERLINK("http://ictvonline.org/taxonomy/p/taxonomy-history?taxnode_id=20183024","ICTVonline=20183024")</f>
        <v>ICTVonline=20183024</v>
      </c>
    </row>
    <row r="2914" spans="1:22">
      <c r="A2914" s="3">
        <v>2913</v>
      </c>
      <c r="L2914" s="1" t="s">
        <v>1972</v>
      </c>
      <c r="P2914" s="1" t="s">
        <v>4837</v>
      </c>
      <c r="Q2914" s="3">
        <v>0</v>
      </c>
      <c r="R2914" s="22" t="s">
        <v>2766</v>
      </c>
      <c r="S2914" s="22" t="s">
        <v>5097</v>
      </c>
      <c r="T2914" s="51">
        <v>31</v>
      </c>
      <c r="U2914" s="3" t="s">
        <v>5910</v>
      </c>
      <c r="V2914" s="41" t="str">
        <f>HYPERLINK("http://ictvonline.org/taxonomy/p/taxonomy-history?taxnode_id=20183025","ICTVonline=20183025")</f>
        <v>ICTVonline=20183025</v>
      </c>
    </row>
    <row r="2915" spans="1:22">
      <c r="A2915" s="3">
        <v>2914</v>
      </c>
      <c r="L2915" s="1" t="s">
        <v>2086</v>
      </c>
      <c r="N2915" s="1" t="s">
        <v>2087</v>
      </c>
      <c r="P2915" s="1" t="s">
        <v>3885</v>
      </c>
      <c r="Q2915" s="3">
        <v>1</v>
      </c>
      <c r="R2915" s="22" t="s">
        <v>2764</v>
      </c>
      <c r="S2915" s="22" t="s">
        <v>5100</v>
      </c>
      <c r="T2915" s="51">
        <v>30</v>
      </c>
      <c r="U2915" s="3" t="s">
        <v>5216</v>
      </c>
      <c r="V2915" s="41" t="str">
        <f>HYPERLINK("http://ictvonline.org/taxonomy/p/taxonomy-history?taxnode_id=20183037","ICTVonline=20183037")</f>
        <v>ICTVonline=20183037</v>
      </c>
    </row>
    <row r="2916" spans="1:22">
      <c r="A2916" s="3">
        <v>2915</v>
      </c>
      <c r="L2916" s="1" t="s">
        <v>2089</v>
      </c>
      <c r="N2916" s="1" t="s">
        <v>2094</v>
      </c>
      <c r="P2916" s="1" t="s">
        <v>3886</v>
      </c>
      <c r="Q2916" s="3">
        <v>1</v>
      </c>
      <c r="R2916" s="22" t="s">
        <v>2768</v>
      </c>
      <c r="S2916" s="22" t="s">
        <v>5100</v>
      </c>
      <c r="T2916" s="51">
        <v>30</v>
      </c>
      <c r="U2916" s="3" t="s">
        <v>5216</v>
      </c>
      <c r="V2916" s="41" t="str">
        <f>HYPERLINK("http://ictvonline.org/taxonomy/p/taxonomy-history?taxnode_id=20183041","ICTVonline=20183041")</f>
        <v>ICTVonline=20183041</v>
      </c>
    </row>
    <row r="2917" spans="1:22">
      <c r="A2917" s="3">
        <v>2916</v>
      </c>
      <c r="L2917" s="1" t="s">
        <v>2089</v>
      </c>
      <c r="N2917" s="1" t="s">
        <v>2094</v>
      </c>
      <c r="P2917" s="1" t="s">
        <v>5919</v>
      </c>
      <c r="Q2917" s="3">
        <v>0</v>
      </c>
      <c r="R2917" s="22" t="s">
        <v>2768</v>
      </c>
      <c r="S2917" s="22" t="s">
        <v>5097</v>
      </c>
      <c r="T2917" s="51">
        <v>32</v>
      </c>
      <c r="U2917" s="3" t="s">
        <v>5920</v>
      </c>
      <c r="V2917" s="41" t="str">
        <f>HYPERLINK("http://ictvonline.org/taxonomy/p/taxonomy-history?taxnode_id=20185775","ICTVonline=20185775")</f>
        <v>ICTVonline=20185775</v>
      </c>
    </row>
    <row r="2918" spans="1:22">
      <c r="A2918" s="3">
        <v>2917</v>
      </c>
      <c r="L2918" s="1" t="s">
        <v>2089</v>
      </c>
      <c r="N2918" s="1" t="s">
        <v>2094</v>
      </c>
      <c r="P2918" s="1" t="s">
        <v>5921</v>
      </c>
      <c r="Q2918" s="3">
        <v>0</v>
      </c>
      <c r="R2918" s="22" t="s">
        <v>2768</v>
      </c>
      <c r="S2918" s="22" t="s">
        <v>5097</v>
      </c>
      <c r="T2918" s="51">
        <v>32</v>
      </c>
      <c r="U2918" s="3" t="s">
        <v>5920</v>
      </c>
      <c r="V2918" s="41" t="str">
        <f>HYPERLINK("http://ictvonline.org/taxonomy/p/taxonomy-history?taxnode_id=20185772","ICTVonline=20185772")</f>
        <v>ICTVonline=20185772</v>
      </c>
    </row>
    <row r="2919" spans="1:22">
      <c r="A2919" s="3">
        <v>2918</v>
      </c>
      <c r="L2919" s="1" t="s">
        <v>2089</v>
      </c>
      <c r="N2919" s="1" t="s">
        <v>2094</v>
      </c>
      <c r="P2919" s="1" t="s">
        <v>5922</v>
      </c>
      <c r="Q2919" s="3">
        <v>0</v>
      </c>
      <c r="R2919" s="22" t="s">
        <v>2768</v>
      </c>
      <c r="S2919" s="22" t="s">
        <v>5097</v>
      </c>
      <c r="T2919" s="51">
        <v>32</v>
      </c>
      <c r="U2919" s="3" t="s">
        <v>5920</v>
      </c>
      <c r="V2919" s="41" t="str">
        <f>HYPERLINK("http://ictvonline.org/taxonomy/p/taxonomy-history?taxnode_id=20185773","ICTVonline=20185773")</f>
        <v>ICTVonline=20185773</v>
      </c>
    </row>
    <row r="2920" spans="1:22">
      <c r="A2920" s="3">
        <v>2919</v>
      </c>
      <c r="L2920" s="1" t="s">
        <v>2089</v>
      </c>
      <c r="N2920" s="1" t="s">
        <v>2094</v>
      </c>
      <c r="P2920" s="1" t="s">
        <v>5923</v>
      </c>
      <c r="Q2920" s="3">
        <v>0</v>
      </c>
      <c r="R2920" s="22" t="s">
        <v>2768</v>
      </c>
      <c r="S2920" s="22" t="s">
        <v>5097</v>
      </c>
      <c r="T2920" s="51">
        <v>32</v>
      </c>
      <c r="U2920" s="3" t="s">
        <v>5920</v>
      </c>
      <c r="V2920" s="41" t="str">
        <f>HYPERLINK("http://ictvonline.org/taxonomy/p/taxonomy-history?taxnode_id=20185774","ICTVonline=20185774")</f>
        <v>ICTVonline=20185774</v>
      </c>
    </row>
    <row r="2921" spans="1:22">
      <c r="A2921" s="3">
        <v>2920</v>
      </c>
      <c r="L2921" s="1" t="s">
        <v>2089</v>
      </c>
      <c r="N2921" s="1" t="s">
        <v>2094</v>
      </c>
      <c r="P2921" s="1" t="s">
        <v>5924</v>
      </c>
      <c r="Q2921" s="3">
        <v>0</v>
      </c>
      <c r="R2921" s="22" t="s">
        <v>2768</v>
      </c>
      <c r="S2921" s="22" t="s">
        <v>5097</v>
      </c>
      <c r="T2921" s="51">
        <v>32</v>
      </c>
      <c r="U2921" s="3" t="s">
        <v>5920</v>
      </c>
      <c r="V2921" s="41" t="str">
        <f>HYPERLINK("http://ictvonline.org/taxonomy/p/taxonomy-history?taxnode_id=20185776","ICTVonline=20185776")</f>
        <v>ICTVonline=20185776</v>
      </c>
    </row>
    <row r="2922" spans="1:22">
      <c r="A2922" s="3">
        <v>2921</v>
      </c>
      <c r="L2922" s="1" t="s">
        <v>2089</v>
      </c>
      <c r="N2922" s="1" t="s">
        <v>2094</v>
      </c>
      <c r="P2922" s="1" t="s">
        <v>5925</v>
      </c>
      <c r="Q2922" s="3">
        <v>0</v>
      </c>
      <c r="R2922" s="22" t="s">
        <v>2768</v>
      </c>
      <c r="S2922" s="22" t="s">
        <v>5097</v>
      </c>
      <c r="T2922" s="51">
        <v>32</v>
      </c>
      <c r="U2922" s="3" t="s">
        <v>5920</v>
      </c>
      <c r="V2922" s="41" t="str">
        <f>HYPERLINK("http://ictvonline.org/taxonomy/p/taxonomy-history?taxnode_id=20185777","ICTVonline=20185777")</f>
        <v>ICTVonline=20185777</v>
      </c>
    </row>
    <row r="2923" spans="1:22">
      <c r="A2923" s="3">
        <v>2922</v>
      </c>
      <c r="L2923" s="1" t="s">
        <v>1649</v>
      </c>
      <c r="N2923" s="1" t="s">
        <v>4212</v>
      </c>
      <c r="P2923" s="1" t="s">
        <v>4213</v>
      </c>
      <c r="Q2923" s="3">
        <v>0</v>
      </c>
      <c r="R2923" s="22" t="s">
        <v>2768</v>
      </c>
      <c r="S2923" s="22" t="s">
        <v>5098</v>
      </c>
      <c r="T2923" s="51">
        <v>31</v>
      </c>
      <c r="U2923" s="3" t="s">
        <v>5926</v>
      </c>
      <c r="V2923" s="41" t="str">
        <f>HYPERLINK("http://ictvonline.org/taxonomy/p/taxonomy-history?taxnode_id=20183045","ICTVonline=20183045")</f>
        <v>ICTVonline=20183045</v>
      </c>
    </row>
    <row r="2924" spans="1:22">
      <c r="A2924" s="3">
        <v>2923</v>
      </c>
      <c r="L2924" s="1" t="s">
        <v>1649</v>
      </c>
      <c r="N2924" s="1" t="s">
        <v>4212</v>
      </c>
      <c r="P2924" s="1" t="s">
        <v>4214</v>
      </c>
      <c r="Q2924" s="3">
        <v>0</v>
      </c>
      <c r="R2924" s="22" t="s">
        <v>2768</v>
      </c>
      <c r="S2924" s="22" t="s">
        <v>5098</v>
      </c>
      <c r="T2924" s="51">
        <v>31</v>
      </c>
      <c r="U2924" s="3" t="s">
        <v>5926</v>
      </c>
      <c r="V2924" s="41" t="str">
        <f>HYPERLINK("http://ictvonline.org/taxonomy/p/taxonomy-history?taxnode_id=20183046","ICTVonline=20183046")</f>
        <v>ICTVonline=20183046</v>
      </c>
    </row>
    <row r="2925" spans="1:22">
      <c r="A2925" s="3">
        <v>2924</v>
      </c>
      <c r="L2925" s="1" t="s">
        <v>1649</v>
      </c>
      <c r="N2925" s="1" t="s">
        <v>4212</v>
      </c>
      <c r="P2925" s="1" t="s">
        <v>4839</v>
      </c>
      <c r="Q2925" s="3">
        <v>0</v>
      </c>
      <c r="R2925" s="22" t="s">
        <v>2768</v>
      </c>
      <c r="S2925" s="22" t="s">
        <v>5097</v>
      </c>
      <c r="T2925" s="51">
        <v>31</v>
      </c>
      <c r="U2925" s="3" t="s">
        <v>5927</v>
      </c>
      <c r="V2925" s="41" t="str">
        <f>HYPERLINK("http://ictvonline.org/taxonomy/p/taxonomy-history?taxnode_id=20183047","ICTVonline=20183047")</f>
        <v>ICTVonline=20183047</v>
      </c>
    </row>
    <row r="2926" spans="1:22">
      <c r="A2926" s="3">
        <v>2925</v>
      </c>
      <c r="L2926" s="1" t="s">
        <v>1649</v>
      </c>
      <c r="N2926" s="1" t="s">
        <v>4212</v>
      </c>
      <c r="P2926" s="1" t="s">
        <v>4840</v>
      </c>
      <c r="Q2926" s="3">
        <v>0</v>
      </c>
      <c r="R2926" s="22" t="s">
        <v>2768</v>
      </c>
      <c r="S2926" s="22" t="s">
        <v>5097</v>
      </c>
      <c r="T2926" s="51">
        <v>31</v>
      </c>
      <c r="U2926" s="3" t="s">
        <v>5927</v>
      </c>
      <c r="V2926" s="41" t="str">
        <f>HYPERLINK("http://ictvonline.org/taxonomy/p/taxonomy-history?taxnode_id=20183048","ICTVonline=20183048")</f>
        <v>ICTVonline=20183048</v>
      </c>
    </row>
    <row r="2927" spans="1:22">
      <c r="A2927" s="3">
        <v>2926</v>
      </c>
      <c r="L2927" s="1" t="s">
        <v>1649</v>
      </c>
      <c r="N2927" s="1" t="s">
        <v>4212</v>
      </c>
      <c r="P2927" s="1" t="s">
        <v>4841</v>
      </c>
      <c r="Q2927" s="3">
        <v>0</v>
      </c>
      <c r="R2927" s="22" t="s">
        <v>2768</v>
      </c>
      <c r="S2927" s="22" t="s">
        <v>5097</v>
      </c>
      <c r="T2927" s="51">
        <v>31</v>
      </c>
      <c r="U2927" s="3" t="s">
        <v>5927</v>
      </c>
      <c r="V2927" s="41" t="str">
        <f>HYPERLINK("http://ictvonline.org/taxonomy/p/taxonomy-history?taxnode_id=20183049","ICTVonline=20183049")</f>
        <v>ICTVonline=20183049</v>
      </c>
    </row>
    <row r="2928" spans="1:22">
      <c r="A2928" s="3">
        <v>2927</v>
      </c>
      <c r="L2928" s="1" t="s">
        <v>1649</v>
      </c>
      <c r="N2928" s="1" t="s">
        <v>4212</v>
      </c>
      <c r="P2928" s="1" t="s">
        <v>4215</v>
      </c>
      <c r="Q2928" s="3">
        <v>0</v>
      </c>
      <c r="R2928" s="22" t="s">
        <v>2768</v>
      </c>
      <c r="S2928" s="22" t="s">
        <v>5098</v>
      </c>
      <c r="T2928" s="51">
        <v>31</v>
      </c>
      <c r="U2928" s="3" t="s">
        <v>5926</v>
      </c>
      <c r="V2928" s="41" t="str">
        <f>HYPERLINK("http://ictvonline.org/taxonomy/p/taxonomy-history?taxnode_id=20183050","ICTVonline=20183050")</f>
        <v>ICTVonline=20183050</v>
      </c>
    </row>
    <row r="2929" spans="1:22">
      <c r="A2929" s="3">
        <v>2928</v>
      </c>
      <c r="L2929" s="1" t="s">
        <v>1649</v>
      </c>
      <c r="N2929" s="1" t="s">
        <v>4212</v>
      </c>
      <c r="P2929" s="1" t="s">
        <v>4842</v>
      </c>
      <c r="Q2929" s="3">
        <v>0</v>
      </c>
      <c r="R2929" s="22" t="s">
        <v>2768</v>
      </c>
      <c r="S2929" s="22" t="s">
        <v>5097</v>
      </c>
      <c r="T2929" s="51">
        <v>31</v>
      </c>
      <c r="U2929" s="3" t="s">
        <v>5927</v>
      </c>
      <c r="V2929" s="41" t="str">
        <f>HYPERLINK("http://ictvonline.org/taxonomy/p/taxonomy-history?taxnode_id=20183051","ICTVonline=20183051")</f>
        <v>ICTVonline=20183051</v>
      </c>
    </row>
    <row r="2930" spans="1:22">
      <c r="A2930" s="3">
        <v>2929</v>
      </c>
      <c r="L2930" s="1" t="s">
        <v>1649</v>
      </c>
      <c r="N2930" s="1" t="s">
        <v>4212</v>
      </c>
      <c r="P2930" s="1" t="s">
        <v>4843</v>
      </c>
      <c r="Q2930" s="3">
        <v>0</v>
      </c>
      <c r="R2930" s="22" t="s">
        <v>2768</v>
      </c>
      <c r="S2930" s="22" t="s">
        <v>5097</v>
      </c>
      <c r="T2930" s="51">
        <v>31</v>
      </c>
      <c r="U2930" s="3" t="s">
        <v>5927</v>
      </c>
      <c r="V2930" s="41" t="str">
        <f>HYPERLINK("http://ictvonline.org/taxonomy/p/taxonomy-history?taxnode_id=20183052","ICTVonline=20183052")</f>
        <v>ICTVonline=20183052</v>
      </c>
    </row>
    <row r="2931" spans="1:22">
      <c r="A2931" s="3">
        <v>2930</v>
      </c>
      <c r="L2931" s="1" t="s">
        <v>1649</v>
      </c>
      <c r="N2931" s="1" t="s">
        <v>4212</v>
      </c>
      <c r="P2931" s="1" t="s">
        <v>4844</v>
      </c>
      <c r="Q2931" s="3">
        <v>0</v>
      </c>
      <c r="R2931" s="22" t="s">
        <v>2768</v>
      </c>
      <c r="S2931" s="22" t="s">
        <v>5097</v>
      </c>
      <c r="T2931" s="51">
        <v>31</v>
      </c>
      <c r="U2931" s="3" t="s">
        <v>5927</v>
      </c>
      <c r="V2931" s="41" t="str">
        <f>HYPERLINK("http://ictvonline.org/taxonomy/p/taxonomy-history?taxnode_id=20183053","ICTVonline=20183053")</f>
        <v>ICTVonline=20183053</v>
      </c>
    </row>
    <row r="2932" spans="1:22">
      <c r="A2932" s="3">
        <v>2931</v>
      </c>
      <c r="L2932" s="1" t="s">
        <v>1649</v>
      </c>
      <c r="N2932" s="1" t="s">
        <v>4212</v>
      </c>
      <c r="P2932" s="1" t="s">
        <v>4216</v>
      </c>
      <c r="Q2932" s="3">
        <v>0</v>
      </c>
      <c r="R2932" s="22" t="s">
        <v>2768</v>
      </c>
      <c r="S2932" s="22" t="s">
        <v>5098</v>
      </c>
      <c r="T2932" s="51">
        <v>31</v>
      </c>
      <c r="U2932" s="3" t="s">
        <v>5926</v>
      </c>
      <c r="V2932" s="41" t="str">
        <f>HYPERLINK("http://ictvonline.org/taxonomy/p/taxonomy-history?taxnode_id=20183054","ICTVonline=20183054")</f>
        <v>ICTVonline=20183054</v>
      </c>
    </row>
    <row r="2933" spans="1:22">
      <c r="A2933" s="3">
        <v>2932</v>
      </c>
      <c r="L2933" s="1" t="s">
        <v>1649</v>
      </c>
      <c r="N2933" s="1" t="s">
        <v>4212</v>
      </c>
      <c r="P2933" s="1" t="s">
        <v>4217</v>
      </c>
      <c r="Q2933" s="3">
        <v>1</v>
      </c>
      <c r="R2933" s="22" t="s">
        <v>2768</v>
      </c>
      <c r="S2933" s="22" t="s">
        <v>5098</v>
      </c>
      <c r="T2933" s="51">
        <v>31</v>
      </c>
      <c r="U2933" s="3" t="s">
        <v>5926</v>
      </c>
      <c r="V2933" s="41" t="str">
        <f>HYPERLINK("http://ictvonline.org/taxonomy/p/taxonomy-history?taxnode_id=20183055","ICTVonline=20183055")</f>
        <v>ICTVonline=20183055</v>
      </c>
    </row>
    <row r="2934" spans="1:22">
      <c r="A2934" s="3">
        <v>2933</v>
      </c>
      <c r="L2934" s="1" t="s">
        <v>1649</v>
      </c>
      <c r="N2934" s="1" t="s">
        <v>4212</v>
      </c>
      <c r="P2934" s="1" t="s">
        <v>4218</v>
      </c>
      <c r="Q2934" s="3">
        <v>0</v>
      </c>
      <c r="R2934" s="22" t="s">
        <v>2768</v>
      </c>
      <c r="S2934" s="22" t="s">
        <v>5098</v>
      </c>
      <c r="T2934" s="51">
        <v>31</v>
      </c>
      <c r="U2934" s="3" t="s">
        <v>5926</v>
      </c>
      <c r="V2934" s="41" t="str">
        <f>HYPERLINK("http://ictvonline.org/taxonomy/p/taxonomy-history?taxnode_id=20183056","ICTVonline=20183056")</f>
        <v>ICTVonline=20183056</v>
      </c>
    </row>
    <row r="2935" spans="1:22">
      <c r="A2935" s="3">
        <v>2934</v>
      </c>
      <c r="L2935" s="1" t="s">
        <v>1649</v>
      </c>
      <c r="N2935" s="1" t="s">
        <v>4212</v>
      </c>
      <c r="P2935" s="1" t="s">
        <v>4219</v>
      </c>
      <c r="Q2935" s="3">
        <v>0</v>
      </c>
      <c r="R2935" s="22" t="s">
        <v>2768</v>
      </c>
      <c r="S2935" s="22" t="s">
        <v>5098</v>
      </c>
      <c r="T2935" s="51">
        <v>31</v>
      </c>
      <c r="U2935" s="3" t="s">
        <v>5926</v>
      </c>
      <c r="V2935" s="41" t="str">
        <f>HYPERLINK("http://ictvonline.org/taxonomy/p/taxonomy-history?taxnode_id=20183057","ICTVonline=20183057")</f>
        <v>ICTVonline=20183057</v>
      </c>
    </row>
    <row r="2936" spans="1:22">
      <c r="A2936" s="3">
        <v>2935</v>
      </c>
      <c r="L2936" s="1" t="s">
        <v>1649</v>
      </c>
      <c r="N2936" s="1" t="s">
        <v>4212</v>
      </c>
      <c r="P2936" s="1" t="s">
        <v>4220</v>
      </c>
      <c r="Q2936" s="3">
        <v>0</v>
      </c>
      <c r="R2936" s="22" t="s">
        <v>2768</v>
      </c>
      <c r="S2936" s="22" t="s">
        <v>5098</v>
      </c>
      <c r="T2936" s="51">
        <v>31</v>
      </c>
      <c r="U2936" s="3" t="s">
        <v>5926</v>
      </c>
      <c r="V2936" s="41" t="str">
        <f>HYPERLINK("http://ictvonline.org/taxonomy/p/taxonomy-history?taxnode_id=20183058","ICTVonline=20183058")</f>
        <v>ICTVonline=20183058</v>
      </c>
    </row>
    <row r="2937" spans="1:22">
      <c r="A2937" s="3">
        <v>2936</v>
      </c>
      <c r="L2937" s="1" t="s">
        <v>1649</v>
      </c>
      <c r="N2937" s="1" t="s">
        <v>4212</v>
      </c>
      <c r="P2937" s="1" t="s">
        <v>4221</v>
      </c>
      <c r="Q2937" s="3">
        <v>0</v>
      </c>
      <c r="R2937" s="22" t="s">
        <v>2768</v>
      </c>
      <c r="S2937" s="22" t="s">
        <v>5098</v>
      </c>
      <c r="T2937" s="51">
        <v>31</v>
      </c>
      <c r="U2937" s="3" t="s">
        <v>5926</v>
      </c>
      <c r="V2937" s="41" t="str">
        <f>HYPERLINK("http://ictvonline.org/taxonomy/p/taxonomy-history?taxnode_id=20183059","ICTVonline=20183059")</f>
        <v>ICTVonline=20183059</v>
      </c>
    </row>
    <row r="2938" spans="1:22">
      <c r="A2938" s="3">
        <v>2937</v>
      </c>
      <c r="L2938" s="1" t="s">
        <v>1649</v>
      </c>
      <c r="N2938" s="1" t="s">
        <v>4212</v>
      </c>
      <c r="P2938" s="1" t="s">
        <v>4845</v>
      </c>
      <c r="Q2938" s="3">
        <v>0</v>
      </c>
      <c r="R2938" s="22" t="s">
        <v>2768</v>
      </c>
      <c r="S2938" s="22" t="s">
        <v>5097</v>
      </c>
      <c r="T2938" s="51">
        <v>31</v>
      </c>
      <c r="U2938" s="3" t="s">
        <v>5927</v>
      </c>
      <c r="V2938" s="41" t="str">
        <f>HYPERLINK("http://ictvonline.org/taxonomy/p/taxonomy-history?taxnode_id=20183060","ICTVonline=20183060")</f>
        <v>ICTVonline=20183060</v>
      </c>
    </row>
    <row r="2939" spans="1:22">
      <c r="A2939" s="3">
        <v>2938</v>
      </c>
      <c r="L2939" s="1" t="s">
        <v>1649</v>
      </c>
      <c r="N2939" s="1" t="s">
        <v>4212</v>
      </c>
      <c r="P2939" s="1" t="s">
        <v>4222</v>
      </c>
      <c r="Q2939" s="3">
        <v>0</v>
      </c>
      <c r="R2939" s="22" t="s">
        <v>2768</v>
      </c>
      <c r="S2939" s="22" t="s">
        <v>5098</v>
      </c>
      <c r="T2939" s="51">
        <v>31</v>
      </c>
      <c r="U2939" s="3" t="s">
        <v>5926</v>
      </c>
      <c r="V2939" s="41" t="str">
        <f>HYPERLINK("http://ictvonline.org/taxonomy/p/taxonomy-history?taxnode_id=20183061","ICTVonline=20183061")</f>
        <v>ICTVonline=20183061</v>
      </c>
    </row>
    <row r="2940" spans="1:22">
      <c r="A2940" s="3">
        <v>2939</v>
      </c>
      <c r="L2940" s="1" t="s">
        <v>1649</v>
      </c>
      <c r="N2940" s="1" t="s">
        <v>4212</v>
      </c>
      <c r="P2940" s="1" t="s">
        <v>5928</v>
      </c>
      <c r="Q2940" s="3">
        <v>0</v>
      </c>
      <c r="R2940" s="22" t="s">
        <v>2768</v>
      </c>
      <c r="S2940" s="22" t="s">
        <v>5097</v>
      </c>
      <c r="T2940" s="51">
        <v>32</v>
      </c>
      <c r="U2940" s="3" t="s">
        <v>5929</v>
      </c>
      <c r="V2940" s="41" t="str">
        <f>HYPERLINK("http://ictvonline.org/taxonomy/p/taxonomy-history?taxnode_id=20185778","ICTVonline=20185778")</f>
        <v>ICTVonline=20185778</v>
      </c>
    </row>
    <row r="2941" spans="1:22">
      <c r="A2941" s="3">
        <v>2940</v>
      </c>
      <c r="L2941" s="1" t="s">
        <v>1649</v>
      </c>
      <c r="N2941" s="1" t="s">
        <v>4212</v>
      </c>
      <c r="P2941" s="1" t="s">
        <v>4223</v>
      </c>
      <c r="Q2941" s="3">
        <v>0</v>
      </c>
      <c r="R2941" s="22" t="s">
        <v>2768</v>
      </c>
      <c r="S2941" s="22" t="s">
        <v>5098</v>
      </c>
      <c r="T2941" s="51">
        <v>31</v>
      </c>
      <c r="U2941" s="3" t="s">
        <v>5926</v>
      </c>
      <c r="V2941" s="41" t="str">
        <f>HYPERLINK("http://ictvonline.org/taxonomy/p/taxonomy-history?taxnode_id=20183062","ICTVonline=20183062")</f>
        <v>ICTVonline=20183062</v>
      </c>
    </row>
    <row r="2942" spans="1:22">
      <c r="A2942" s="3">
        <v>2941</v>
      </c>
      <c r="L2942" s="1" t="s">
        <v>1649</v>
      </c>
      <c r="N2942" s="1" t="s">
        <v>4252</v>
      </c>
      <c r="P2942" s="1" t="s">
        <v>4846</v>
      </c>
      <c r="Q2942" s="3">
        <v>0</v>
      </c>
      <c r="R2942" s="22" t="s">
        <v>2768</v>
      </c>
      <c r="S2942" s="22" t="s">
        <v>5097</v>
      </c>
      <c r="T2942" s="51">
        <v>31</v>
      </c>
      <c r="U2942" s="3" t="s">
        <v>5927</v>
      </c>
      <c r="V2942" s="41" t="str">
        <f>HYPERLINK("http://ictvonline.org/taxonomy/p/taxonomy-history?taxnode_id=20183064","ICTVonline=20183064")</f>
        <v>ICTVonline=20183064</v>
      </c>
    </row>
    <row r="2943" spans="1:22">
      <c r="A2943" s="3">
        <v>2942</v>
      </c>
      <c r="L2943" s="1" t="s">
        <v>1649</v>
      </c>
      <c r="N2943" s="1" t="s">
        <v>4252</v>
      </c>
      <c r="P2943" s="1" t="s">
        <v>5930</v>
      </c>
      <c r="Q2943" s="3">
        <v>0</v>
      </c>
      <c r="R2943" s="22" t="s">
        <v>2768</v>
      </c>
      <c r="S2943" s="22" t="s">
        <v>5097</v>
      </c>
      <c r="T2943" s="51">
        <v>32</v>
      </c>
      <c r="U2943" s="3" t="s">
        <v>5929</v>
      </c>
      <c r="V2943" s="41" t="str">
        <f>HYPERLINK("http://ictvonline.org/taxonomy/p/taxonomy-history?taxnode_id=20185779","ICTVonline=20185779")</f>
        <v>ICTVonline=20185779</v>
      </c>
    </row>
    <row r="2944" spans="1:22">
      <c r="A2944" s="3">
        <v>2943</v>
      </c>
      <c r="L2944" s="1" t="s">
        <v>1649</v>
      </c>
      <c r="N2944" s="1" t="s">
        <v>4252</v>
      </c>
      <c r="P2944" s="1" t="s">
        <v>4847</v>
      </c>
      <c r="Q2944" s="3">
        <v>0</v>
      </c>
      <c r="R2944" s="22" t="s">
        <v>2768</v>
      </c>
      <c r="S2944" s="22" t="s">
        <v>5097</v>
      </c>
      <c r="T2944" s="51">
        <v>31</v>
      </c>
      <c r="U2944" s="3" t="s">
        <v>5927</v>
      </c>
      <c r="V2944" s="41" t="str">
        <f>HYPERLINK("http://ictvonline.org/taxonomy/p/taxonomy-history?taxnode_id=20183065","ICTVonline=20183065")</f>
        <v>ICTVonline=20183065</v>
      </c>
    </row>
    <row r="2945" spans="1:22">
      <c r="A2945" s="3">
        <v>2944</v>
      </c>
      <c r="L2945" s="1" t="s">
        <v>1649</v>
      </c>
      <c r="N2945" s="1" t="s">
        <v>4252</v>
      </c>
      <c r="P2945" s="1" t="s">
        <v>4253</v>
      </c>
      <c r="Q2945" s="3">
        <v>1</v>
      </c>
      <c r="R2945" s="22" t="s">
        <v>2768</v>
      </c>
      <c r="S2945" s="22" t="s">
        <v>5098</v>
      </c>
      <c r="T2945" s="51">
        <v>31</v>
      </c>
      <c r="U2945" s="3" t="s">
        <v>5926</v>
      </c>
      <c r="V2945" s="41" t="str">
        <f>HYPERLINK("http://ictvonline.org/taxonomy/p/taxonomy-history?taxnode_id=20183066","ICTVonline=20183066")</f>
        <v>ICTVonline=20183066</v>
      </c>
    </row>
    <row r="2946" spans="1:22">
      <c r="A2946" s="3">
        <v>2945</v>
      </c>
      <c r="L2946" s="1" t="s">
        <v>1649</v>
      </c>
      <c r="N2946" s="1" t="s">
        <v>4252</v>
      </c>
      <c r="P2946" s="1" t="s">
        <v>4848</v>
      </c>
      <c r="Q2946" s="3">
        <v>0</v>
      </c>
      <c r="R2946" s="22" t="s">
        <v>2768</v>
      </c>
      <c r="S2946" s="22" t="s">
        <v>5097</v>
      </c>
      <c r="T2946" s="51">
        <v>31</v>
      </c>
      <c r="U2946" s="3" t="s">
        <v>5927</v>
      </c>
      <c r="V2946" s="41" t="str">
        <f>HYPERLINK("http://ictvonline.org/taxonomy/p/taxonomy-history?taxnode_id=20183067","ICTVonline=20183067")</f>
        <v>ICTVonline=20183067</v>
      </c>
    </row>
    <row r="2947" spans="1:22">
      <c r="A2947" s="3">
        <v>2946</v>
      </c>
      <c r="L2947" s="1" t="s">
        <v>1139</v>
      </c>
      <c r="N2947" s="1" t="s">
        <v>1140</v>
      </c>
      <c r="P2947" s="1" t="s">
        <v>1141</v>
      </c>
      <c r="Q2947" s="3">
        <v>0</v>
      </c>
      <c r="R2947" s="22" t="s">
        <v>2766</v>
      </c>
      <c r="S2947" s="22" t="s">
        <v>5099</v>
      </c>
      <c r="T2947" s="51">
        <v>9</v>
      </c>
      <c r="U2947" s="3" t="s">
        <v>5931</v>
      </c>
      <c r="V2947" s="41" t="str">
        <f>HYPERLINK("http://ictvonline.org/taxonomy/p/taxonomy-history?taxnode_id=20183071","ICTVonline=20183071")</f>
        <v>ICTVonline=20183071</v>
      </c>
    </row>
    <row r="2948" spans="1:22">
      <c r="A2948" s="3">
        <v>2947</v>
      </c>
      <c r="L2948" s="1" t="s">
        <v>1139</v>
      </c>
      <c r="N2948" s="1" t="s">
        <v>1140</v>
      </c>
      <c r="P2948" s="1" t="s">
        <v>1142</v>
      </c>
      <c r="Q2948" s="3">
        <v>0</v>
      </c>
      <c r="R2948" s="22" t="s">
        <v>2766</v>
      </c>
      <c r="S2948" s="22" t="s">
        <v>5097</v>
      </c>
      <c r="T2948" s="51">
        <v>18</v>
      </c>
      <c r="U2948" s="3" t="s">
        <v>5486</v>
      </c>
      <c r="V2948" s="41" t="str">
        <f>HYPERLINK("http://ictvonline.org/taxonomy/p/taxonomy-history?taxnode_id=20183072","ICTVonline=20183072")</f>
        <v>ICTVonline=20183072</v>
      </c>
    </row>
    <row r="2949" spans="1:22">
      <c r="A2949" s="3">
        <v>2948</v>
      </c>
      <c r="L2949" s="1" t="s">
        <v>1139</v>
      </c>
      <c r="N2949" s="1" t="s">
        <v>1140</v>
      </c>
      <c r="P2949" s="1" t="s">
        <v>1143</v>
      </c>
      <c r="Q2949" s="3">
        <v>0</v>
      </c>
      <c r="R2949" s="22" t="s">
        <v>2766</v>
      </c>
      <c r="S2949" s="22" t="s">
        <v>5099</v>
      </c>
      <c r="T2949" s="51">
        <v>9</v>
      </c>
      <c r="U2949" s="3" t="s">
        <v>5931</v>
      </c>
      <c r="V2949" s="41" t="str">
        <f>HYPERLINK("http://ictvonline.org/taxonomy/p/taxonomy-history?taxnode_id=20183073","ICTVonline=20183073")</f>
        <v>ICTVonline=20183073</v>
      </c>
    </row>
    <row r="2950" spans="1:22">
      <c r="A2950" s="3">
        <v>2949</v>
      </c>
      <c r="L2950" s="1" t="s">
        <v>1139</v>
      </c>
      <c r="N2950" s="1" t="s">
        <v>1140</v>
      </c>
      <c r="P2950" s="1" t="s">
        <v>1144</v>
      </c>
      <c r="Q2950" s="3">
        <v>0</v>
      </c>
      <c r="R2950" s="22" t="s">
        <v>2766</v>
      </c>
      <c r="S2950" s="22" t="s">
        <v>5099</v>
      </c>
      <c r="T2950" s="51">
        <v>9</v>
      </c>
      <c r="U2950" s="3" t="s">
        <v>5931</v>
      </c>
      <c r="V2950" s="41" t="str">
        <f>HYPERLINK("http://ictvonline.org/taxonomy/p/taxonomy-history?taxnode_id=20183074","ICTVonline=20183074")</f>
        <v>ICTVonline=20183074</v>
      </c>
    </row>
    <row r="2951" spans="1:22">
      <c r="A2951" s="3">
        <v>2950</v>
      </c>
      <c r="L2951" s="1" t="s">
        <v>1139</v>
      </c>
      <c r="N2951" s="1" t="s">
        <v>1140</v>
      </c>
      <c r="P2951" s="1" t="s">
        <v>1145</v>
      </c>
      <c r="Q2951" s="3">
        <v>0</v>
      </c>
      <c r="R2951" s="22" t="s">
        <v>2766</v>
      </c>
      <c r="S2951" s="22" t="s">
        <v>5099</v>
      </c>
      <c r="T2951" s="51">
        <v>9</v>
      </c>
      <c r="U2951" s="3" t="s">
        <v>5931</v>
      </c>
      <c r="V2951" s="41" t="str">
        <f>HYPERLINK("http://ictvonline.org/taxonomy/p/taxonomy-history?taxnode_id=20183075","ICTVonline=20183075")</f>
        <v>ICTVonline=20183075</v>
      </c>
    </row>
    <row r="2952" spans="1:22">
      <c r="A2952" s="3">
        <v>2951</v>
      </c>
      <c r="L2952" s="1" t="s">
        <v>1139</v>
      </c>
      <c r="N2952" s="1" t="s">
        <v>1140</v>
      </c>
      <c r="P2952" s="1" t="s">
        <v>1146</v>
      </c>
      <c r="Q2952" s="3">
        <v>0</v>
      </c>
      <c r="R2952" s="22" t="s">
        <v>2766</v>
      </c>
      <c r="S2952" s="22" t="s">
        <v>5099</v>
      </c>
      <c r="T2952" s="51">
        <v>9</v>
      </c>
      <c r="U2952" s="3" t="s">
        <v>5931</v>
      </c>
      <c r="V2952" s="41" t="str">
        <f>HYPERLINK("http://ictvonline.org/taxonomy/p/taxonomy-history?taxnode_id=20183076","ICTVonline=20183076")</f>
        <v>ICTVonline=20183076</v>
      </c>
    </row>
    <row r="2953" spans="1:22">
      <c r="A2953" s="3">
        <v>2952</v>
      </c>
      <c r="L2953" s="1" t="s">
        <v>1139</v>
      </c>
      <c r="N2953" s="1" t="s">
        <v>1140</v>
      </c>
      <c r="P2953" s="1" t="s">
        <v>1654</v>
      </c>
      <c r="Q2953" s="3">
        <v>0</v>
      </c>
      <c r="R2953" s="22" t="s">
        <v>2766</v>
      </c>
      <c r="S2953" s="22" t="s">
        <v>5097</v>
      </c>
      <c r="T2953" s="51">
        <v>18</v>
      </c>
      <c r="U2953" s="3" t="s">
        <v>5486</v>
      </c>
      <c r="V2953" s="41" t="str">
        <f>HYPERLINK("http://ictvonline.org/taxonomy/p/taxonomy-history?taxnode_id=20183077","ICTVonline=20183077")</f>
        <v>ICTVonline=20183077</v>
      </c>
    </row>
    <row r="2954" spans="1:22">
      <c r="A2954" s="3">
        <v>2953</v>
      </c>
      <c r="L2954" s="1" t="s">
        <v>1139</v>
      </c>
      <c r="N2954" s="1" t="s">
        <v>1140</v>
      </c>
      <c r="P2954" s="1" t="s">
        <v>1655</v>
      </c>
      <c r="Q2954" s="3">
        <v>0</v>
      </c>
      <c r="R2954" s="22" t="s">
        <v>2766</v>
      </c>
      <c r="S2954" s="22" t="s">
        <v>5099</v>
      </c>
      <c r="T2954" s="51">
        <v>9</v>
      </c>
      <c r="U2954" s="3" t="s">
        <v>5931</v>
      </c>
      <c r="V2954" s="41" t="str">
        <f>HYPERLINK("http://ictvonline.org/taxonomy/p/taxonomy-history?taxnode_id=20183078","ICTVonline=20183078")</f>
        <v>ICTVonline=20183078</v>
      </c>
    </row>
    <row r="2955" spans="1:22">
      <c r="A2955" s="3">
        <v>2954</v>
      </c>
      <c r="L2955" s="1" t="s">
        <v>1139</v>
      </c>
      <c r="N2955" s="1" t="s">
        <v>1140</v>
      </c>
      <c r="P2955" s="1" t="s">
        <v>1656</v>
      </c>
      <c r="Q2955" s="3">
        <v>0</v>
      </c>
      <c r="R2955" s="22" t="s">
        <v>2766</v>
      </c>
      <c r="S2955" s="22" t="s">
        <v>5099</v>
      </c>
      <c r="T2955" s="51">
        <v>9</v>
      </c>
      <c r="U2955" s="3" t="s">
        <v>5931</v>
      </c>
      <c r="V2955" s="41" t="str">
        <f>HYPERLINK("http://ictvonline.org/taxonomy/p/taxonomy-history?taxnode_id=20183079","ICTVonline=20183079")</f>
        <v>ICTVonline=20183079</v>
      </c>
    </row>
    <row r="2956" spans="1:22">
      <c r="A2956" s="3">
        <v>2955</v>
      </c>
      <c r="L2956" s="1" t="s">
        <v>1139</v>
      </c>
      <c r="N2956" s="1" t="s">
        <v>1140</v>
      </c>
      <c r="P2956" s="1" t="s">
        <v>1657</v>
      </c>
      <c r="Q2956" s="3">
        <v>0</v>
      </c>
      <c r="R2956" s="22" t="s">
        <v>2766</v>
      </c>
      <c r="S2956" s="22" t="s">
        <v>5099</v>
      </c>
      <c r="T2956" s="51">
        <v>9</v>
      </c>
      <c r="U2956" s="3" t="s">
        <v>5931</v>
      </c>
      <c r="V2956" s="41" t="str">
        <f>HYPERLINK("http://ictvonline.org/taxonomy/p/taxonomy-history?taxnode_id=20183080","ICTVonline=20183080")</f>
        <v>ICTVonline=20183080</v>
      </c>
    </row>
    <row r="2957" spans="1:22">
      <c r="A2957" s="3">
        <v>2956</v>
      </c>
      <c r="L2957" s="1" t="s">
        <v>1139</v>
      </c>
      <c r="N2957" s="1" t="s">
        <v>1140</v>
      </c>
      <c r="P2957" s="1" t="s">
        <v>1658</v>
      </c>
      <c r="Q2957" s="3">
        <v>0</v>
      </c>
      <c r="R2957" s="22" t="s">
        <v>2766</v>
      </c>
      <c r="S2957" s="22" t="s">
        <v>5105</v>
      </c>
      <c r="T2957" s="51">
        <v>18</v>
      </c>
      <c r="U2957" s="3" t="s">
        <v>5486</v>
      </c>
      <c r="V2957" s="41" t="str">
        <f>HYPERLINK("http://ictvonline.org/taxonomy/p/taxonomy-history?taxnode_id=20183081","ICTVonline=20183081")</f>
        <v>ICTVonline=20183081</v>
      </c>
    </row>
    <row r="2958" spans="1:22">
      <c r="A2958" s="3">
        <v>2957</v>
      </c>
      <c r="L2958" s="1" t="s">
        <v>1139</v>
      </c>
      <c r="N2958" s="1" t="s">
        <v>1140</v>
      </c>
      <c r="P2958" s="1" t="s">
        <v>1659</v>
      </c>
      <c r="Q2958" s="3">
        <v>0</v>
      </c>
      <c r="R2958" s="22" t="s">
        <v>2766</v>
      </c>
      <c r="S2958" s="22" t="s">
        <v>5100</v>
      </c>
      <c r="T2958" s="51">
        <v>12</v>
      </c>
      <c r="U2958" s="3" t="s">
        <v>5932</v>
      </c>
      <c r="V2958" s="41" t="str">
        <f>HYPERLINK("http://ictvonline.org/taxonomy/p/taxonomy-history?taxnode_id=20183082","ICTVonline=20183082")</f>
        <v>ICTVonline=20183082</v>
      </c>
    </row>
    <row r="2959" spans="1:22">
      <c r="A2959" s="3">
        <v>2958</v>
      </c>
      <c r="L2959" s="1" t="s">
        <v>1139</v>
      </c>
      <c r="N2959" s="1" t="s">
        <v>1140</v>
      </c>
      <c r="P2959" s="1" t="s">
        <v>1660</v>
      </c>
      <c r="Q2959" s="3">
        <v>0</v>
      </c>
      <c r="R2959" s="22" t="s">
        <v>2766</v>
      </c>
      <c r="S2959" s="22" t="s">
        <v>5099</v>
      </c>
      <c r="T2959" s="51">
        <v>9</v>
      </c>
      <c r="U2959" s="3" t="s">
        <v>5931</v>
      </c>
      <c r="V2959" s="41" t="str">
        <f>HYPERLINK("http://ictvonline.org/taxonomy/p/taxonomy-history?taxnode_id=20183083","ICTVonline=20183083")</f>
        <v>ICTVonline=20183083</v>
      </c>
    </row>
    <row r="2960" spans="1:22">
      <c r="A2960" s="3">
        <v>2959</v>
      </c>
      <c r="L2960" s="1" t="s">
        <v>1139</v>
      </c>
      <c r="N2960" s="1" t="s">
        <v>1140</v>
      </c>
      <c r="P2960" s="1" t="s">
        <v>1661</v>
      </c>
      <c r="Q2960" s="3">
        <v>0</v>
      </c>
      <c r="R2960" s="22" t="s">
        <v>2766</v>
      </c>
      <c r="S2960" s="22" t="s">
        <v>5097</v>
      </c>
      <c r="T2960" s="51">
        <v>18</v>
      </c>
      <c r="U2960" s="3" t="s">
        <v>5486</v>
      </c>
      <c r="V2960" s="41" t="str">
        <f>HYPERLINK("http://ictvonline.org/taxonomy/p/taxonomy-history?taxnode_id=20183084","ICTVonline=20183084")</f>
        <v>ICTVonline=20183084</v>
      </c>
    </row>
    <row r="2961" spans="1:22">
      <c r="A2961" s="3">
        <v>2960</v>
      </c>
      <c r="L2961" s="1" t="s">
        <v>1139</v>
      </c>
      <c r="N2961" s="1" t="s">
        <v>1140</v>
      </c>
      <c r="P2961" s="1" t="s">
        <v>1662</v>
      </c>
      <c r="Q2961" s="3">
        <v>0</v>
      </c>
      <c r="R2961" s="22" t="s">
        <v>2766</v>
      </c>
      <c r="S2961" s="22" t="s">
        <v>5097</v>
      </c>
      <c r="T2961" s="51">
        <v>18</v>
      </c>
      <c r="U2961" s="3" t="s">
        <v>5486</v>
      </c>
      <c r="V2961" s="41" t="str">
        <f>HYPERLINK("http://ictvonline.org/taxonomy/p/taxonomy-history?taxnode_id=20183085","ICTVonline=20183085")</f>
        <v>ICTVonline=20183085</v>
      </c>
    </row>
    <row r="2962" spans="1:22">
      <c r="A2962" s="3">
        <v>2961</v>
      </c>
      <c r="L2962" s="1" t="s">
        <v>1139</v>
      </c>
      <c r="N2962" s="1" t="s">
        <v>1140</v>
      </c>
      <c r="P2962" s="1" t="s">
        <v>1663</v>
      </c>
      <c r="Q2962" s="3">
        <v>0</v>
      </c>
      <c r="R2962" s="22" t="s">
        <v>2766</v>
      </c>
      <c r="S2962" s="22" t="s">
        <v>5100</v>
      </c>
      <c r="T2962" s="51">
        <v>18</v>
      </c>
      <c r="U2962" s="3" t="s">
        <v>5486</v>
      </c>
      <c r="V2962" s="41" t="str">
        <f>HYPERLINK("http://ictvonline.org/taxonomy/p/taxonomy-history?taxnode_id=20183086","ICTVonline=20183086")</f>
        <v>ICTVonline=20183086</v>
      </c>
    </row>
    <row r="2963" spans="1:22">
      <c r="A2963" s="3">
        <v>2962</v>
      </c>
      <c r="L2963" s="1" t="s">
        <v>1139</v>
      </c>
      <c r="N2963" s="1" t="s">
        <v>1140</v>
      </c>
      <c r="P2963" s="1" t="s">
        <v>1664</v>
      </c>
      <c r="Q2963" s="3">
        <v>0</v>
      </c>
      <c r="R2963" s="22" t="s">
        <v>2766</v>
      </c>
      <c r="S2963" s="22" t="s">
        <v>5099</v>
      </c>
      <c r="T2963" s="51">
        <v>9</v>
      </c>
      <c r="U2963" s="3" t="s">
        <v>5931</v>
      </c>
      <c r="V2963" s="41" t="str">
        <f>HYPERLINK("http://ictvonline.org/taxonomy/p/taxonomy-history?taxnode_id=20183087","ICTVonline=20183087")</f>
        <v>ICTVonline=20183087</v>
      </c>
    </row>
    <row r="2964" spans="1:22">
      <c r="A2964" s="3">
        <v>2963</v>
      </c>
      <c r="L2964" s="1" t="s">
        <v>1139</v>
      </c>
      <c r="N2964" s="1" t="s">
        <v>1140</v>
      </c>
      <c r="P2964" s="1" t="s">
        <v>1665</v>
      </c>
      <c r="Q2964" s="3">
        <v>0</v>
      </c>
      <c r="R2964" s="22" t="s">
        <v>2766</v>
      </c>
      <c r="S2964" s="22" t="s">
        <v>5097</v>
      </c>
      <c r="T2964" s="51">
        <v>18</v>
      </c>
      <c r="U2964" s="3" t="s">
        <v>5486</v>
      </c>
      <c r="V2964" s="41" t="str">
        <f>HYPERLINK("http://ictvonline.org/taxonomy/p/taxonomy-history?taxnode_id=20183088","ICTVonline=20183088")</f>
        <v>ICTVonline=20183088</v>
      </c>
    </row>
    <row r="2965" spans="1:22">
      <c r="A2965" s="3">
        <v>2964</v>
      </c>
      <c r="L2965" s="1" t="s">
        <v>1139</v>
      </c>
      <c r="N2965" s="1" t="s">
        <v>1140</v>
      </c>
      <c r="P2965" s="1" t="s">
        <v>1666</v>
      </c>
      <c r="Q2965" s="3">
        <v>0</v>
      </c>
      <c r="R2965" s="22" t="s">
        <v>2766</v>
      </c>
      <c r="S2965" s="22" t="s">
        <v>5099</v>
      </c>
      <c r="T2965" s="51">
        <v>9</v>
      </c>
      <c r="U2965" s="3" t="s">
        <v>5931</v>
      </c>
      <c r="V2965" s="41" t="str">
        <f>HYPERLINK("http://ictvonline.org/taxonomy/p/taxonomy-history?taxnode_id=20183089","ICTVonline=20183089")</f>
        <v>ICTVonline=20183089</v>
      </c>
    </row>
    <row r="2966" spans="1:22">
      <c r="A2966" s="3">
        <v>2965</v>
      </c>
      <c r="L2966" s="1" t="s">
        <v>1139</v>
      </c>
      <c r="N2966" s="1" t="s">
        <v>1140</v>
      </c>
      <c r="P2966" s="1" t="s">
        <v>1667</v>
      </c>
      <c r="Q2966" s="3">
        <v>0</v>
      </c>
      <c r="R2966" s="22" t="s">
        <v>2766</v>
      </c>
      <c r="S2966" s="22" t="s">
        <v>5097</v>
      </c>
      <c r="T2966" s="51">
        <v>18</v>
      </c>
      <c r="U2966" s="3" t="s">
        <v>5486</v>
      </c>
      <c r="V2966" s="41" t="str">
        <f>HYPERLINK("http://ictvonline.org/taxonomy/p/taxonomy-history?taxnode_id=20183090","ICTVonline=20183090")</f>
        <v>ICTVonline=20183090</v>
      </c>
    </row>
    <row r="2967" spans="1:22">
      <c r="A2967" s="3">
        <v>2966</v>
      </c>
      <c r="L2967" s="1" t="s">
        <v>1139</v>
      </c>
      <c r="N2967" s="1" t="s">
        <v>1140</v>
      </c>
      <c r="P2967" s="1" t="s">
        <v>1668</v>
      </c>
      <c r="Q2967" s="3">
        <v>0</v>
      </c>
      <c r="R2967" s="22" t="s">
        <v>2766</v>
      </c>
      <c r="S2967" s="22" t="s">
        <v>5097</v>
      </c>
      <c r="T2967" s="51">
        <v>18</v>
      </c>
      <c r="U2967" s="3" t="s">
        <v>5486</v>
      </c>
      <c r="V2967" s="41" t="str">
        <f>HYPERLINK("http://ictvonline.org/taxonomy/p/taxonomy-history?taxnode_id=20183091","ICTVonline=20183091")</f>
        <v>ICTVonline=20183091</v>
      </c>
    </row>
    <row r="2968" spans="1:22">
      <c r="A2968" s="3">
        <v>2967</v>
      </c>
      <c r="L2968" s="1" t="s">
        <v>1139</v>
      </c>
      <c r="N2968" s="1" t="s">
        <v>1140</v>
      </c>
      <c r="P2968" s="1" t="s">
        <v>1669</v>
      </c>
      <c r="Q2968" s="3">
        <v>0</v>
      </c>
      <c r="R2968" s="22" t="s">
        <v>2766</v>
      </c>
      <c r="S2968" s="22" t="s">
        <v>5105</v>
      </c>
      <c r="T2968" s="51">
        <v>18</v>
      </c>
      <c r="U2968" s="3" t="s">
        <v>5486</v>
      </c>
      <c r="V2968" s="41" t="str">
        <f>HYPERLINK("http://ictvonline.org/taxonomy/p/taxonomy-history?taxnode_id=20183092","ICTVonline=20183092")</f>
        <v>ICTVonline=20183092</v>
      </c>
    </row>
    <row r="2969" spans="1:22">
      <c r="A2969" s="3">
        <v>2968</v>
      </c>
      <c r="L2969" s="1" t="s">
        <v>1139</v>
      </c>
      <c r="N2969" s="1" t="s">
        <v>1140</v>
      </c>
      <c r="P2969" s="1" t="s">
        <v>1670</v>
      </c>
      <c r="Q2969" s="3">
        <v>0</v>
      </c>
      <c r="R2969" s="22" t="s">
        <v>2766</v>
      </c>
      <c r="S2969" s="22" t="s">
        <v>5099</v>
      </c>
      <c r="T2969" s="51">
        <v>9</v>
      </c>
      <c r="U2969" s="3" t="s">
        <v>5931</v>
      </c>
      <c r="V2969" s="41" t="str">
        <f>HYPERLINK("http://ictvonline.org/taxonomy/p/taxonomy-history?taxnode_id=20183093","ICTVonline=20183093")</f>
        <v>ICTVonline=20183093</v>
      </c>
    </row>
    <row r="2970" spans="1:22">
      <c r="A2970" s="3">
        <v>2969</v>
      </c>
      <c r="L2970" s="1" t="s">
        <v>1139</v>
      </c>
      <c r="N2970" s="1" t="s">
        <v>1140</v>
      </c>
      <c r="P2970" s="1" t="s">
        <v>1671</v>
      </c>
      <c r="Q2970" s="3">
        <v>0</v>
      </c>
      <c r="R2970" s="22" t="s">
        <v>2766</v>
      </c>
      <c r="S2970" s="22" t="s">
        <v>5099</v>
      </c>
      <c r="T2970" s="51">
        <v>9</v>
      </c>
      <c r="U2970" s="3" t="s">
        <v>5931</v>
      </c>
      <c r="V2970" s="41" t="str">
        <f>HYPERLINK("http://ictvonline.org/taxonomy/p/taxonomy-history?taxnode_id=20183094","ICTVonline=20183094")</f>
        <v>ICTVonline=20183094</v>
      </c>
    </row>
    <row r="2971" spans="1:22">
      <c r="A2971" s="3">
        <v>2970</v>
      </c>
      <c r="L2971" s="1" t="s">
        <v>1139</v>
      </c>
      <c r="N2971" s="1" t="s">
        <v>1140</v>
      </c>
      <c r="P2971" s="1" t="s">
        <v>1672</v>
      </c>
      <c r="Q2971" s="3">
        <v>0</v>
      </c>
      <c r="R2971" s="22" t="s">
        <v>2766</v>
      </c>
      <c r="S2971" s="22" t="s">
        <v>5099</v>
      </c>
      <c r="T2971" s="51">
        <v>9</v>
      </c>
      <c r="U2971" s="3" t="s">
        <v>5931</v>
      </c>
      <c r="V2971" s="41" t="str">
        <f>HYPERLINK("http://ictvonline.org/taxonomy/p/taxonomy-history?taxnode_id=20183095","ICTVonline=20183095")</f>
        <v>ICTVonline=20183095</v>
      </c>
    </row>
    <row r="2972" spans="1:22">
      <c r="A2972" s="3">
        <v>2971</v>
      </c>
      <c r="L2972" s="1" t="s">
        <v>1139</v>
      </c>
      <c r="N2972" s="1" t="s">
        <v>1140</v>
      </c>
      <c r="P2972" s="1" t="s">
        <v>1673</v>
      </c>
      <c r="Q2972" s="3">
        <v>0</v>
      </c>
      <c r="R2972" s="22" t="s">
        <v>2766</v>
      </c>
      <c r="S2972" s="22" t="s">
        <v>5099</v>
      </c>
      <c r="T2972" s="51">
        <v>9</v>
      </c>
      <c r="U2972" s="3" t="s">
        <v>5931</v>
      </c>
      <c r="V2972" s="41" t="str">
        <f>HYPERLINK("http://ictvonline.org/taxonomy/p/taxonomy-history?taxnode_id=20183096","ICTVonline=20183096")</f>
        <v>ICTVonline=20183096</v>
      </c>
    </row>
    <row r="2973" spans="1:22">
      <c r="A2973" s="3">
        <v>2972</v>
      </c>
      <c r="L2973" s="1" t="s">
        <v>1139</v>
      </c>
      <c r="N2973" s="1" t="s">
        <v>1140</v>
      </c>
      <c r="P2973" s="1" t="s">
        <v>1674</v>
      </c>
      <c r="Q2973" s="3">
        <v>0</v>
      </c>
      <c r="R2973" s="22" t="s">
        <v>2766</v>
      </c>
      <c r="S2973" s="22" t="s">
        <v>5097</v>
      </c>
      <c r="T2973" s="51">
        <v>12</v>
      </c>
      <c r="U2973" s="3" t="s">
        <v>5932</v>
      </c>
      <c r="V2973" s="41" t="str">
        <f>HYPERLINK("http://ictvonline.org/taxonomy/p/taxonomy-history?taxnode_id=20183097","ICTVonline=20183097")</f>
        <v>ICTVonline=20183097</v>
      </c>
    </row>
    <row r="2974" spans="1:22">
      <c r="A2974" s="3">
        <v>2973</v>
      </c>
      <c r="L2974" s="1" t="s">
        <v>1139</v>
      </c>
      <c r="N2974" s="1" t="s">
        <v>1140</v>
      </c>
      <c r="P2974" s="1" t="s">
        <v>1675</v>
      </c>
      <c r="Q2974" s="3">
        <v>0</v>
      </c>
      <c r="R2974" s="22" t="s">
        <v>2766</v>
      </c>
      <c r="S2974" s="22" t="s">
        <v>5099</v>
      </c>
      <c r="T2974" s="51">
        <v>9</v>
      </c>
      <c r="U2974" s="3" t="s">
        <v>5931</v>
      </c>
      <c r="V2974" s="41" t="str">
        <f>HYPERLINK("http://ictvonline.org/taxonomy/p/taxonomy-history?taxnode_id=20183098","ICTVonline=20183098")</f>
        <v>ICTVonline=20183098</v>
      </c>
    </row>
    <row r="2975" spans="1:22">
      <c r="A2975" s="3">
        <v>2974</v>
      </c>
      <c r="L2975" s="1" t="s">
        <v>1139</v>
      </c>
      <c r="N2975" s="1" t="s">
        <v>1140</v>
      </c>
      <c r="P2975" s="1" t="s">
        <v>2004</v>
      </c>
      <c r="Q2975" s="3">
        <v>0</v>
      </c>
      <c r="R2975" s="22" t="s">
        <v>2766</v>
      </c>
      <c r="S2975" s="22" t="s">
        <v>5097</v>
      </c>
      <c r="T2975" s="51">
        <v>18</v>
      </c>
      <c r="U2975" s="3" t="s">
        <v>5486</v>
      </c>
      <c r="V2975" s="41" t="str">
        <f>HYPERLINK("http://ictvonline.org/taxonomy/p/taxonomy-history?taxnode_id=20183099","ICTVonline=20183099")</f>
        <v>ICTVonline=20183099</v>
      </c>
    </row>
    <row r="2976" spans="1:22">
      <c r="A2976" s="3">
        <v>2975</v>
      </c>
      <c r="L2976" s="1" t="s">
        <v>1139</v>
      </c>
      <c r="N2976" s="1" t="s">
        <v>1140</v>
      </c>
      <c r="P2976" s="1" t="s">
        <v>1176</v>
      </c>
      <c r="Q2976" s="3">
        <v>0</v>
      </c>
      <c r="R2976" s="22" t="s">
        <v>2766</v>
      </c>
      <c r="S2976" s="22" t="s">
        <v>5105</v>
      </c>
      <c r="T2976" s="51">
        <v>18</v>
      </c>
      <c r="U2976" s="3" t="s">
        <v>5486</v>
      </c>
      <c r="V2976" s="41" t="str">
        <f>HYPERLINK("http://ictvonline.org/taxonomy/p/taxonomy-history?taxnode_id=20183100","ICTVonline=20183100")</f>
        <v>ICTVonline=20183100</v>
      </c>
    </row>
    <row r="2977" spans="1:22">
      <c r="A2977" s="3">
        <v>2976</v>
      </c>
      <c r="L2977" s="1" t="s">
        <v>1139</v>
      </c>
      <c r="N2977" s="1" t="s">
        <v>1140</v>
      </c>
      <c r="P2977" s="1" t="s">
        <v>1177</v>
      </c>
      <c r="Q2977" s="3">
        <v>0</v>
      </c>
      <c r="R2977" s="22" t="s">
        <v>2766</v>
      </c>
      <c r="S2977" s="22" t="s">
        <v>5099</v>
      </c>
      <c r="T2977" s="51">
        <v>9</v>
      </c>
      <c r="U2977" s="3" t="s">
        <v>5931</v>
      </c>
      <c r="V2977" s="41" t="str">
        <f>HYPERLINK("http://ictvonline.org/taxonomy/p/taxonomy-history?taxnode_id=20183101","ICTVonline=20183101")</f>
        <v>ICTVonline=20183101</v>
      </c>
    </row>
    <row r="2978" spans="1:22">
      <c r="A2978" s="3">
        <v>2977</v>
      </c>
      <c r="L2978" s="1" t="s">
        <v>1139</v>
      </c>
      <c r="N2978" s="1" t="s">
        <v>1140</v>
      </c>
      <c r="P2978" s="1" t="s">
        <v>1178</v>
      </c>
      <c r="Q2978" s="3">
        <v>0</v>
      </c>
      <c r="R2978" s="22" t="s">
        <v>2766</v>
      </c>
      <c r="S2978" s="22" t="s">
        <v>5099</v>
      </c>
      <c r="T2978" s="51">
        <v>9</v>
      </c>
      <c r="U2978" s="3" t="s">
        <v>5931</v>
      </c>
      <c r="V2978" s="41" t="str">
        <f>HYPERLINK("http://ictvonline.org/taxonomy/p/taxonomy-history?taxnode_id=20183102","ICTVonline=20183102")</f>
        <v>ICTVonline=20183102</v>
      </c>
    </row>
    <row r="2979" spans="1:22">
      <c r="A2979" s="3">
        <v>2978</v>
      </c>
      <c r="L2979" s="1" t="s">
        <v>1139</v>
      </c>
      <c r="N2979" s="1" t="s">
        <v>1140</v>
      </c>
      <c r="P2979" s="1" t="s">
        <v>719</v>
      </c>
      <c r="Q2979" s="3">
        <v>0</v>
      </c>
      <c r="R2979" s="22" t="s">
        <v>2766</v>
      </c>
      <c r="S2979" s="22" t="s">
        <v>5099</v>
      </c>
      <c r="T2979" s="51">
        <v>9</v>
      </c>
      <c r="U2979" s="3" t="s">
        <v>5931</v>
      </c>
      <c r="V2979" s="41" t="str">
        <f>HYPERLINK("http://ictvonline.org/taxonomy/p/taxonomy-history?taxnode_id=20183103","ICTVonline=20183103")</f>
        <v>ICTVonline=20183103</v>
      </c>
    </row>
    <row r="2980" spans="1:22">
      <c r="A2980" s="3">
        <v>2979</v>
      </c>
      <c r="L2980" s="1" t="s">
        <v>1139</v>
      </c>
      <c r="N2980" s="1" t="s">
        <v>1140</v>
      </c>
      <c r="P2980" s="1" t="s">
        <v>720</v>
      </c>
      <c r="Q2980" s="3">
        <v>0</v>
      </c>
      <c r="R2980" s="22" t="s">
        <v>2766</v>
      </c>
      <c r="S2980" s="22" t="s">
        <v>5099</v>
      </c>
      <c r="T2980" s="51">
        <v>9</v>
      </c>
      <c r="U2980" s="3" t="s">
        <v>5931</v>
      </c>
      <c r="V2980" s="41" t="str">
        <f>HYPERLINK("http://ictvonline.org/taxonomy/p/taxonomy-history?taxnode_id=20183104","ICTVonline=20183104")</f>
        <v>ICTVonline=20183104</v>
      </c>
    </row>
    <row r="2981" spans="1:22">
      <c r="A2981" s="3">
        <v>2980</v>
      </c>
      <c r="L2981" s="1" t="s">
        <v>1139</v>
      </c>
      <c r="N2981" s="1" t="s">
        <v>1140</v>
      </c>
      <c r="P2981" s="1" t="s">
        <v>721</v>
      </c>
      <c r="Q2981" s="3">
        <v>0</v>
      </c>
      <c r="R2981" s="22" t="s">
        <v>2766</v>
      </c>
      <c r="S2981" s="22" t="s">
        <v>5099</v>
      </c>
      <c r="T2981" s="51">
        <v>9</v>
      </c>
      <c r="U2981" s="3" t="s">
        <v>5931</v>
      </c>
      <c r="V2981" s="41" t="str">
        <f>HYPERLINK("http://ictvonline.org/taxonomy/p/taxonomy-history?taxnode_id=20183105","ICTVonline=20183105")</f>
        <v>ICTVonline=20183105</v>
      </c>
    </row>
    <row r="2982" spans="1:22">
      <c r="A2982" s="3">
        <v>2981</v>
      </c>
      <c r="L2982" s="1" t="s">
        <v>1139</v>
      </c>
      <c r="N2982" s="1" t="s">
        <v>1140</v>
      </c>
      <c r="P2982" s="1" t="s">
        <v>722</v>
      </c>
      <c r="Q2982" s="3">
        <v>0</v>
      </c>
      <c r="R2982" s="22" t="s">
        <v>2766</v>
      </c>
      <c r="S2982" s="22" t="s">
        <v>5105</v>
      </c>
      <c r="T2982" s="51">
        <v>18</v>
      </c>
      <c r="U2982" s="3" t="s">
        <v>5486</v>
      </c>
      <c r="V2982" s="41" t="str">
        <f>HYPERLINK("http://ictvonline.org/taxonomy/p/taxonomy-history?taxnode_id=20183106","ICTVonline=20183106")</f>
        <v>ICTVonline=20183106</v>
      </c>
    </row>
    <row r="2983" spans="1:22">
      <c r="A2983" s="3">
        <v>2982</v>
      </c>
      <c r="L2983" s="1" t="s">
        <v>1139</v>
      </c>
      <c r="N2983" s="1" t="s">
        <v>1140</v>
      </c>
      <c r="P2983" s="1" t="s">
        <v>723</v>
      </c>
      <c r="Q2983" s="3">
        <v>0</v>
      </c>
      <c r="R2983" s="22" t="s">
        <v>2766</v>
      </c>
      <c r="S2983" s="22" t="s">
        <v>5099</v>
      </c>
      <c r="T2983" s="51">
        <v>9</v>
      </c>
      <c r="U2983" s="3" t="s">
        <v>5931</v>
      </c>
      <c r="V2983" s="41" t="str">
        <f>HYPERLINK("http://ictvonline.org/taxonomy/p/taxonomy-history?taxnode_id=20183107","ICTVonline=20183107")</f>
        <v>ICTVonline=20183107</v>
      </c>
    </row>
    <row r="2984" spans="1:22">
      <c r="A2984" s="3">
        <v>2983</v>
      </c>
      <c r="L2984" s="1" t="s">
        <v>1139</v>
      </c>
      <c r="N2984" s="1" t="s">
        <v>1140</v>
      </c>
      <c r="P2984" s="1" t="s">
        <v>5933</v>
      </c>
      <c r="Q2984" s="3">
        <v>0</v>
      </c>
      <c r="R2984" s="22" t="s">
        <v>2766</v>
      </c>
      <c r="S2984" s="22" t="s">
        <v>5100</v>
      </c>
      <c r="T2984" s="51">
        <v>12</v>
      </c>
      <c r="U2984" s="3" t="s">
        <v>5932</v>
      </c>
      <c r="V2984" s="41" t="str">
        <f>HYPERLINK("http://ictvonline.org/taxonomy/p/taxonomy-history?taxnode_id=20183112","ICTVonline=20183112")</f>
        <v>ICTVonline=20183112</v>
      </c>
    </row>
    <row r="2985" spans="1:22">
      <c r="A2985" s="3">
        <v>2984</v>
      </c>
      <c r="L2985" s="1" t="s">
        <v>1139</v>
      </c>
      <c r="N2985" s="1" t="s">
        <v>1140</v>
      </c>
      <c r="P2985" s="1" t="s">
        <v>724</v>
      </c>
      <c r="Q2985" s="3">
        <v>0</v>
      </c>
      <c r="R2985" s="22" t="s">
        <v>2766</v>
      </c>
      <c r="S2985" s="22" t="s">
        <v>5100</v>
      </c>
      <c r="T2985" s="51">
        <v>14</v>
      </c>
      <c r="U2985" s="3" t="s">
        <v>5879</v>
      </c>
      <c r="V2985" s="41" t="str">
        <f>HYPERLINK("http://ictvonline.org/taxonomy/p/taxonomy-history?taxnode_id=20183108","ICTVonline=20183108")</f>
        <v>ICTVonline=20183108</v>
      </c>
    </row>
    <row r="2986" spans="1:22">
      <c r="A2986" s="3">
        <v>2985</v>
      </c>
      <c r="L2986" s="1" t="s">
        <v>1139</v>
      </c>
      <c r="N2986" s="1" t="s">
        <v>1140</v>
      </c>
      <c r="P2986" s="1" t="s">
        <v>725</v>
      </c>
      <c r="Q2986" s="3">
        <v>0</v>
      </c>
      <c r="R2986" s="22" t="s">
        <v>2766</v>
      </c>
      <c r="S2986" s="22" t="s">
        <v>5097</v>
      </c>
      <c r="T2986" s="51">
        <v>12</v>
      </c>
      <c r="U2986" s="3" t="s">
        <v>5932</v>
      </c>
      <c r="V2986" s="41" t="str">
        <f>HYPERLINK("http://ictvonline.org/taxonomy/p/taxonomy-history?taxnode_id=20183109","ICTVonline=20183109")</f>
        <v>ICTVonline=20183109</v>
      </c>
    </row>
    <row r="2987" spans="1:22">
      <c r="A2987" s="3">
        <v>2986</v>
      </c>
      <c r="L2987" s="1" t="s">
        <v>1139</v>
      </c>
      <c r="N2987" s="1" t="s">
        <v>1140</v>
      </c>
      <c r="P2987" s="1" t="s">
        <v>1184</v>
      </c>
      <c r="Q2987" s="3">
        <v>0</v>
      </c>
      <c r="R2987" s="22" t="s">
        <v>2766</v>
      </c>
      <c r="S2987" s="22" t="s">
        <v>5099</v>
      </c>
      <c r="T2987" s="51">
        <v>9</v>
      </c>
      <c r="U2987" s="3" t="s">
        <v>5931</v>
      </c>
      <c r="V2987" s="41" t="str">
        <f>HYPERLINK("http://ictvonline.org/taxonomy/p/taxonomy-history?taxnode_id=20183110","ICTVonline=20183110")</f>
        <v>ICTVonline=20183110</v>
      </c>
    </row>
    <row r="2988" spans="1:22">
      <c r="A2988" s="3">
        <v>2987</v>
      </c>
      <c r="L2988" s="1" t="s">
        <v>1139</v>
      </c>
      <c r="N2988" s="1" t="s">
        <v>1140</v>
      </c>
      <c r="P2988" s="1" t="s">
        <v>1185</v>
      </c>
      <c r="Q2988" s="3">
        <v>0</v>
      </c>
      <c r="R2988" s="22" t="s">
        <v>2766</v>
      </c>
      <c r="S2988" s="22" t="s">
        <v>5097</v>
      </c>
      <c r="T2988" s="51">
        <v>18</v>
      </c>
      <c r="U2988" s="3" t="s">
        <v>5486</v>
      </c>
      <c r="V2988" s="41" t="str">
        <f>HYPERLINK("http://ictvonline.org/taxonomy/p/taxonomy-history?taxnode_id=20183111","ICTVonline=20183111")</f>
        <v>ICTVonline=20183111</v>
      </c>
    </row>
    <row r="2989" spans="1:22">
      <c r="A2989" s="3">
        <v>2988</v>
      </c>
      <c r="L2989" s="1" t="s">
        <v>1139</v>
      </c>
      <c r="N2989" s="1" t="s">
        <v>1140</v>
      </c>
      <c r="P2989" s="1" t="s">
        <v>1186</v>
      </c>
      <c r="Q2989" s="3">
        <v>0</v>
      </c>
      <c r="R2989" s="22" t="s">
        <v>2766</v>
      </c>
      <c r="S2989" s="22" t="s">
        <v>5099</v>
      </c>
      <c r="T2989" s="51">
        <v>9</v>
      </c>
      <c r="U2989" s="3" t="s">
        <v>5931</v>
      </c>
      <c r="V2989" s="41" t="str">
        <f>HYPERLINK("http://ictvonline.org/taxonomy/p/taxonomy-history?taxnode_id=20183113","ICTVonline=20183113")</f>
        <v>ICTVonline=20183113</v>
      </c>
    </row>
    <row r="2990" spans="1:22">
      <c r="A2990" s="3">
        <v>2989</v>
      </c>
      <c r="L2990" s="1" t="s">
        <v>1139</v>
      </c>
      <c r="N2990" s="1" t="s">
        <v>1140</v>
      </c>
      <c r="P2990" s="1" t="s">
        <v>1187</v>
      </c>
      <c r="Q2990" s="3">
        <v>0</v>
      </c>
      <c r="R2990" s="22" t="s">
        <v>2766</v>
      </c>
      <c r="S2990" s="22" t="s">
        <v>5099</v>
      </c>
      <c r="T2990" s="51">
        <v>9</v>
      </c>
      <c r="U2990" s="3" t="s">
        <v>5931</v>
      </c>
      <c r="V2990" s="41" t="str">
        <f>HYPERLINK("http://ictvonline.org/taxonomy/p/taxonomy-history?taxnode_id=20183114","ICTVonline=20183114")</f>
        <v>ICTVonline=20183114</v>
      </c>
    </row>
    <row r="2991" spans="1:22">
      <c r="A2991" s="3">
        <v>2990</v>
      </c>
      <c r="L2991" s="1" t="s">
        <v>1139</v>
      </c>
      <c r="N2991" s="1" t="s">
        <v>1140</v>
      </c>
      <c r="P2991" s="1" t="s">
        <v>1188</v>
      </c>
      <c r="Q2991" s="3">
        <v>0</v>
      </c>
      <c r="R2991" s="22" t="s">
        <v>2766</v>
      </c>
      <c r="S2991" s="22" t="s">
        <v>5099</v>
      </c>
      <c r="T2991" s="51">
        <v>9</v>
      </c>
      <c r="U2991" s="3" t="s">
        <v>5931</v>
      </c>
      <c r="V2991" s="41" t="str">
        <f>HYPERLINK("http://ictvonline.org/taxonomy/p/taxonomy-history?taxnode_id=20183115","ICTVonline=20183115")</f>
        <v>ICTVonline=20183115</v>
      </c>
    </row>
    <row r="2992" spans="1:22">
      <c r="A2992" s="3">
        <v>2991</v>
      </c>
      <c r="L2992" s="1" t="s">
        <v>1139</v>
      </c>
      <c r="N2992" s="1" t="s">
        <v>1140</v>
      </c>
      <c r="P2992" s="1" t="s">
        <v>1189</v>
      </c>
      <c r="Q2992" s="3">
        <v>0</v>
      </c>
      <c r="R2992" s="22" t="s">
        <v>2766</v>
      </c>
      <c r="S2992" s="22" t="s">
        <v>5099</v>
      </c>
      <c r="T2992" s="51">
        <v>9</v>
      </c>
      <c r="U2992" s="3" t="s">
        <v>5931</v>
      </c>
      <c r="V2992" s="41" t="str">
        <f>HYPERLINK("http://ictvonline.org/taxonomy/p/taxonomy-history?taxnode_id=20183116","ICTVonline=20183116")</f>
        <v>ICTVonline=20183116</v>
      </c>
    </row>
    <row r="2993" spans="1:22">
      <c r="A2993" s="3">
        <v>2992</v>
      </c>
      <c r="L2993" s="1" t="s">
        <v>1139</v>
      </c>
      <c r="N2993" s="1" t="s">
        <v>1140</v>
      </c>
      <c r="P2993" s="1" t="s">
        <v>1190</v>
      </c>
      <c r="Q2993" s="3">
        <v>0</v>
      </c>
      <c r="R2993" s="22" t="s">
        <v>2766</v>
      </c>
      <c r="S2993" s="22" t="s">
        <v>5099</v>
      </c>
      <c r="T2993" s="51">
        <v>9</v>
      </c>
      <c r="U2993" s="3" t="s">
        <v>5931</v>
      </c>
      <c r="V2993" s="41" t="str">
        <f>HYPERLINK("http://ictvonline.org/taxonomy/p/taxonomy-history?taxnode_id=20183117","ICTVonline=20183117")</f>
        <v>ICTVonline=20183117</v>
      </c>
    </row>
    <row r="2994" spans="1:22">
      <c r="A2994" s="3">
        <v>2993</v>
      </c>
      <c r="L2994" s="1" t="s">
        <v>1139</v>
      </c>
      <c r="N2994" s="1" t="s">
        <v>1140</v>
      </c>
      <c r="P2994" s="1" t="s">
        <v>1191</v>
      </c>
      <c r="Q2994" s="3">
        <v>0</v>
      </c>
      <c r="R2994" s="22" t="s">
        <v>2766</v>
      </c>
      <c r="S2994" s="22" t="s">
        <v>5097</v>
      </c>
      <c r="T2994" s="51">
        <v>18</v>
      </c>
      <c r="U2994" s="3" t="s">
        <v>5486</v>
      </c>
      <c r="V2994" s="41" t="str">
        <f>HYPERLINK("http://ictvonline.org/taxonomy/p/taxonomy-history?taxnode_id=20183118","ICTVonline=20183118")</f>
        <v>ICTVonline=20183118</v>
      </c>
    </row>
    <row r="2995" spans="1:22">
      <c r="A2995" s="3">
        <v>2994</v>
      </c>
      <c r="L2995" s="1" t="s">
        <v>1139</v>
      </c>
      <c r="N2995" s="1" t="s">
        <v>1140</v>
      </c>
      <c r="P2995" s="1" t="s">
        <v>1192</v>
      </c>
      <c r="Q2995" s="3">
        <v>0</v>
      </c>
      <c r="R2995" s="22" t="s">
        <v>2766</v>
      </c>
      <c r="S2995" s="22" t="s">
        <v>5105</v>
      </c>
      <c r="T2995" s="51">
        <v>18</v>
      </c>
      <c r="U2995" s="3" t="s">
        <v>5486</v>
      </c>
      <c r="V2995" s="41" t="str">
        <f>HYPERLINK("http://ictvonline.org/taxonomy/p/taxonomy-history?taxnode_id=20183119","ICTVonline=20183119")</f>
        <v>ICTVonline=20183119</v>
      </c>
    </row>
    <row r="2996" spans="1:22">
      <c r="A2996" s="3">
        <v>2995</v>
      </c>
      <c r="L2996" s="1" t="s">
        <v>1139</v>
      </c>
      <c r="N2996" s="1" t="s">
        <v>1140</v>
      </c>
      <c r="P2996" s="1" t="s">
        <v>1193</v>
      </c>
      <c r="Q2996" s="3">
        <v>0</v>
      </c>
      <c r="R2996" s="22" t="s">
        <v>2766</v>
      </c>
      <c r="S2996" s="22" t="s">
        <v>5097</v>
      </c>
      <c r="T2996" s="51">
        <v>18</v>
      </c>
      <c r="U2996" s="3" t="s">
        <v>5486</v>
      </c>
      <c r="V2996" s="41" t="str">
        <f>HYPERLINK("http://ictvonline.org/taxonomy/p/taxonomy-history?taxnode_id=20183120","ICTVonline=20183120")</f>
        <v>ICTVonline=20183120</v>
      </c>
    </row>
    <row r="2997" spans="1:22">
      <c r="A2997" s="3">
        <v>2996</v>
      </c>
      <c r="L2997" s="1" t="s">
        <v>1139</v>
      </c>
      <c r="N2997" s="1" t="s">
        <v>1140</v>
      </c>
      <c r="P2997" s="1" t="s">
        <v>1194</v>
      </c>
      <c r="Q2997" s="3">
        <v>1</v>
      </c>
      <c r="R2997" s="22" t="s">
        <v>2766</v>
      </c>
      <c r="S2997" s="22" t="s">
        <v>5099</v>
      </c>
      <c r="T2997" s="51">
        <v>9</v>
      </c>
      <c r="U2997" s="3" t="s">
        <v>5931</v>
      </c>
      <c r="V2997" s="41" t="str">
        <f>HYPERLINK("http://ictvonline.org/taxonomy/p/taxonomy-history?taxnode_id=20183121","ICTVonline=20183121")</f>
        <v>ICTVonline=20183121</v>
      </c>
    </row>
    <row r="2998" spans="1:22">
      <c r="A2998" s="3">
        <v>2997</v>
      </c>
      <c r="L2998" s="1" t="s">
        <v>1139</v>
      </c>
      <c r="N2998" s="1" t="s">
        <v>1140</v>
      </c>
      <c r="P2998" s="1" t="s">
        <v>1195</v>
      </c>
      <c r="Q2998" s="3">
        <v>0</v>
      </c>
      <c r="R2998" s="22" t="s">
        <v>2766</v>
      </c>
      <c r="S2998" s="22" t="s">
        <v>5100</v>
      </c>
      <c r="T2998" s="51">
        <v>18</v>
      </c>
      <c r="U2998" s="3" t="s">
        <v>5486</v>
      </c>
      <c r="V2998" s="41" t="str">
        <f>HYPERLINK("http://ictvonline.org/taxonomy/p/taxonomy-history?taxnode_id=20183122","ICTVonline=20183122")</f>
        <v>ICTVonline=20183122</v>
      </c>
    </row>
    <row r="2999" spans="1:22">
      <c r="A2999" s="3">
        <v>2998</v>
      </c>
      <c r="L2999" s="1" t="s">
        <v>1139</v>
      </c>
      <c r="N2999" s="1" t="s">
        <v>1140</v>
      </c>
      <c r="P2999" s="1" t="s">
        <v>1196</v>
      </c>
      <c r="Q2999" s="3">
        <v>0</v>
      </c>
      <c r="R2999" s="22" t="s">
        <v>2766</v>
      </c>
      <c r="S2999" s="22" t="s">
        <v>5097</v>
      </c>
      <c r="T2999" s="51">
        <v>18</v>
      </c>
      <c r="U2999" s="3" t="s">
        <v>5486</v>
      </c>
      <c r="V2999" s="41" t="str">
        <f>HYPERLINK("http://ictvonline.org/taxonomy/p/taxonomy-history?taxnode_id=20183123","ICTVonline=20183123")</f>
        <v>ICTVonline=20183123</v>
      </c>
    </row>
    <row r="3000" spans="1:22">
      <c r="A3000" s="3">
        <v>2999</v>
      </c>
      <c r="L3000" s="1" t="s">
        <v>1139</v>
      </c>
      <c r="N3000" s="1" t="s">
        <v>1197</v>
      </c>
      <c r="P3000" s="1" t="s">
        <v>4849</v>
      </c>
      <c r="Q3000" s="3">
        <v>0</v>
      </c>
      <c r="R3000" s="22" t="s">
        <v>2766</v>
      </c>
      <c r="S3000" s="22" t="s">
        <v>5097</v>
      </c>
      <c r="T3000" s="51">
        <v>31</v>
      </c>
      <c r="U3000" s="3" t="s">
        <v>5934</v>
      </c>
      <c r="V3000" s="41" t="str">
        <f>HYPERLINK("http://ictvonline.org/taxonomy/p/taxonomy-history?taxnode_id=20183125","ICTVonline=20183125")</f>
        <v>ICTVonline=20183125</v>
      </c>
    </row>
    <row r="3001" spans="1:22">
      <c r="A3001" s="3">
        <v>3000</v>
      </c>
      <c r="L3001" s="1" t="s">
        <v>1139</v>
      </c>
      <c r="N3001" s="1" t="s">
        <v>1197</v>
      </c>
      <c r="P3001" s="1" t="s">
        <v>4850</v>
      </c>
      <c r="Q3001" s="3">
        <v>0</v>
      </c>
      <c r="R3001" s="22" t="s">
        <v>2766</v>
      </c>
      <c r="S3001" s="22" t="s">
        <v>5097</v>
      </c>
      <c r="T3001" s="51">
        <v>31</v>
      </c>
      <c r="U3001" s="3" t="s">
        <v>5934</v>
      </c>
      <c r="V3001" s="41" t="str">
        <f>HYPERLINK("http://ictvonline.org/taxonomy/p/taxonomy-history?taxnode_id=20183126","ICTVonline=20183126")</f>
        <v>ICTVonline=20183126</v>
      </c>
    </row>
    <row r="3002" spans="1:22">
      <c r="A3002" s="3">
        <v>3001</v>
      </c>
      <c r="L3002" s="1" t="s">
        <v>1139</v>
      </c>
      <c r="N3002" s="1" t="s">
        <v>1197</v>
      </c>
      <c r="P3002" s="1" t="s">
        <v>5187</v>
      </c>
      <c r="Q3002" s="3">
        <v>1</v>
      </c>
      <c r="R3002" s="22" t="s">
        <v>2766</v>
      </c>
      <c r="S3002" s="22" t="s">
        <v>5100</v>
      </c>
      <c r="T3002" s="51">
        <v>31</v>
      </c>
      <c r="U3002" s="3" t="s">
        <v>5934</v>
      </c>
      <c r="V3002" s="41" t="str">
        <f>HYPERLINK("http://ictvonline.org/taxonomy/p/taxonomy-history?taxnode_id=20183127","ICTVonline=20183127")</f>
        <v>ICTVonline=20183127</v>
      </c>
    </row>
    <row r="3003" spans="1:22">
      <c r="A3003" s="3">
        <v>3002</v>
      </c>
      <c r="L3003" s="1" t="s">
        <v>1139</v>
      </c>
      <c r="N3003" s="1" t="s">
        <v>1197</v>
      </c>
      <c r="P3003" s="1" t="s">
        <v>4851</v>
      </c>
      <c r="Q3003" s="3">
        <v>0</v>
      </c>
      <c r="R3003" s="22" t="s">
        <v>2766</v>
      </c>
      <c r="S3003" s="22" t="s">
        <v>5097</v>
      </c>
      <c r="T3003" s="51">
        <v>31</v>
      </c>
      <c r="U3003" s="3" t="s">
        <v>5934</v>
      </c>
      <c r="V3003" s="41" t="str">
        <f>HYPERLINK("http://ictvonline.org/taxonomy/p/taxonomy-history?taxnode_id=20183128","ICTVonline=20183128")</f>
        <v>ICTVonline=20183128</v>
      </c>
    </row>
    <row r="3004" spans="1:22">
      <c r="A3004" s="3">
        <v>3003</v>
      </c>
      <c r="L3004" s="1" t="s">
        <v>1139</v>
      </c>
      <c r="N3004" s="1" t="s">
        <v>1197</v>
      </c>
      <c r="P3004" s="1" t="s">
        <v>4852</v>
      </c>
      <c r="Q3004" s="3">
        <v>0</v>
      </c>
      <c r="R3004" s="22" t="s">
        <v>2766</v>
      </c>
      <c r="S3004" s="22" t="s">
        <v>5097</v>
      </c>
      <c r="T3004" s="51">
        <v>31</v>
      </c>
      <c r="U3004" s="3" t="s">
        <v>5934</v>
      </c>
      <c r="V3004" s="41" t="str">
        <f>HYPERLINK("http://ictvonline.org/taxonomy/p/taxonomy-history?taxnode_id=20183129","ICTVonline=20183129")</f>
        <v>ICTVonline=20183129</v>
      </c>
    </row>
    <row r="3005" spans="1:22">
      <c r="A3005" s="3">
        <v>3004</v>
      </c>
      <c r="L3005" s="1" t="s">
        <v>1139</v>
      </c>
      <c r="N3005" s="1" t="s">
        <v>1197</v>
      </c>
      <c r="P3005" s="1" t="s">
        <v>4853</v>
      </c>
      <c r="Q3005" s="3">
        <v>0</v>
      </c>
      <c r="R3005" s="22" t="s">
        <v>2766</v>
      </c>
      <c r="S3005" s="22" t="s">
        <v>5097</v>
      </c>
      <c r="T3005" s="51">
        <v>31</v>
      </c>
      <c r="U3005" s="3" t="s">
        <v>5934</v>
      </c>
      <c r="V3005" s="41" t="str">
        <f>HYPERLINK("http://ictvonline.org/taxonomy/p/taxonomy-history?taxnode_id=20183130","ICTVonline=20183130")</f>
        <v>ICTVonline=20183130</v>
      </c>
    </row>
    <row r="3006" spans="1:22">
      <c r="A3006" s="3">
        <v>3005</v>
      </c>
      <c r="L3006" s="1" t="s">
        <v>1139</v>
      </c>
      <c r="N3006" s="1" t="s">
        <v>1197</v>
      </c>
      <c r="P3006" s="1" t="s">
        <v>4854</v>
      </c>
      <c r="Q3006" s="3">
        <v>0</v>
      </c>
      <c r="R3006" s="22" t="s">
        <v>2766</v>
      </c>
      <c r="S3006" s="22" t="s">
        <v>5097</v>
      </c>
      <c r="T3006" s="51">
        <v>31</v>
      </c>
      <c r="U3006" s="3" t="s">
        <v>5934</v>
      </c>
      <c r="V3006" s="41" t="str">
        <f>HYPERLINK("http://ictvonline.org/taxonomy/p/taxonomy-history?taxnode_id=20183131","ICTVonline=20183131")</f>
        <v>ICTVonline=20183131</v>
      </c>
    </row>
    <row r="3007" spans="1:22">
      <c r="A3007" s="3">
        <v>3006</v>
      </c>
      <c r="L3007" s="1" t="s">
        <v>1139</v>
      </c>
      <c r="N3007" s="1" t="s">
        <v>1197</v>
      </c>
      <c r="P3007" s="1" t="s">
        <v>4855</v>
      </c>
      <c r="Q3007" s="3">
        <v>0</v>
      </c>
      <c r="R3007" s="22" t="s">
        <v>2766</v>
      </c>
      <c r="S3007" s="22" t="s">
        <v>5097</v>
      </c>
      <c r="T3007" s="51">
        <v>31</v>
      </c>
      <c r="U3007" s="3" t="s">
        <v>5934</v>
      </c>
      <c r="V3007" s="41" t="str">
        <f>HYPERLINK("http://ictvonline.org/taxonomy/p/taxonomy-history?taxnode_id=20183132","ICTVonline=20183132")</f>
        <v>ICTVonline=20183132</v>
      </c>
    </row>
    <row r="3008" spans="1:22">
      <c r="A3008" s="3">
        <v>3007</v>
      </c>
      <c r="L3008" s="1" t="s">
        <v>1139</v>
      </c>
      <c r="N3008" s="1" t="s">
        <v>1197</v>
      </c>
      <c r="P3008" s="1" t="s">
        <v>4856</v>
      </c>
      <c r="Q3008" s="3">
        <v>0</v>
      </c>
      <c r="R3008" s="22" t="s">
        <v>2766</v>
      </c>
      <c r="S3008" s="22" t="s">
        <v>5097</v>
      </c>
      <c r="T3008" s="51">
        <v>31</v>
      </c>
      <c r="U3008" s="3" t="s">
        <v>5934</v>
      </c>
      <c r="V3008" s="41" t="str">
        <f>HYPERLINK("http://ictvonline.org/taxonomy/p/taxonomy-history?taxnode_id=20183133","ICTVonline=20183133")</f>
        <v>ICTVonline=20183133</v>
      </c>
    </row>
    <row r="3009" spans="1:22">
      <c r="A3009" s="3">
        <v>3008</v>
      </c>
      <c r="L3009" s="1" t="s">
        <v>1139</v>
      </c>
      <c r="N3009" s="1" t="s">
        <v>1197</v>
      </c>
      <c r="P3009" s="1" t="s">
        <v>4857</v>
      </c>
      <c r="Q3009" s="3">
        <v>0</v>
      </c>
      <c r="R3009" s="22" t="s">
        <v>2766</v>
      </c>
      <c r="S3009" s="22" t="s">
        <v>5097</v>
      </c>
      <c r="T3009" s="51">
        <v>31</v>
      </c>
      <c r="U3009" s="3" t="s">
        <v>5934</v>
      </c>
      <c r="V3009" s="41" t="str">
        <f>HYPERLINK("http://ictvonline.org/taxonomy/p/taxonomy-history?taxnode_id=20183134","ICTVonline=20183134")</f>
        <v>ICTVonline=20183134</v>
      </c>
    </row>
    <row r="3010" spans="1:22">
      <c r="A3010" s="3">
        <v>3009</v>
      </c>
      <c r="L3010" s="1" t="s">
        <v>1139</v>
      </c>
      <c r="N3010" s="1" t="s">
        <v>1197</v>
      </c>
      <c r="P3010" s="1" t="s">
        <v>4858</v>
      </c>
      <c r="Q3010" s="3">
        <v>0</v>
      </c>
      <c r="R3010" s="22" t="s">
        <v>2766</v>
      </c>
      <c r="S3010" s="22" t="s">
        <v>5097</v>
      </c>
      <c r="T3010" s="51">
        <v>31</v>
      </c>
      <c r="U3010" s="3" t="s">
        <v>5934</v>
      </c>
      <c r="V3010" s="41" t="str">
        <f>HYPERLINK("http://ictvonline.org/taxonomy/p/taxonomy-history?taxnode_id=20183135","ICTVonline=20183135")</f>
        <v>ICTVonline=20183135</v>
      </c>
    </row>
    <row r="3011" spans="1:22">
      <c r="A3011" s="3">
        <v>3010</v>
      </c>
      <c r="L3011" s="1" t="s">
        <v>1139</v>
      </c>
      <c r="N3011" s="1" t="s">
        <v>1197</v>
      </c>
      <c r="P3011" s="1" t="s">
        <v>4859</v>
      </c>
      <c r="Q3011" s="3">
        <v>0</v>
      </c>
      <c r="R3011" s="22" t="s">
        <v>2766</v>
      </c>
      <c r="S3011" s="22" t="s">
        <v>5097</v>
      </c>
      <c r="T3011" s="51">
        <v>31</v>
      </c>
      <c r="U3011" s="3" t="s">
        <v>5934</v>
      </c>
      <c r="V3011" s="41" t="str">
        <f>HYPERLINK("http://ictvonline.org/taxonomy/p/taxonomy-history?taxnode_id=20183136","ICTVonline=20183136")</f>
        <v>ICTVonline=20183136</v>
      </c>
    </row>
    <row r="3012" spans="1:22">
      <c r="A3012" s="3">
        <v>3011</v>
      </c>
      <c r="L3012" s="1" t="s">
        <v>1139</v>
      </c>
      <c r="N3012" s="1" t="s">
        <v>1197</v>
      </c>
      <c r="P3012" s="1" t="s">
        <v>4860</v>
      </c>
      <c r="Q3012" s="3">
        <v>0</v>
      </c>
      <c r="R3012" s="22" t="s">
        <v>2766</v>
      </c>
      <c r="S3012" s="22" t="s">
        <v>5097</v>
      </c>
      <c r="T3012" s="51">
        <v>31</v>
      </c>
      <c r="U3012" s="3" t="s">
        <v>5934</v>
      </c>
      <c r="V3012" s="41" t="str">
        <f>HYPERLINK("http://ictvonline.org/taxonomy/p/taxonomy-history?taxnode_id=20183137","ICTVonline=20183137")</f>
        <v>ICTVonline=20183137</v>
      </c>
    </row>
    <row r="3013" spans="1:22">
      <c r="A3013" s="3">
        <v>3012</v>
      </c>
      <c r="L3013" s="1" t="s">
        <v>1139</v>
      </c>
      <c r="N3013" s="1" t="s">
        <v>1197</v>
      </c>
      <c r="P3013" s="1" t="s">
        <v>4861</v>
      </c>
      <c r="Q3013" s="3">
        <v>0</v>
      </c>
      <c r="R3013" s="22" t="s">
        <v>2766</v>
      </c>
      <c r="S3013" s="22" t="s">
        <v>5097</v>
      </c>
      <c r="T3013" s="51">
        <v>31</v>
      </c>
      <c r="U3013" s="3" t="s">
        <v>5934</v>
      </c>
      <c r="V3013" s="41" t="str">
        <f>HYPERLINK("http://ictvonline.org/taxonomy/p/taxonomy-history?taxnode_id=20183138","ICTVonline=20183138")</f>
        <v>ICTVonline=20183138</v>
      </c>
    </row>
    <row r="3014" spans="1:22">
      <c r="A3014" s="3">
        <v>3013</v>
      </c>
      <c r="L3014" s="1" t="s">
        <v>1139</v>
      </c>
      <c r="N3014" s="1" t="s">
        <v>2242</v>
      </c>
      <c r="P3014" s="1" t="s">
        <v>2243</v>
      </c>
      <c r="Q3014" s="3">
        <v>1</v>
      </c>
      <c r="R3014" s="22" t="s">
        <v>2766</v>
      </c>
      <c r="S3014" s="22" t="s">
        <v>5102</v>
      </c>
      <c r="T3014" s="51">
        <v>27</v>
      </c>
      <c r="U3014" s="3" t="s">
        <v>5935</v>
      </c>
      <c r="V3014" s="41" t="str">
        <f>HYPERLINK("http://ictvonline.org/taxonomy/p/taxonomy-history?taxnode_id=20183140","ICTVonline=20183140")</f>
        <v>ICTVonline=20183140</v>
      </c>
    </row>
    <row r="3015" spans="1:22">
      <c r="A3015" s="3">
        <v>3014</v>
      </c>
      <c r="L3015" s="1" t="s">
        <v>1139</v>
      </c>
      <c r="N3015" s="1" t="s">
        <v>2242</v>
      </c>
      <c r="P3015" s="1" t="s">
        <v>2244</v>
      </c>
      <c r="Q3015" s="3">
        <v>0</v>
      </c>
      <c r="R3015" s="22" t="s">
        <v>2766</v>
      </c>
      <c r="S3015" s="22" t="s">
        <v>5097</v>
      </c>
      <c r="T3015" s="51">
        <v>27</v>
      </c>
      <c r="U3015" s="3" t="s">
        <v>5935</v>
      </c>
      <c r="V3015" s="41" t="str">
        <f>HYPERLINK("http://ictvonline.org/taxonomy/p/taxonomy-history?taxnode_id=20183141","ICTVonline=20183141")</f>
        <v>ICTVonline=20183141</v>
      </c>
    </row>
    <row r="3016" spans="1:22">
      <c r="A3016" s="3">
        <v>3015</v>
      </c>
      <c r="L3016" s="1" t="s">
        <v>1139</v>
      </c>
      <c r="N3016" s="1" t="s">
        <v>2242</v>
      </c>
      <c r="P3016" s="1" t="s">
        <v>4862</v>
      </c>
      <c r="Q3016" s="3">
        <v>0</v>
      </c>
      <c r="R3016" s="22" t="s">
        <v>2766</v>
      </c>
      <c r="S3016" s="22" t="s">
        <v>5097</v>
      </c>
      <c r="T3016" s="51">
        <v>31</v>
      </c>
      <c r="U3016" s="3" t="s">
        <v>5936</v>
      </c>
      <c r="V3016" s="41" t="str">
        <f>HYPERLINK("http://ictvonline.org/taxonomy/p/taxonomy-history?taxnode_id=20183142","ICTVonline=20183142")</f>
        <v>ICTVonline=20183142</v>
      </c>
    </row>
    <row r="3017" spans="1:22">
      <c r="A3017" s="3">
        <v>3016</v>
      </c>
      <c r="L3017" s="1" t="s">
        <v>1139</v>
      </c>
      <c r="N3017" s="1" t="s">
        <v>2242</v>
      </c>
      <c r="P3017" s="1" t="s">
        <v>4863</v>
      </c>
      <c r="Q3017" s="3">
        <v>0</v>
      </c>
      <c r="R3017" s="22" t="s">
        <v>2766</v>
      </c>
      <c r="S3017" s="22" t="s">
        <v>5097</v>
      </c>
      <c r="T3017" s="51">
        <v>31</v>
      </c>
      <c r="U3017" s="3" t="s">
        <v>5936</v>
      </c>
      <c r="V3017" s="41" t="str">
        <f>HYPERLINK("http://ictvonline.org/taxonomy/p/taxonomy-history?taxnode_id=20183143","ICTVonline=20183143")</f>
        <v>ICTVonline=20183143</v>
      </c>
    </row>
    <row r="3018" spans="1:22">
      <c r="A3018" s="3">
        <v>3017</v>
      </c>
      <c r="L3018" s="1" t="s">
        <v>1139</v>
      </c>
      <c r="N3018" s="1" t="s">
        <v>2242</v>
      </c>
      <c r="P3018" s="1" t="s">
        <v>4864</v>
      </c>
      <c r="Q3018" s="3">
        <v>0</v>
      </c>
      <c r="R3018" s="22" t="s">
        <v>2766</v>
      </c>
      <c r="S3018" s="22" t="s">
        <v>5097</v>
      </c>
      <c r="T3018" s="51">
        <v>31</v>
      </c>
      <c r="U3018" s="3" t="s">
        <v>5936</v>
      </c>
      <c r="V3018" s="41" t="str">
        <f>HYPERLINK("http://ictvonline.org/taxonomy/p/taxonomy-history?taxnode_id=20183144","ICTVonline=20183144")</f>
        <v>ICTVonline=20183144</v>
      </c>
    </row>
    <row r="3019" spans="1:22">
      <c r="A3019" s="3">
        <v>3018</v>
      </c>
      <c r="L3019" s="1" t="s">
        <v>1139</v>
      </c>
      <c r="N3019" s="1" t="s">
        <v>2242</v>
      </c>
      <c r="P3019" s="1" t="s">
        <v>4865</v>
      </c>
      <c r="Q3019" s="3">
        <v>0</v>
      </c>
      <c r="R3019" s="22" t="s">
        <v>2766</v>
      </c>
      <c r="S3019" s="22" t="s">
        <v>5097</v>
      </c>
      <c r="T3019" s="51">
        <v>31</v>
      </c>
      <c r="U3019" s="3" t="s">
        <v>5936</v>
      </c>
      <c r="V3019" s="41" t="str">
        <f>HYPERLINK("http://ictvonline.org/taxonomy/p/taxonomy-history?taxnode_id=20183145","ICTVonline=20183145")</f>
        <v>ICTVonline=20183145</v>
      </c>
    </row>
    <row r="3020" spans="1:22">
      <c r="A3020" s="3">
        <v>3019</v>
      </c>
      <c r="L3020" s="1" t="s">
        <v>1139</v>
      </c>
      <c r="N3020" s="1" t="s">
        <v>2242</v>
      </c>
      <c r="P3020" s="1" t="s">
        <v>4866</v>
      </c>
      <c r="Q3020" s="3">
        <v>0</v>
      </c>
      <c r="R3020" s="22" t="s">
        <v>2766</v>
      </c>
      <c r="S3020" s="22" t="s">
        <v>5097</v>
      </c>
      <c r="T3020" s="51">
        <v>31</v>
      </c>
      <c r="U3020" s="3" t="s">
        <v>5936</v>
      </c>
      <c r="V3020" s="41" t="str">
        <f>HYPERLINK("http://ictvonline.org/taxonomy/p/taxonomy-history?taxnode_id=20183146","ICTVonline=20183146")</f>
        <v>ICTVonline=20183146</v>
      </c>
    </row>
    <row r="3021" spans="1:22">
      <c r="A3021" s="3">
        <v>3020</v>
      </c>
      <c r="L3021" s="1" t="s">
        <v>1139</v>
      </c>
      <c r="N3021" s="1" t="s">
        <v>2242</v>
      </c>
      <c r="P3021" s="1" t="s">
        <v>4867</v>
      </c>
      <c r="Q3021" s="3">
        <v>0</v>
      </c>
      <c r="R3021" s="22" t="s">
        <v>2766</v>
      </c>
      <c r="S3021" s="22" t="s">
        <v>5097</v>
      </c>
      <c r="T3021" s="51">
        <v>31</v>
      </c>
      <c r="U3021" s="3" t="s">
        <v>5936</v>
      </c>
      <c r="V3021" s="41" t="str">
        <f>HYPERLINK("http://ictvonline.org/taxonomy/p/taxonomy-history?taxnode_id=20183147","ICTVonline=20183147")</f>
        <v>ICTVonline=20183147</v>
      </c>
    </row>
    <row r="3022" spans="1:22">
      <c r="A3022" s="3">
        <v>3021</v>
      </c>
      <c r="L3022" s="1" t="s">
        <v>1139</v>
      </c>
      <c r="N3022" s="1" t="s">
        <v>2242</v>
      </c>
      <c r="P3022" s="1" t="s">
        <v>4868</v>
      </c>
      <c r="Q3022" s="3">
        <v>0</v>
      </c>
      <c r="R3022" s="22" t="s">
        <v>2766</v>
      </c>
      <c r="S3022" s="22" t="s">
        <v>5097</v>
      </c>
      <c r="T3022" s="51">
        <v>31</v>
      </c>
      <c r="U3022" s="3" t="s">
        <v>5936</v>
      </c>
      <c r="V3022" s="41" t="str">
        <f>HYPERLINK("http://ictvonline.org/taxonomy/p/taxonomy-history?taxnode_id=20183148","ICTVonline=20183148")</f>
        <v>ICTVonline=20183148</v>
      </c>
    </row>
    <row r="3023" spans="1:22">
      <c r="A3023" s="3">
        <v>3022</v>
      </c>
      <c r="L3023" s="1" t="s">
        <v>1139</v>
      </c>
      <c r="N3023" s="1" t="s">
        <v>2242</v>
      </c>
      <c r="P3023" s="1" t="s">
        <v>4869</v>
      </c>
      <c r="Q3023" s="3">
        <v>0</v>
      </c>
      <c r="R3023" s="22" t="s">
        <v>2766</v>
      </c>
      <c r="S3023" s="22" t="s">
        <v>5097</v>
      </c>
      <c r="T3023" s="51">
        <v>31</v>
      </c>
      <c r="U3023" s="3" t="s">
        <v>5936</v>
      </c>
      <c r="V3023" s="41" t="str">
        <f>HYPERLINK("http://ictvonline.org/taxonomy/p/taxonomy-history?taxnode_id=20183149","ICTVonline=20183149")</f>
        <v>ICTVonline=20183149</v>
      </c>
    </row>
    <row r="3024" spans="1:22">
      <c r="A3024" s="3">
        <v>3023</v>
      </c>
      <c r="L3024" s="1" t="s">
        <v>1139</v>
      </c>
      <c r="N3024" s="1" t="s">
        <v>2242</v>
      </c>
      <c r="P3024" s="1" t="s">
        <v>4870</v>
      </c>
      <c r="Q3024" s="3">
        <v>0</v>
      </c>
      <c r="R3024" s="22" t="s">
        <v>2766</v>
      </c>
      <c r="S3024" s="22" t="s">
        <v>5097</v>
      </c>
      <c r="T3024" s="51">
        <v>31</v>
      </c>
      <c r="U3024" s="3" t="s">
        <v>5936</v>
      </c>
      <c r="V3024" s="41" t="str">
        <f>HYPERLINK("http://ictvonline.org/taxonomy/p/taxonomy-history?taxnode_id=20183150","ICTVonline=20183150")</f>
        <v>ICTVonline=20183150</v>
      </c>
    </row>
    <row r="3025" spans="1:22">
      <c r="A3025" s="3">
        <v>3024</v>
      </c>
      <c r="L3025" s="1" t="s">
        <v>1139</v>
      </c>
      <c r="N3025" s="1" t="s">
        <v>1198</v>
      </c>
      <c r="P3025" s="1" t="s">
        <v>5937</v>
      </c>
      <c r="Q3025" s="3">
        <v>1</v>
      </c>
      <c r="R3025" s="22" t="s">
        <v>2766</v>
      </c>
      <c r="S3025" s="22" t="s">
        <v>6706</v>
      </c>
      <c r="T3025" s="51">
        <v>18</v>
      </c>
      <c r="U3025" s="3" t="s">
        <v>5486</v>
      </c>
      <c r="V3025" s="41" t="str">
        <f>HYPERLINK("http://ictvonline.org/taxonomy/p/taxonomy-history?taxnode_id=20183153","ICTVonline=20183153")</f>
        <v>ICTVonline=20183153</v>
      </c>
    </row>
    <row r="3026" spans="1:22">
      <c r="A3026" s="3">
        <v>3025</v>
      </c>
      <c r="L3026" s="1" t="s">
        <v>1139</v>
      </c>
      <c r="N3026" s="1" t="s">
        <v>1198</v>
      </c>
      <c r="P3026" s="1" t="s">
        <v>5939</v>
      </c>
      <c r="Q3026" s="3">
        <v>0</v>
      </c>
      <c r="R3026" s="22" t="s">
        <v>2766</v>
      </c>
      <c r="S3026" s="22" t="s">
        <v>6706</v>
      </c>
      <c r="T3026" s="51">
        <v>18</v>
      </c>
      <c r="U3026" s="3" t="s">
        <v>5486</v>
      </c>
      <c r="V3026" s="41" t="str">
        <f>HYPERLINK("http://ictvonline.org/taxonomy/p/taxonomy-history?taxnode_id=20183154","ICTVonline=20183154")</f>
        <v>ICTVonline=20183154</v>
      </c>
    </row>
    <row r="3027" spans="1:22">
      <c r="A3027" s="3">
        <v>3026</v>
      </c>
      <c r="L3027" s="1" t="s">
        <v>1139</v>
      </c>
      <c r="N3027" s="1" t="s">
        <v>1198</v>
      </c>
      <c r="P3027" s="1" t="s">
        <v>5940</v>
      </c>
      <c r="Q3027" s="3">
        <v>0</v>
      </c>
      <c r="R3027" s="22" t="s">
        <v>2766</v>
      </c>
      <c r="S3027" s="22" t="s">
        <v>5100</v>
      </c>
      <c r="T3027" s="51">
        <v>18</v>
      </c>
      <c r="U3027" s="3" t="s">
        <v>5486</v>
      </c>
      <c r="V3027" s="41" t="str">
        <f>HYPERLINK("http://ictvonline.org/taxonomy/p/taxonomy-history?taxnode_id=20183155","ICTVonline=20183155")</f>
        <v>ICTVonline=20183155</v>
      </c>
    </row>
    <row r="3028" spans="1:22">
      <c r="A3028" s="3">
        <v>3027</v>
      </c>
      <c r="L3028" s="1" t="s">
        <v>1139</v>
      </c>
      <c r="N3028" s="1" t="s">
        <v>1198</v>
      </c>
      <c r="P3028" s="1" t="s">
        <v>5941</v>
      </c>
      <c r="Q3028" s="3">
        <v>0</v>
      </c>
      <c r="R3028" s="22" t="s">
        <v>2766</v>
      </c>
      <c r="S3028" s="22" t="s">
        <v>5099</v>
      </c>
      <c r="T3028" s="51">
        <v>11</v>
      </c>
      <c r="U3028" s="3" t="s">
        <v>6232</v>
      </c>
      <c r="V3028" s="41" t="str">
        <f>HYPERLINK("http://ictvonline.org/taxonomy/p/taxonomy-history?taxnode_id=20183152","ICTVonline=20183152")</f>
        <v>ICTVonline=20183152</v>
      </c>
    </row>
    <row r="3029" spans="1:22">
      <c r="A3029" s="3">
        <v>3028</v>
      </c>
      <c r="L3029" s="1" t="s">
        <v>1139</v>
      </c>
      <c r="N3029" s="1" t="s">
        <v>1198</v>
      </c>
      <c r="P3029" s="1" t="s">
        <v>5942</v>
      </c>
      <c r="Q3029" s="3">
        <v>0</v>
      </c>
      <c r="R3029" s="22" t="s">
        <v>2766</v>
      </c>
      <c r="S3029" s="22" t="s">
        <v>5097</v>
      </c>
      <c r="T3029" s="51">
        <v>32</v>
      </c>
      <c r="U3029" s="3" t="s">
        <v>5938</v>
      </c>
      <c r="V3029" s="41" t="str">
        <f>HYPERLINK("http://ictvonline.org/taxonomy/p/taxonomy-history?taxnode_id=20185780","ICTVonline=20185780")</f>
        <v>ICTVonline=20185780</v>
      </c>
    </row>
    <row r="3030" spans="1:22">
      <c r="A3030" s="3">
        <v>3029</v>
      </c>
      <c r="L3030" s="1" t="s">
        <v>1139</v>
      </c>
      <c r="N3030" s="1" t="s">
        <v>1198</v>
      </c>
      <c r="P3030" s="1" t="s">
        <v>5943</v>
      </c>
      <c r="Q3030" s="3">
        <v>0</v>
      </c>
      <c r="R3030" s="22" t="s">
        <v>2766</v>
      </c>
      <c r="S3030" s="22" t="s">
        <v>5097</v>
      </c>
      <c r="T3030" s="51">
        <v>32</v>
      </c>
      <c r="U3030" s="3" t="s">
        <v>5938</v>
      </c>
      <c r="V3030" s="41" t="str">
        <f>HYPERLINK("http://ictvonline.org/taxonomy/p/taxonomy-history?taxnode_id=20185781","ICTVonline=20185781")</f>
        <v>ICTVonline=20185781</v>
      </c>
    </row>
    <row r="3031" spans="1:22">
      <c r="A3031" s="3">
        <v>3030</v>
      </c>
      <c r="L3031" s="1" t="s">
        <v>1139</v>
      </c>
      <c r="N3031" s="1" t="s">
        <v>1198</v>
      </c>
      <c r="P3031" s="1" t="s">
        <v>5944</v>
      </c>
      <c r="Q3031" s="3">
        <v>0</v>
      </c>
      <c r="R3031" s="22" t="s">
        <v>2766</v>
      </c>
      <c r="S3031" s="22" t="s">
        <v>5097</v>
      </c>
      <c r="T3031" s="51">
        <v>32</v>
      </c>
      <c r="U3031" s="3" t="s">
        <v>5938</v>
      </c>
      <c r="V3031" s="41" t="str">
        <f>HYPERLINK("http://ictvonline.org/taxonomy/p/taxonomy-history?taxnode_id=20185782","ICTVonline=20185782")</f>
        <v>ICTVonline=20185782</v>
      </c>
    </row>
    <row r="3032" spans="1:22">
      <c r="A3032" s="3">
        <v>3031</v>
      </c>
      <c r="L3032" s="1" t="s">
        <v>1139</v>
      </c>
      <c r="N3032" s="1" t="s">
        <v>1198</v>
      </c>
      <c r="P3032" s="1" t="s">
        <v>5945</v>
      </c>
      <c r="Q3032" s="3">
        <v>0</v>
      </c>
      <c r="R3032" s="22" t="s">
        <v>2766</v>
      </c>
      <c r="S3032" s="22" t="s">
        <v>5097</v>
      </c>
      <c r="T3032" s="51">
        <v>32</v>
      </c>
      <c r="U3032" s="3" t="s">
        <v>5938</v>
      </c>
      <c r="V3032" s="41" t="str">
        <f>HYPERLINK("http://ictvonline.org/taxonomy/p/taxonomy-history?taxnode_id=20185783","ICTVonline=20185783")</f>
        <v>ICTVonline=20185783</v>
      </c>
    </row>
    <row r="3033" spans="1:22">
      <c r="A3033" s="3">
        <v>3032</v>
      </c>
      <c r="L3033" s="1" t="s">
        <v>1139</v>
      </c>
      <c r="N3033" s="1" t="s">
        <v>1198</v>
      </c>
      <c r="P3033" s="1" t="s">
        <v>5946</v>
      </c>
      <c r="Q3033" s="3">
        <v>0</v>
      </c>
      <c r="R3033" s="22" t="s">
        <v>2766</v>
      </c>
      <c r="S3033" s="22" t="s">
        <v>5097</v>
      </c>
      <c r="T3033" s="51">
        <v>32</v>
      </c>
      <c r="U3033" s="3" t="s">
        <v>5938</v>
      </c>
      <c r="V3033" s="41" t="str">
        <f>HYPERLINK("http://ictvonline.org/taxonomy/p/taxonomy-history?taxnode_id=20185784","ICTVonline=20185784")</f>
        <v>ICTVonline=20185784</v>
      </c>
    </row>
    <row r="3034" spans="1:22">
      <c r="A3034" s="3">
        <v>3033</v>
      </c>
      <c r="L3034" s="1" t="s">
        <v>1139</v>
      </c>
      <c r="N3034" s="1" t="s">
        <v>1198</v>
      </c>
      <c r="P3034" s="1" t="s">
        <v>5947</v>
      </c>
      <c r="Q3034" s="3">
        <v>0</v>
      </c>
      <c r="R3034" s="22" t="s">
        <v>2766</v>
      </c>
      <c r="S3034" s="22" t="s">
        <v>5097</v>
      </c>
      <c r="T3034" s="51">
        <v>32</v>
      </c>
      <c r="U3034" s="3" t="s">
        <v>5938</v>
      </c>
      <c r="V3034" s="41" t="str">
        <f>HYPERLINK("http://ictvonline.org/taxonomy/p/taxonomy-history?taxnode_id=20185785","ICTVonline=20185785")</f>
        <v>ICTVonline=20185785</v>
      </c>
    </row>
    <row r="3035" spans="1:22">
      <c r="A3035" s="3">
        <v>3034</v>
      </c>
      <c r="L3035" s="1" t="s">
        <v>1139</v>
      </c>
      <c r="N3035" s="1" t="s">
        <v>1198</v>
      </c>
      <c r="P3035" s="1" t="s">
        <v>5948</v>
      </c>
      <c r="Q3035" s="3">
        <v>0</v>
      </c>
      <c r="R3035" s="22" t="s">
        <v>2766</v>
      </c>
      <c r="S3035" s="22" t="s">
        <v>5097</v>
      </c>
      <c r="T3035" s="51">
        <v>32</v>
      </c>
      <c r="U3035" s="3" t="s">
        <v>5938</v>
      </c>
      <c r="V3035" s="41" t="str">
        <f>HYPERLINK("http://ictvonline.org/taxonomy/p/taxonomy-history?taxnode_id=20185786","ICTVonline=20185786")</f>
        <v>ICTVonline=20185786</v>
      </c>
    </row>
    <row r="3036" spans="1:22">
      <c r="A3036" s="3">
        <v>3035</v>
      </c>
      <c r="L3036" s="1" t="s">
        <v>2101</v>
      </c>
      <c r="N3036" s="1" t="s">
        <v>2245</v>
      </c>
      <c r="P3036" s="1" t="s">
        <v>2102</v>
      </c>
      <c r="Q3036" s="3">
        <v>1</v>
      </c>
      <c r="R3036" s="22" t="s">
        <v>2764</v>
      </c>
      <c r="S3036" s="22" t="s">
        <v>5099</v>
      </c>
      <c r="T3036" s="51">
        <v>27</v>
      </c>
      <c r="U3036" s="3" t="s">
        <v>5949</v>
      </c>
      <c r="V3036" s="41" t="str">
        <f>HYPERLINK("http://ictvonline.org/taxonomy/p/taxonomy-history?taxnode_id=20183159","ICTVonline=20183159")</f>
        <v>ICTVonline=20183159</v>
      </c>
    </row>
    <row r="3037" spans="1:22">
      <c r="A3037" s="3">
        <v>3036</v>
      </c>
      <c r="L3037" s="1" t="s">
        <v>2101</v>
      </c>
      <c r="N3037" s="1" t="s">
        <v>2245</v>
      </c>
      <c r="P3037" s="1" t="s">
        <v>2246</v>
      </c>
      <c r="Q3037" s="3">
        <v>0</v>
      </c>
      <c r="R3037" s="22" t="s">
        <v>2764</v>
      </c>
      <c r="S3037" s="22" t="s">
        <v>5097</v>
      </c>
      <c r="T3037" s="51">
        <v>27</v>
      </c>
      <c r="U3037" s="3" t="s">
        <v>5949</v>
      </c>
      <c r="V3037" s="41" t="str">
        <f>HYPERLINK("http://ictvonline.org/taxonomy/p/taxonomy-history?taxnode_id=20183160","ICTVonline=20183160")</f>
        <v>ICTVonline=20183160</v>
      </c>
    </row>
    <row r="3038" spans="1:22">
      <c r="A3038" s="3">
        <v>3037</v>
      </c>
      <c r="L3038" s="1" t="s">
        <v>2101</v>
      </c>
      <c r="N3038" s="1" t="s">
        <v>2245</v>
      </c>
      <c r="P3038" s="1" t="s">
        <v>2247</v>
      </c>
      <c r="Q3038" s="3">
        <v>0</v>
      </c>
      <c r="R3038" s="22" t="s">
        <v>2764</v>
      </c>
      <c r="S3038" s="22" t="s">
        <v>5097</v>
      </c>
      <c r="T3038" s="51">
        <v>27</v>
      </c>
      <c r="U3038" s="3" t="s">
        <v>5949</v>
      </c>
      <c r="V3038" s="41" t="str">
        <f>HYPERLINK("http://ictvonline.org/taxonomy/p/taxonomy-history?taxnode_id=20183161","ICTVonline=20183161")</f>
        <v>ICTVonline=20183161</v>
      </c>
    </row>
    <row r="3039" spans="1:22">
      <c r="A3039" s="3">
        <v>3038</v>
      </c>
      <c r="L3039" s="1" t="s">
        <v>2101</v>
      </c>
      <c r="N3039" s="1" t="s">
        <v>2245</v>
      </c>
      <c r="P3039" s="1" t="s">
        <v>2248</v>
      </c>
      <c r="Q3039" s="3">
        <v>0</v>
      </c>
      <c r="R3039" s="22" t="s">
        <v>2764</v>
      </c>
      <c r="S3039" s="22" t="s">
        <v>5097</v>
      </c>
      <c r="T3039" s="51">
        <v>27</v>
      </c>
      <c r="U3039" s="3" t="s">
        <v>5949</v>
      </c>
      <c r="V3039" s="41" t="str">
        <f>HYPERLINK("http://ictvonline.org/taxonomy/p/taxonomy-history?taxnode_id=20183162","ICTVonline=20183162")</f>
        <v>ICTVonline=20183162</v>
      </c>
    </row>
    <row r="3040" spans="1:22">
      <c r="A3040" s="3">
        <v>3039</v>
      </c>
      <c r="L3040" s="1" t="s">
        <v>2101</v>
      </c>
      <c r="N3040" s="1" t="s">
        <v>2245</v>
      </c>
      <c r="P3040" s="1" t="s">
        <v>2249</v>
      </c>
      <c r="Q3040" s="3">
        <v>0</v>
      </c>
      <c r="R3040" s="22" t="s">
        <v>2764</v>
      </c>
      <c r="S3040" s="22" t="s">
        <v>5097</v>
      </c>
      <c r="T3040" s="51">
        <v>27</v>
      </c>
      <c r="U3040" s="3" t="s">
        <v>5949</v>
      </c>
      <c r="V3040" s="41" t="str">
        <f>HYPERLINK("http://ictvonline.org/taxonomy/p/taxonomy-history?taxnode_id=20183163","ICTVonline=20183163")</f>
        <v>ICTVonline=20183163</v>
      </c>
    </row>
    <row r="3041" spans="1:22">
      <c r="A3041" s="3">
        <v>3040</v>
      </c>
      <c r="L3041" s="1" t="s">
        <v>2101</v>
      </c>
      <c r="N3041" s="1" t="s">
        <v>2245</v>
      </c>
      <c r="P3041" s="1" t="s">
        <v>2250</v>
      </c>
      <c r="Q3041" s="3">
        <v>0</v>
      </c>
      <c r="R3041" s="22" t="s">
        <v>2764</v>
      </c>
      <c r="S3041" s="22" t="s">
        <v>5097</v>
      </c>
      <c r="T3041" s="51">
        <v>27</v>
      </c>
      <c r="U3041" s="3" t="s">
        <v>5949</v>
      </c>
      <c r="V3041" s="41" t="str">
        <f>HYPERLINK("http://ictvonline.org/taxonomy/p/taxonomy-history?taxnode_id=20183164","ICTVonline=20183164")</f>
        <v>ICTVonline=20183164</v>
      </c>
    </row>
    <row r="3042" spans="1:22">
      <c r="A3042" s="3">
        <v>3041</v>
      </c>
      <c r="L3042" s="1" t="s">
        <v>2101</v>
      </c>
      <c r="N3042" s="1" t="s">
        <v>2245</v>
      </c>
      <c r="P3042" s="1" t="s">
        <v>2251</v>
      </c>
      <c r="Q3042" s="3">
        <v>0</v>
      </c>
      <c r="R3042" s="22" t="s">
        <v>2764</v>
      </c>
      <c r="S3042" s="22" t="s">
        <v>5097</v>
      </c>
      <c r="T3042" s="51">
        <v>27</v>
      </c>
      <c r="U3042" s="3" t="s">
        <v>5949</v>
      </c>
      <c r="V3042" s="41" t="str">
        <f>HYPERLINK("http://ictvonline.org/taxonomy/p/taxonomy-history?taxnode_id=20183165","ICTVonline=20183165")</f>
        <v>ICTVonline=20183165</v>
      </c>
    </row>
    <row r="3043" spans="1:22">
      <c r="A3043" s="3">
        <v>3042</v>
      </c>
      <c r="L3043" s="1" t="s">
        <v>2101</v>
      </c>
      <c r="N3043" s="1" t="s">
        <v>2252</v>
      </c>
      <c r="P3043" s="1" t="s">
        <v>2253</v>
      </c>
      <c r="Q3043" s="3">
        <v>0</v>
      </c>
      <c r="R3043" s="22" t="s">
        <v>2764</v>
      </c>
      <c r="S3043" s="22" t="s">
        <v>5097</v>
      </c>
      <c r="T3043" s="51">
        <v>27</v>
      </c>
      <c r="U3043" s="3" t="s">
        <v>5949</v>
      </c>
      <c r="V3043" s="41" t="str">
        <f>HYPERLINK("http://ictvonline.org/taxonomy/p/taxonomy-history?taxnode_id=20183167","ICTVonline=20183167")</f>
        <v>ICTVonline=20183167</v>
      </c>
    </row>
    <row r="3044" spans="1:22">
      <c r="A3044" s="3">
        <v>3043</v>
      </c>
      <c r="L3044" s="1" t="s">
        <v>2101</v>
      </c>
      <c r="N3044" s="1" t="s">
        <v>2252</v>
      </c>
      <c r="P3044" s="1" t="s">
        <v>2254</v>
      </c>
      <c r="Q3044" s="3">
        <v>1</v>
      </c>
      <c r="R3044" s="22" t="s">
        <v>2764</v>
      </c>
      <c r="S3044" s="22" t="s">
        <v>5102</v>
      </c>
      <c r="T3044" s="51">
        <v>27</v>
      </c>
      <c r="U3044" s="3" t="s">
        <v>5949</v>
      </c>
      <c r="V3044" s="41" t="str">
        <f>HYPERLINK("http://ictvonline.org/taxonomy/p/taxonomy-history?taxnode_id=20183168","ICTVonline=20183168")</f>
        <v>ICTVonline=20183168</v>
      </c>
    </row>
    <row r="3045" spans="1:22">
      <c r="A3045" s="3">
        <v>3044</v>
      </c>
      <c r="L3045" s="1" t="s">
        <v>2103</v>
      </c>
      <c r="N3045" s="1" t="s">
        <v>2255</v>
      </c>
      <c r="P3045" s="1" t="s">
        <v>2161</v>
      </c>
      <c r="Q3045" s="3">
        <v>1</v>
      </c>
      <c r="R3045" s="22" t="s">
        <v>3871</v>
      </c>
      <c r="S3045" s="22" t="s">
        <v>5103</v>
      </c>
      <c r="T3045" s="51">
        <v>27</v>
      </c>
      <c r="U3045" s="3" t="s">
        <v>5950</v>
      </c>
      <c r="V3045" s="41" t="str">
        <f>HYPERLINK("http://ictvonline.org/taxonomy/p/taxonomy-history?taxnode_id=20183172","ICTVonline=20183172")</f>
        <v>ICTVonline=20183172</v>
      </c>
    </row>
    <row r="3046" spans="1:22">
      <c r="A3046" s="3">
        <v>3045</v>
      </c>
      <c r="L3046" s="1" t="s">
        <v>2103</v>
      </c>
      <c r="N3046" s="1" t="s">
        <v>2255</v>
      </c>
      <c r="P3046" s="1" t="s">
        <v>2256</v>
      </c>
      <c r="Q3046" s="3">
        <v>0</v>
      </c>
      <c r="R3046" s="22" t="s">
        <v>3871</v>
      </c>
      <c r="S3046" s="22" t="s">
        <v>5097</v>
      </c>
      <c r="T3046" s="51">
        <v>27</v>
      </c>
      <c r="U3046" s="3" t="s">
        <v>5950</v>
      </c>
      <c r="V3046" s="41" t="str">
        <f>HYPERLINK("http://ictvonline.org/taxonomy/p/taxonomy-history?taxnode_id=20183173","ICTVonline=20183173")</f>
        <v>ICTVonline=20183173</v>
      </c>
    </row>
    <row r="3047" spans="1:22">
      <c r="A3047" s="3">
        <v>3046</v>
      </c>
      <c r="L3047" s="1" t="s">
        <v>2103</v>
      </c>
      <c r="N3047" s="1" t="s">
        <v>2104</v>
      </c>
      <c r="P3047" s="1" t="s">
        <v>3887</v>
      </c>
      <c r="Q3047" s="3">
        <v>0</v>
      </c>
      <c r="R3047" s="22" t="s">
        <v>3871</v>
      </c>
      <c r="S3047" s="22" t="s">
        <v>5097</v>
      </c>
      <c r="T3047" s="51">
        <v>30</v>
      </c>
      <c r="U3047" s="3" t="s">
        <v>5951</v>
      </c>
      <c r="V3047" s="41" t="str">
        <f>HYPERLINK("http://ictvonline.org/taxonomy/p/taxonomy-history?taxnode_id=20183175","ICTVonline=20183175")</f>
        <v>ICTVonline=20183175</v>
      </c>
    </row>
    <row r="3048" spans="1:22">
      <c r="A3048" s="3">
        <v>3047</v>
      </c>
      <c r="L3048" s="1" t="s">
        <v>2103</v>
      </c>
      <c r="N3048" s="1" t="s">
        <v>2104</v>
      </c>
      <c r="P3048" s="1" t="s">
        <v>2396</v>
      </c>
      <c r="Q3048" s="3">
        <v>0</v>
      </c>
      <c r="R3048" s="22" t="s">
        <v>3871</v>
      </c>
      <c r="S3048" s="22" t="s">
        <v>5097</v>
      </c>
      <c r="T3048" s="51">
        <v>28</v>
      </c>
      <c r="U3048" s="3" t="s">
        <v>5952</v>
      </c>
      <c r="V3048" s="41" t="str">
        <f>HYPERLINK("http://ictvonline.org/taxonomy/p/taxonomy-history?taxnode_id=20183176","ICTVonline=20183176")</f>
        <v>ICTVonline=20183176</v>
      </c>
    </row>
    <row r="3049" spans="1:22">
      <c r="A3049" s="3">
        <v>3048</v>
      </c>
      <c r="L3049" s="1" t="s">
        <v>2103</v>
      </c>
      <c r="N3049" s="1" t="s">
        <v>2104</v>
      </c>
      <c r="P3049" s="1" t="s">
        <v>2397</v>
      </c>
      <c r="Q3049" s="3">
        <v>0</v>
      </c>
      <c r="R3049" s="22" t="s">
        <v>3871</v>
      </c>
      <c r="S3049" s="22" t="s">
        <v>5097</v>
      </c>
      <c r="T3049" s="51">
        <v>28</v>
      </c>
      <c r="U3049" s="3" t="s">
        <v>5952</v>
      </c>
      <c r="V3049" s="41" t="str">
        <f>HYPERLINK("http://ictvonline.org/taxonomy/p/taxonomy-history?taxnode_id=20183177","ICTVonline=20183177")</f>
        <v>ICTVonline=20183177</v>
      </c>
    </row>
    <row r="3050" spans="1:22">
      <c r="A3050" s="3">
        <v>3049</v>
      </c>
      <c r="L3050" s="1" t="s">
        <v>2103</v>
      </c>
      <c r="N3050" s="1" t="s">
        <v>2104</v>
      </c>
      <c r="P3050" s="1" t="s">
        <v>2105</v>
      </c>
      <c r="Q3050" s="3">
        <v>0</v>
      </c>
      <c r="R3050" s="22" t="s">
        <v>3871</v>
      </c>
      <c r="S3050" s="22" t="s">
        <v>5099</v>
      </c>
      <c r="T3050" s="51">
        <v>16</v>
      </c>
      <c r="U3050" s="3" t="s">
        <v>5884</v>
      </c>
      <c r="V3050" s="41" t="str">
        <f>HYPERLINK("http://ictvonline.org/taxonomy/p/taxonomy-history?taxnode_id=20183178","ICTVonline=20183178")</f>
        <v>ICTVonline=20183178</v>
      </c>
    </row>
    <row r="3051" spans="1:22">
      <c r="A3051" s="3">
        <v>3050</v>
      </c>
      <c r="L3051" s="1" t="s">
        <v>2103</v>
      </c>
      <c r="N3051" s="1" t="s">
        <v>2104</v>
      </c>
      <c r="P3051" s="1" t="s">
        <v>1995</v>
      </c>
      <c r="Q3051" s="3">
        <v>0</v>
      </c>
      <c r="R3051" s="22" t="s">
        <v>3871</v>
      </c>
      <c r="S3051" s="22" t="s">
        <v>5099</v>
      </c>
      <c r="T3051" s="51">
        <v>16</v>
      </c>
      <c r="U3051" s="3" t="s">
        <v>5884</v>
      </c>
      <c r="V3051" s="41" t="str">
        <f>HYPERLINK("http://ictvonline.org/taxonomy/p/taxonomy-history?taxnode_id=20183179","ICTVonline=20183179")</f>
        <v>ICTVonline=20183179</v>
      </c>
    </row>
    <row r="3052" spans="1:22">
      <c r="A3052" s="3">
        <v>3051</v>
      </c>
      <c r="L3052" s="1" t="s">
        <v>2103</v>
      </c>
      <c r="N3052" s="1" t="s">
        <v>2104</v>
      </c>
      <c r="P3052" s="1" t="s">
        <v>1996</v>
      </c>
      <c r="Q3052" s="3">
        <v>0</v>
      </c>
      <c r="R3052" s="22" t="s">
        <v>3871</v>
      </c>
      <c r="S3052" s="22" t="s">
        <v>5097</v>
      </c>
      <c r="T3052" s="51">
        <v>22</v>
      </c>
      <c r="U3052" s="3" t="s">
        <v>5953</v>
      </c>
      <c r="V3052" s="41" t="str">
        <f>HYPERLINK("http://ictvonline.org/taxonomy/p/taxonomy-history?taxnode_id=20183180","ICTVonline=20183180")</f>
        <v>ICTVonline=20183180</v>
      </c>
    </row>
    <row r="3053" spans="1:22">
      <c r="A3053" s="3">
        <v>3052</v>
      </c>
      <c r="L3053" s="1" t="s">
        <v>2103</v>
      </c>
      <c r="N3053" s="1" t="s">
        <v>2104</v>
      </c>
      <c r="P3053" s="1" t="s">
        <v>1997</v>
      </c>
      <c r="Q3053" s="3">
        <v>0</v>
      </c>
      <c r="R3053" s="22" t="s">
        <v>3871</v>
      </c>
      <c r="S3053" s="22" t="s">
        <v>5097</v>
      </c>
      <c r="T3053" s="51">
        <v>24</v>
      </c>
      <c r="U3053" s="3" t="s">
        <v>5954</v>
      </c>
      <c r="V3053" s="41" t="str">
        <f>HYPERLINK("http://ictvonline.org/taxonomy/p/taxonomy-history?taxnode_id=20183181","ICTVonline=20183181")</f>
        <v>ICTVonline=20183181</v>
      </c>
    </row>
    <row r="3054" spans="1:22">
      <c r="A3054" s="3">
        <v>3053</v>
      </c>
      <c r="L3054" s="1" t="s">
        <v>2103</v>
      </c>
      <c r="N3054" s="1" t="s">
        <v>2104</v>
      </c>
      <c r="P3054" s="1" t="s">
        <v>1998</v>
      </c>
      <c r="Q3054" s="3">
        <v>0</v>
      </c>
      <c r="R3054" s="22" t="s">
        <v>3871</v>
      </c>
      <c r="S3054" s="22" t="s">
        <v>5097</v>
      </c>
      <c r="T3054" s="51">
        <v>24</v>
      </c>
      <c r="U3054" s="3" t="s">
        <v>5955</v>
      </c>
      <c r="V3054" s="41" t="str">
        <f>HYPERLINK("http://ictvonline.org/taxonomy/p/taxonomy-history?taxnode_id=20183182","ICTVonline=20183182")</f>
        <v>ICTVonline=20183182</v>
      </c>
    </row>
    <row r="3055" spans="1:22">
      <c r="A3055" s="3">
        <v>3054</v>
      </c>
      <c r="L3055" s="1" t="s">
        <v>2103</v>
      </c>
      <c r="N3055" s="1" t="s">
        <v>2104</v>
      </c>
      <c r="P3055" s="1" t="s">
        <v>1999</v>
      </c>
      <c r="Q3055" s="3">
        <v>0</v>
      </c>
      <c r="R3055" s="22" t="s">
        <v>3871</v>
      </c>
      <c r="S3055" s="22" t="s">
        <v>5097</v>
      </c>
      <c r="T3055" s="51">
        <v>22</v>
      </c>
      <c r="U3055" s="3" t="s">
        <v>5953</v>
      </c>
      <c r="V3055" s="41" t="str">
        <f>HYPERLINK("http://ictvonline.org/taxonomy/p/taxonomy-history?taxnode_id=20183183","ICTVonline=20183183")</f>
        <v>ICTVonline=20183183</v>
      </c>
    </row>
    <row r="3056" spans="1:22">
      <c r="A3056" s="3">
        <v>3055</v>
      </c>
      <c r="L3056" s="1" t="s">
        <v>2103</v>
      </c>
      <c r="N3056" s="1" t="s">
        <v>2104</v>
      </c>
      <c r="P3056" s="1" t="s">
        <v>2000</v>
      </c>
      <c r="Q3056" s="3">
        <v>0</v>
      </c>
      <c r="R3056" s="22" t="s">
        <v>3871</v>
      </c>
      <c r="S3056" s="22" t="s">
        <v>5108</v>
      </c>
      <c r="T3056" s="51">
        <v>24</v>
      </c>
      <c r="U3056" s="3" t="s">
        <v>5956</v>
      </c>
      <c r="V3056" s="41" t="str">
        <f>HYPERLINK("http://ictvonline.org/taxonomy/p/taxonomy-history?taxnode_id=20183184","ICTVonline=20183184")</f>
        <v>ICTVonline=20183184</v>
      </c>
    </row>
    <row r="3057" spans="1:22">
      <c r="A3057" s="3">
        <v>3056</v>
      </c>
      <c r="L3057" s="1" t="s">
        <v>2103</v>
      </c>
      <c r="N3057" s="1" t="s">
        <v>2104</v>
      </c>
      <c r="P3057" s="1" t="s">
        <v>2398</v>
      </c>
      <c r="Q3057" s="3">
        <v>0</v>
      </c>
      <c r="R3057" s="22" t="s">
        <v>3871</v>
      </c>
      <c r="S3057" s="22" t="s">
        <v>5097</v>
      </c>
      <c r="T3057" s="51">
        <v>28</v>
      </c>
      <c r="U3057" s="3" t="s">
        <v>5952</v>
      </c>
      <c r="V3057" s="41" t="str">
        <f>HYPERLINK("http://ictvonline.org/taxonomy/p/taxonomy-history?taxnode_id=20183185","ICTVonline=20183185")</f>
        <v>ICTVonline=20183185</v>
      </c>
    </row>
    <row r="3058" spans="1:22">
      <c r="A3058" s="3">
        <v>3057</v>
      </c>
      <c r="L3058" s="1" t="s">
        <v>2103</v>
      </c>
      <c r="N3058" s="1" t="s">
        <v>2104</v>
      </c>
      <c r="P3058" s="1" t="s">
        <v>5957</v>
      </c>
      <c r="Q3058" s="3">
        <v>0</v>
      </c>
      <c r="R3058" s="22" t="s">
        <v>3871</v>
      </c>
      <c r="S3058" s="22" t="s">
        <v>5097</v>
      </c>
      <c r="T3058" s="51">
        <v>32</v>
      </c>
      <c r="U3058" s="3" t="s">
        <v>5958</v>
      </c>
      <c r="V3058" s="41" t="str">
        <f>HYPERLINK("http://ictvonline.org/taxonomy/p/taxonomy-history?taxnode_id=20185787","ICTVonline=20185787")</f>
        <v>ICTVonline=20185787</v>
      </c>
    </row>
    <row r="3059" spans="1:22">
      <c r="A3059" s="3">
        <v>3058</v>
      </c>
      <c r="L3059" s="1" t="s">
        <v>2103</v>
      </c>
      <c r="N3059" s="1" t="s">
        <v>2104</v>
      </c>
      <c r="P3059" s="1" t="s">
        <v>2001</v>
      </c>
      <c r="Q3059" s="3">
        <v>0</v>
      </c>
      <c r="R3059" s="22" t="s">
        <v>3871</v>
      </c>
      <c r="S3059" s="22" t="s">
        <v>5097</v>
      </c>
      <c r="T3059" s="51">
        <v>24</v>
      </c>
      <c r="U3059" s="3" t="s">
        <v>5959</v>
      </c>
      <c r="V3059" s="41" t="str">
        <f>HYPERLINK("http://ictvonline.org/taxonomy/p/taxonomy-history?taxnode_id=20183186","ICTVonline=20183186")</f>
        <v>ICTVonline=20183186</v>
      </c>
    </row>
    <row r="3060" spans="1:22">
      <c r="A3060" s="3">
        <v>3059</v>
      </c>
      <c r="L3060" s="1" t="s">
        <v>2103</v>
      </c>
      <c r="N3060" s="1" t="s">
        <v>2104</v>
      </c>
      <c r="P3060" s="1" t="s">
        <v>5960</v>
      </c>
      <c r="Q3060" s="3">
        <v>0</v>
      </c>
      <c r="R3060" s="22" t="s">
        <v>3871</v>
      </c>
      <c r="S3060" s="22" t="s">
        <v>5097</v>
      </c>
      <c r="T3060" s="51">
        <v>32</v>
      </c>
      <c r="U3060" s="3" t="s">
        <v>5958</v>
      </c>
      <c r="V3060" s="41" t="str">
        <f>HYPERLINK("http://ictvonline.org/taxonomy/p/taxonomy-history?taxnode_id=20185788","ICTVonline=20185788")</f>
        <v>ICTVonline=20185788</v>
      </c>
    </row>
    <row r="3061" spans="1:22">
      <c r="A3061" s="3">
        <v>3060</v>
      </c>
      <c r="L3061" s="1" t="s">
        <v>2103</v>
      </c>
      <c r="N3061" s="1" t="s">
        <v>2104</v>
      </c>
      <c r="P3061" s="1" t="s">
        <v>5961</v>
      </c>
      <c r="Q3061" s="3">
        <v>0</v>
      </c>
      <c r="R3061" s="22" t="s">
        <v>3871</v>
      </c>
      <c r="S3061" s="22" t="s">
        <v>5097</v>
      </c>
      <c r="T3061" s="51">
        <v>32</v>
      </c>
      <c r="U3061" s="3" t="s">
        <v>5958</v>
      </c>
      <c r="V3061" s="41" t="str">
        <f>HYPERLINK("http://ictvonline.org/taxonomy/p/taxonomy-history?taxnode_id=20185789","ICTVonline=20185789")</f>
        <v>ICTVonline=20185789</v>
      </c>
    </row>
    <row r="3062" spans="1:22">
      <c r="A3062" s="3">
        <v>3061</v>
      </c>
      <c r="L3062" s="1" t="s">
        <v>2103</v>
      </c>
      <c r="N3062" s="1" t="s">
        <v>2104</v>
      </c>
      <c r="P3062" s="1" t="s">
        <v>2002</v>
      </c>
      <c r="Q3062" s="3">
        <v>0</v>
      </c>
      <c r="R3062" s="22" t="s">
        <v>3871</v>
      </c>
      <c r="S3062" s="22" t="s">
        <v>5099</v>
      </c>
      <c r="T3062" s="51">
        <v>16</v>
      </c>
      <c r="U3062" s="3" t="s">
        <v>5884</v>
      </c>
      <c r="V3062" s="41" t="str">
        <f>HYPERLINK("http://ictvonline.org/taxonomy/p/taxonomy-history?taxnode_id=20183187","ICTVonline=20183187")</f>
        <v>ICTVonline=20183187</v>
      </c>
    </row>
    <row r="3063" spans="1:22">
      <c r="A3063" s="3">
        <v>3062</v>
      </c>
      <c r="L3063" s="1" t="s">
        <v>2103</v>
      </c>
      <c r="N3063" s="1" t="s">
        <v>2104</v>
      </c>
      <c r="P3063" s="1" t="s">
        <v>2399</v>
      </c>
      <c r="Q3063" s="3">
        <v>0</v>
      </c>
      <c r="R3063" s="22" t="s">
        <v>3871</v>
      </c>
      <c r="S3063" s="22" t="s">
        <v>5097</v>
      </c>
      <c r="T3063" s="51">
        <v>28</v>
      </c>
      <c r="U3063" s="3" t="s">
        <v>5952</v>
      </c>
      <c r="V3063" s="41" t="str">
        <f>HYPERLINK("http://ictvonline.org/taxonomy/p/taxonomy-history?taxnode_id=20183188","ICTVonline=20183188")</f>
        <v>ICTVonline=20183188</v>
      </c>
    </row>
    <row r="3064" spans="1:22">
      <c r="A3064" s="3">
        <v>3063</v>
      </c>
      <c r="L3064" s="1" t="s">
        <v>2103</v>
      </c>
      <c r="N3064" s="1" t="s">
        <v>2104</v>
      </c>
      <c r="P3064" s="1" t="s">
        <v>2003</v>
      </c>
      <c r="Q3064" s="3">
        <v>0</v>
      </c>
      <c r="R3064" s="22" t="s">
        <v>3871</v>
      </c>
      <c r="S3064" s="22" t="s">
        <v>5099</v>
      </c>
      <c r="T3064" s="51">
        <v>16</v>
      </c>
      <c r="U3064" s="3" t="s">
        <v>5884</v>
      </c>
      <c r="V3064" s="41" t="str">
        <f>HYPERLINK("http://ictvonline.org/taxonomy/p/taxonomy-history?taxnode_id=20183189","ICTVonline=20183189")</f>
        <v>ICTVonline=20183189</v>
      </c>
    </row>
    <row r="3065" spans="1:22">
      <c r="A3065" s="3">
        <v>3064</v>
      </c>
      <c r="L3065" s="1" t="s">
        <v>2103</v>
      </c>
      <c r="N3065" s="1" t="s">
        <v>2104</v>
      </c>
      <c r="P3065" s="1" t="s">
        <v>275</v>
      </c>
      <c r="Q3065" s="3">
        <v>0</v>
      </c>
      <c r="R3065" s="22" t="s">
        <v>3871</v>
      </c>
      <c r="S3065" s="22" t="s">
        <v>5100</v>
      </c>
      <c r="T3065" s="51">
        <v>23</v>
      </c>
      <c r="U3065" s="3" t="s">
        <v>5872</v>
      </c>
      <c r="V3065" s="41" t="str">
        <f>HYPERLINK("http://ictvonline.org/taxonomy/p/taxonomy-history?taxnode_id=20183190","ICTVonline=20183190")</f>
        <v>ICTVonline=20183190</v>
      </c>
    </row>
    <row r="3066" spans="1:22">
      <c r="A3066" s="3">
        <v>3065</v>
      </c>
      <c r="L3066" s="1" t="s">
        <v>2103</v>
      </c>
      <c r="N3066" s="1" t="s">
        <v>2104</v>
      </c>
      <c r="P3066" s="1" t="s">
        <v>276</v>
      </c>
      <c r="Q3066" s="3">
        <v>1</v>
      </c>
      <c r="R3066" s="22" t="s">
        <v>3871</v>
      </c>
      <c r="S3066" s="22" t="s">
        <v>5100</v>
      </c>
      <c r="T3066" s="51">
        <v>23</v>
      </c>
      <c r="U3066" s="3" t="s">
        <v>5872</v>
      </c>
      <c r="V3066" s="41" t="str">
        <f>HYPERLINK("http://ictvonline.org/taxonomy/p/taxonomy-history?taxnode_id=20183191","ICTVonline=20183191")</f>
        <v>ICTVonline=20183191</v>
      </c>
    </row>
    <row r="3067" spans="1:22">
      <c r="A3067" s="3">
        <v>3066</v>
      </c>
      <c r="L3067" s="1" t="s">
        <v>2103</v>
      </c>
      <c r="N3067" s="1" t="s">
        <v>2104</v>
      </c>
      <c r="P3067" s="1" t="s">
        <v>5962</v>
      </c>
      <c r="Q3067" s="3">
        <v>0</v>
      </c>
      <c r="R3067" s="22" t="s">
        <v>3871</v>
      </c>
      <c r="S3067" s="22" t="s">
        <v>5097</v>
      </c>
      <c r="T3067" s="51">
        <v>32</v>
      </c>
      <c r="U3067" s="3" t="s">
        <v>5958</v>
      </c>
      <c r="V3067" s="41" t="str">
        <f>HYPERLINK("http://ictvonline.org/taxonomy/p/taxonomy-history?taxnode_id=20185790","ICTVonline=20185790")</f>
        <v>ICTVonline=20185790</v>
      </c>
    </row>
    <row r="3068" spans="1:22">
      <c r="A3068" s="3">
        <v>3067</v>
      </c>
      <c r="L3068" s="1" t="s">
        <v>2103</v>
      </c>
      <c r="N3068" s="1" t="s">
        <v>2104</v>
      </c>
      <c r="P3068" s="1" t="s">
        <v>2400</v>
      </c>
      <c r="Q3068" s="3">
        <v>0</v>
      </c>
      <c r="R3068" s="22" t="s">
        <v>3871</v>
      </c>
      <c r="S3068" s="22" t="s">
        <v>5097</v>
      </c>
      <c r="T3068" s="51">
        <v>28</v>
      </c>
      <c r="U3068" s="3" t="s">
        <v>5952</v>
      </c>
      <c r="V3068" s="41" t="str">
        <f>HYPERLINK("http://ictvonline.org/taxonomy/p/taxonomy-history?taxnode_id=20183192","ICTVonline=20183192")</f>
        <v>ICTVonline=20183192</v>
      </c>
    </row>
    <row r="3069" spans="1:22">
      <c r="A3069" s="3">
        <v>3068</v>
      </c>
      <c r="L3069" s="1" t="s">
        <v>2103</v>
      </c>
      <c r="N3069" s="1" t="s">
        <v>2104</v>
      </c>
      <c r="P3069" s="1" t="s">
        <v>2401</v>
      </c>
      <c r="Q3069" s="3">
        <v>0</v>
      </c>
      <c r="R3069" s="22" t="s">
        <v>3871</v>
      </c>
      <c r="S3069" s="22" t="s">
        <v>5097</v>
      </c>
      <c r="T3069" s="51">
        <v>28</v>
      </c>
      <c r="U3069" s="3" t="s">
        <v>5952</v>
      </c>
      <c r="V3069" s="41" t="str">
        <f>HYPERLINK("http://ictvonline.org/taxonomy/p/taxonomy-history?taxnode_id=20183193","ICTVonline=20183193")</f>
        <v>ICTVonline=20183193</v>
      </c>
    </row>
    <row r="3070" spans="1:22">
      <c r="A3070" s="3">
        <v>3069</v>
      </c>
      <c r="L3070" s="1" t="s">
        <v>2103</v>
      </c>
      <c r="N3070" s="1" t="s">
        <v>2104</v>
      </c>
      <c r="P3070" s="1" t="s">
        <v>2402</v>
      </c>
      <c r="Q3070" s="3">
        <v>0</v>
      </c>
      <c r="R3070" s="22" t="s">
        <v>3871</v>
      </c>
      <c r="S3070" s="22" t="s">
        <v>5097</v>
      </c>
      <c r="T3070" s="51">
        <v>28</v>
      </c>
      <c r="U3070" s="3" t="s">
        <v>5952</v>
      </c>
      <c r="V3070" s="41" t="str">
        <f>HYPERLINK("http://ictvonline.org/taxonomy/p/taxonomy-history?taxnode_id=20183194","ICTVonline=20183194")</f>
        <v>ICTVonline=20183194</v>
      </c>
    </row>
    <row r="3071" spans="1:22">
      <c r="A3071" s="3">
        <v>3070</v>
      </c>
      <c r="L3071" s="1" t="s">
        <v>2103</v>
      </c>
      <c r="N3071" s="1" t="s">
        <v>2104</v>
      </c>
      <c r="P3071" s="1" t="s">
        <v>277</v>
      </c>
      <c r="Q3071" s="3">
        <v>0</v>
      </c>
      <c r="R3071" s="22" t="s">
        <v>3871</v>
      </c>
      <c r="S3071" s="22" t="s">
        <v>5099</v>
      </c>
      <c r="T3071" s="51">
        <v>16</v>
      </c>
      <c r="U3071" s="3" t="s">
        <v>5884</v>
      </c>
      <c r="V3071" s="41" t="str">
        <f>HYPERLINK("http://ictvonline.org/taxonomy/p/taxonomy-history?taxnode_id=20183195","ICTVonline=20183195")</f>
        <v>ICTVonline=20183195</v>
      </c>
    </row>
    <row r="3072" spans="1:22">
      <c r="A3072" s="3">
        <v>3071</v>
      </c>
      <c r="L3072" s="1" t="s">
        <v>2103</v>
      </c>
      <c r="N3072" s="1" t="s">
        <v>2104</v>
      </c>
      <c r="P3072" s="1" t="s">
        <v>2403</v>
      </c>
      <c r="Q3072" s="3">
        <v>0</v>
      </c>
      <c r="R3072" s="22" t="s">
        <v>3871</v>
      </c>
      <c r="S3072" s="22" t="s">
        <v>5097</v>
      </c>
      <c r="T3072" s="51">
        <v>28</v>
      </c>
      <c r="U3072" s="3" t="s">
        <v>5952</v>
      </c>
      <c r="V3072" s="41" t="str">
        <f>HYPERLINK("http://ictvonline.org/taxonomy/p/taxonomy-history?taxnode_id=20183196","ICTVonline=20183196")</f>
        <v>ICTVonline=20183196</v>
      </c>
    </row>
    <row r="3073" spans="1:22">
      <c r="A3073" s="3">
        <v>3072</v>
      </c>
      <c r="L3073" s="1" t="s">
        <v>2103</v>
      </c>
      <c r="N3073" s="1" t="s">
        <v>2104</v>
      </c>
      <c r="P3073" s="1" t="s">
        <v>2404</v>
      </c>
      <c r="Q3073" s="3">
        <v>0</v>
      </c>
      <c r="R3073" s="22" t="s">
        <v>3871</v>
      </c>
      <c r="S3073" s="22" t="s">
        <v>5097</v>
      </c>
      <c r="T3073" s="51">
        <v>28</v>
      </c>
      <c r="U3073" s="3" t="s">
        <v>5952</v>
      </c>
      <c r="V3073" s="41" t="str">
        <f>HYPERLINK("http://ictvonline.org/taxonomy/p/taxonomy-history?taxnode_id=20183197","ICTVonline=20183197")</f>
        <v>ICTVonline=20183197</v>
      </c>
    </row>
    <row r="3074" spans="1:22">
      <c r="A3074" s="3">
        <v>3073</v>
      </c>
      <c r="L3074" s="1" t="s">
        <v>2103</v>
      </c>
      <c r="N3074" s="1" t="s">
        <v>2104</v>
      </c>
      <c r="P3074" s="1" t="s">
        <v>278</v>
      </c>
      <c r="Q3074" s="3">
        <v>0</v>
      </c>
      <c r="R3074" s="22" t="s">
        <v>3871</v>
      </c>
      <c r="S3074" s="22" t="s">
        <v>5097</v>
      </c>
      <c r="T3074" s="51">
        <v>24</v>
      </c>
      <c r="U3074" s="3" t="s">
        <v>5955</v>
      </c>
      <c r="V3074" s="41" t="str">
        <f>HYPERLINK("http://ictvonline.org/taxonomy/p/taxonomy-history?taxnode_id=20183198","ICTVonline=20183198")</f>
        <v>ICTVonline=20183198</v>
      </c>
    </row>
    <row r="3075" spans="1:22">
      <c r="A3075" s="3">
        <v>3074</v>
      </c>
      <c r="L3075" s="1" t="s">
        <v>2103</v>
      </c>
      <c r="N3075" s="1" t="s">
        <v>2104</v>
      </c>
      <c r="P3075" s="1" t="s">
        <v>279</v>
      </c>
      <c r="Q3075" s="3">
        <v>0</v>
      </c>
      <c r="R3075" s="22" t="s">
        <v>3871</v>
      </c>
      <c r="S3075" s="22" t="s">
        <v>5097</v>
      </c>
      <c r="T3075" s="51">
        <v>24</v>
      </c>
      <c r="U3075" s="3" t="s">
        <v>5959</v>
      </c>
      <c r="V3075" s="41" t="str">
        <f>HYPERLINK("http://ictvonline.org/taxonomy/p/taxonomy-history?taxnode_id=20183199","ICTVonline=20183199")</f>
        <v>ICTVonline=20183199</v>
      </c>
    </row>
    <row r="3076" spans="1:22">
      <c r="A3076" s="3">
        <v>3075</v>
      </c>
      <c r="L3076" s="1" t="s">
        <v>2103</v>
      </c>
      <c r="N3076" s="1" t="s">
        <v>2104</v>
      </c>
      <c r="P3076" s="1" t="s">
        <v>280</v>
      </c>
      <c r="Q3076" s="3">
        <v>0</v>
      </c>
      <c r="R3076" s="22" t="s">
        <v>3871</v>
      </c>
      <c r="S3076" s="22" t="s">
        <v>5097</v>
      </c>
      <c r="T3076" s="51">
        <v>22</v>
      </c>
      <c r="U3076" s="3" t="s">
        <v>5953</v>
      </c>
      <c r="V3076" s="41" t="str">
        <f>HYPERLINK("http://ictvonline.org/taxonomy/p/taxonomy-history?taxnode_id=20183200","ICTVonline=20183200")</f>
        <v>ICTVonline=20183200</v>
      </c>
    </row>
    <row r="3077" spans="1:22">
      <c r="A3077" s="3">
        <v>3076</v>
      </c>
      <c r="L3077" s="1" t="s">
        <v>2103</v>
      </c>
      <c r="N3077" s="1" t="s">
        <v>2104</v>
      </c>
      <c r="P3077" s="1" t="s">
        <v>3888</v>
      </c>
      <c r="Q3077" s="3">
        <v>0</v>
      </c>
      <c r="R3077" s="22" t="s">
        <v>3871</v>
      </c>
      <c r="S3077" s="22" t="s">
        <v>5097</v>
      </c>
      <c r="T3077" s="51">
        <v>30</v>
      </c>
      <c r="U3077" s="3" t="s">
        <v>5951</v>
      </c>
      <c r="V3077" s="41" t="str">
        <f>HYPERLINK("http://ictvonline.org/taxonomy/p/taxonomy-history?taxnode_id=20183201","ICTVonline=20183201")</f>
        <v>ICTVonline=20183201</v>
      </c>
    </row>
    <row r="3078" spans="1:22">
      <c r="A3078" s="3">
        <v>3077</v>
      </c>
      <c r="L3078" s="1" t="s">
        <v>2103</v>
      </c>
      <c r="N3078" s="1" t="s">
        <v>2104</v>
      </c>
      <c r="P3078" s="1" t="s">
        <v>3889</v>
      </c>
      <c r="Q3078" s="3">
        <v>0</v>
      </c>
      <c r="R3078" s="22" t="s">
        <v>3871</v>
      </c>
      <c r="S3078" s="22" t="s">
        <v>5097</v>
      </c>
      <c r="T3078" s="51">
        <v>30</v>
      </c>
      <c r="U3078" s="3" t="s">
        <v>5951</v>
      </c>
      <c r="V3078" s="41" t="str">
        <f>HYPERLINK("http://ictvonline.org/taxonomy/p/taxonomy-history?taxnode_id=20183202","ICTVonline=20183202")</f>
        <v>ICTVonline=20183202</v>
      </c>
    </row>
    <row r="3079" spans="1:22">
      <c r="A3079" s="3">
        <v>3078</v>
      </c>
      <c r="L3079" s="1" t="s">
        <v>2103</v>
      </c>
      <c r="N3079" s="1" t="s">
        <v>2104</v>
      </c>
      <c r="P3079" s="1" t="s">
        <v>3890</v>
      </c>
      <c r="Q3079" s="3">
        <v>0</v>
      </c>
      <c r="R3079" s="22" t="s">
        <v>3871</v>
      </c>
      <c r="S3079" s="22" t="s">
        <v>5097</v>
      </c>
      <c r="T3079" s="51">
        <v>30</v>
      </c>
      <c r="U3079" s="3" t="s">
        <v>5951</v>
      </c>
      <c r="V3079" s="41" t="str">
        <f>HYPERLINK("http://ictvonline.org/taxonomy/p/taxonomy-history?taxnode_id=20183203","ICTVonline=20183203")</f>
        <v>ICTVonline=20183203</v>
      </c>
    </row>
    <row r="3080" spans="1:22">
      <c r="A3080" s="3">
        <v>3079</v>
      </c>
      <c r="L3080" s="1" t="s">
        <v>2103</v>
      </c>
      <c r="N3080" s="1" t="s">
        <v>2104</v>
      </c>
      <c r="P3080" s="1" t="s">
        <v>2405</v>
      </c>
      <c r="Q3080" s="3">
        <v>0</v>
      </c>
      <c r="R3080" s="22" t="s">
        <v>3871</v>
      </c>
      <c r="S3080" s="22" t="s">
        <v>5097</v>
      </c>
      <c r="T3080" s="51">
        <v>28</v>
      </c>
      <c r="U3080" s="3" t="s">
        <v>5952</v>
      </c>
      <c r="V3080" s="41" t="str">
        <f>HYPERLINK("http://ictvonline.org/taxonomy/p/taxonomy-history?taxnode_id=20183204","ICTVonline=20183204")</f>
        <v>ICTVonline=20183204</v>
      </c>
    </row>
    <row r="3081" spans="1:22">
      <c r="A3081" s="3">
        <v>3080</v>
      </c>
      <c r="L3081" s="1" t="s">
        <v>2103</v>
      </c>
      <c r="N3081" s="1" t="s">
        <v>2104</v>
      </c>
      <c r="P3081" s="1" t="s">
        <v>281</v>
      </c>
      <c r="Q3081" s="3">
        <v>0</v>
      </c>
      <c r="R3081" s="22" t="s">
        <v>3871</v>
      </c>
      <c r="S3081" s="22" t="s">
        <v>5100</v>
      </c>
      <c r="T3081" s="51">
        <v>23</v>
      </c>
      <c r="U3081" s="3" t="s">
        <v>5872</v>
      </c>
      <c r="V3081" s="41" t="str">
        <f>HYPERLINK("http://ictvonline.org/taxonomy/p/taxonomy-history?taxnode_id=20183205","ICTVonline=20183205")</f>
        <v>ICTVonline=20183205</v>
      </c>
    </row>
    <row r="3082" spans="1:22">
      <c r="A3082" s="3">
        <v>3081</v>
      </c>
      <c r="L3082" s="1" t="s">
        <v>2103</v>
      </c>
      <c r="N3082" s="1" t="s">
        <v>2104</v>
      </c>
      <c r="P3082" s="1" t="s">
        <v>3891</v>
      </c>
      <c r="Q3082" s="3">
        <v>0</v>
      </c>
      <c r="R3082" s="22" t="s">
        <v>3871</v>
      </c>
      <c r="S3082" s="22" t="s">
        <v>5097</v>
      </c>
      <c r="T3082" s="51">
        <v>30</v>
      </c>
      <c r="U3082" s="3" t="s">
        <v>5951</v>
      </c>
      <c r="V3082" s="41" t="str">
        <f>HYPERLINK("http://ictvonline.org/taxonomy/p/taxonomy-history?taxnode_id=20183206","ICTVonline=20183206")</f>
        <v>ICTVonline=20183206</v>
      </c>
    </row>
    <row r="3083" spans="1:22">
      <c r="A3083" s="3">
        <v>3082</v>
      </c>
      <c r="L3083" s="1" t="s">
        <v>2103</v>
      </c>
      <c r="N3083" s="1" t="s">
        <v>2104</v>
      </c>
      <c r="P3083" s="1" t="s">
        <v>3892</v>
      </c>
      <c r="Q3083" s="3">
        <v>0</v>
      </c>
      <c r="R3083" s="22" t="s">
        <v>3871</v>
      </c>
      <c r="S3083" s="22" t="s">
        <v>5097</v>
      </c>
      <c r="T3083" s="51">
        <v>30</v>
      </c>
      <c r="U3083" s="3" t="s">
        <v>5951</v>
      </c>
      <c r="V3083" s="41" t="str">
        <f>HYPERLINK("http://ictvonline.org/taxonomy/p/taxonomy-history?taxnode_id=20183207","ICTVonline=20183207")</f>
        <v>ICTVonline=20183207</v>
      </c>
    </row>
    <row r="3084" spans="1:22">
      <c r="A3084" s="3">
        <v>3083</v>
      </c>
      <c r="L3084" s="1" t="s">
        <v>2103</v>
      </c>
      <c r="N3084" s="1" t="s">
        <v>2104</v>
      </c>
      <c r="P3084" s="1" t="s">
        <v>3893</v>
      </c>
      <c r="Q3084" s="3">
        <v>0</v>
      </c>
      <c r="R3084" s="22" t="s">
        <v>3871</v>
      </c>
      <c r="S3084" s="22" t="s">
        <v>5097</v>
      </c>
      <c r="T3084" s="51">
        <v>30</v>
      </c>
      <c r="U3084" s="3" t="s">
        <v>5951</v>
      </c>
      <c r="V3084" s="41" t="str">
        <f>HYPERLINK("http://ictvonline.org/taxonomy/p/taxonomy-history?taxnode_id=20183208","ICTVonline=20183208")</f>
        <v>ICTVonline=20183208</v>
      </c>
    </row>
    <row r="3085" spans="1:22">
      <c r="A3085" s="3">
        <v>3084</v>
      </c>
      <c r="L3085" s="1" t="s">
        <v>2103</v>
      </c>
      <c r="N3085" s="1" t="s">
        <v>2104</v>
      </c>
      <c r="P3085" s="1" t="s">
        <v>3894</v>
      </c>
      <c r="Q3085" s="3">
        <v>0</v>
      </c>
      <c r="R3085" s="22" t="s">
        <v>3871</v>
      </c>
      <c r="S3085" s="22" t="s">
        <v>5097</v>
      </c>
      <c r="T3085" s="51">
        <v>30</v>
      </c>
      <c r="U3085" s="3" t="s">
        <v>5951</v>
      </c>
      <c r="V3085" s="41" t="str">
        <f>HYPERLINK("http://ictvonline.org/taxonomy/p/taxonomy-history?taxnode_id=20183209","ICTVonline=20183209")</f>
        <v>ICTVonline=20183209</v>
      </c>
    </row>
    <row r="3086" spans="1:22">
      <c r="A3086" s="3">
        <v>3085</v>
      </c>
      <c r="L3086" s="1" t="s">
        <v>2103</v>
      </c>
      <c r="N3086" s="1" t="s">
        <v>2104</v>
      </c>
      <c r="P3086" s="1" t="s">
        <v>282</v>
      </c>
      <c r="Q3086" s="3">
        <v>0</v>
      </c>
      <c r="R3086" s="22" t="s">
        <v>3871</v>
      </c>
      <c r="S3086" s="22" t="s">
        <v>5097</v>
      </c>
      <c r="T3086" s="51">
        <v>22</v>
      </c>
      <c r="U3086" s="3" t="s">
        <v>5953</v>
      </c>
      <c r="V3086" s="41" t="str">
        <f>HYPERLINK("http://ictvonline.org/taxonomy/p/taxonomy-history?taxnode_id=20183210","ICTVonline=20183210")</f>
        <v>ICTVonline=20183210</v>
      </c>
    </row>
    <row r="3087" spans="1:22">
      <c r="A3087" s="3">
        <v>3086</v>
      </c>
      <c r="L3087" s="1" t="s">
        <v>2103</v>
      </c>
      <c r="N3087" s="1" t="s">
        <v>2104</v>
      </c>
      <c r="P3087" s="1" t="s">
        <v>2406</v>
      </c>
      <c r="Q3087" s="3">
        <v>0</v>
      </c>
      <c r="R3087" s="22" t="s">
        <v>3871</v>
      </c>
      <c r="S3087" s="22" t="s">
        <v>5097</v>
      </c>
      <c r="T3087" s="51">
        <v>28</v>
      </c>
      <c r="U3087" s="3" t="s">
        <v>5952</v>
      </c>
      <c r="V3087" s="41" t="str">
        <f>HYPERLINK("http://ictvonline.org/taxonomy/p/taxonomy-history?taxnode_id=20183211","ICTVonline=20183211")</f>
        <v>ICTVonline=20183211</v>
      </c>
    </row>
    <row r="3088" spans="1:22">
      <c r="A3088" s="3">
        <v>3087</v>
      </c>
      <c r="L3088" s="1" t="s">
        <v>2103</v>
      </c>
      <c r="N3088" s="1" t="s">
        <v>2104</v>
      </c>
      <c r="P3088" s="1" t="s">
        <v>283</v>
      </c>
      <c r="Q3088" s="3">
        <v>0</v>
      </c>
      <c r="R3088" s="22" t="s">
        <v>3871</v>
      </c>
      <c r="S3088" s="22" t="s">
        <v>5100</v>
      </c>
      <c r="T3088" s="51">
        <v>22</v>
      </c>
      <c r="U3088" s="3" t="s">
        <v>5963</v>
      </c>
      <c r="V3088" s="41" t="str">
        <f>HYPERLINK("http://ictvonline.org/taxonomy/p/taxonomy-history?taxnode_id=20183212","ICTVonline=20183212")</f>
        <v>ICTVonline=20183212</v>
      </c>
    </row>
    <row r="3089" spans="1:22">
      <c r="A3089" s="3">
        <v>3088</v>
      </c>
      <c r="L3089" s="1" t="s">
        <v>2103</v>
      </c>
      <c r="N3089" s="1" t="s">
        <v>2104</v>
      </c>
      <c r="P3089" s="1" t="s">
        <v>2407</v>
      </c>
      <c r="Q3089" s="3">
        <v>0</v>
      </c>
      <c r="R3089" s="22" t="s">
        <v>3871</v>
      </c>
      <c r="S3089" s="22" t="s">
        <v>5097</v>
      </c>
      <c r="T3089" s="51">
        <v>28</v>
      </c>
      <c r="U3089" s="3" t="s">
        <v>5952</v>
      </c>
      <c r="V3089" s="41" t="str">
        <f>HYPERLINK("http://ictvonline.org/taxonomy/p/taxonomy-history?taxnode_id=20183213","ICTVonline=20183213")</f>
        <v>ICTVonline=20183213</v>
      </c>
    </row>
    <row r="3090" spans="1:22">
      <c r="A3090" s="3">
        <v>3089</v>
      </c>
      <c r="L3090" s="1" t="s">
        <v>2103</v>
      </c>
      <c r="N3090" s="1" t="s">
        <v>2104</v>
      </c>
      <c r="P3090" s="1" t="s">
        <v>2408</v>
      </c>
      <c r="Q3090" s="3">
        <v>0</v>
      </c>
      <c r="R3090" s="22" t="s">
        <v>3871</v>
      </c>
      <c r="S3090" s="22" t="s">
        <v>5097</v>
      </c>
      <c r="T3090" s="51">
        <v>28</v>
      </c>
      <c r="U3090" s="3" t="s">
        <v>5952</v>
      </c>
      <c r="V3090" s="41" t="str">
        <f>HYPERLINK("http://ictvonline.org/taxonomy/p/taxonomy-history?taxnode_id=20183214","ICTVonline=20183214")</f>
        <v>ICTVonline=20183214</v>
      </c>
    </row>
    <row r="3091" spans="1:22">
      <c r="A3091" s="3">
        <v>3090</v>
      </c>
      <c r="L3091" s="1" t="s">
        <v>2103</v>
      </c>
      <c r="N3091" s="1" t="s">
        <v>2104</v>
      </c>
      <c r="P3091" s="1" t="s">
        <v>284</v>
      </c>
      <c r="Q3091" s="3">
        <v>0</v>
      </c>
      <c r="R3091" s="22" t="s">
        <v>3871</v>
      </c>
      <c r="S3091" s="22" t="s">
        <v>5097</v>
      </c>
      <c r="T3091" s="51">
        <v>24</v>
      </c>
      <c r="U3091" s="3" t="s">
        <v>5955</v>
      </c>
      <c r="V3091" s="41" t="str">
        <f>HYPERLINK("http://ictvonline.org/taxonomy/p/taxonomy-history?taxnode_id=20183215","ICTVonline=20183215")</f>
        <v>ICTVonline=20183215</v>
      </c>
    </row>
    <row r="3092" spans="1:22">
      <c r="A3092" s="3">
        <v>3091</v>
      </c>
      <c r="L3092" s="1" t="s">
        <v>2103</v>
      </c>
      <c r="N3092" s="1" t="s">
        <v>2104</v>
      </c>
      <c r="P3092" s="1" t="s">
        <v>3895</v>
      </c>
      <c r="Q3092" s="3">
        <v>0</v>
      </c>
      <c r="R3092" s="22" t="s">
        <v>3871</v>
      </c>
      <c r="S3092" s="22" t="s">
        <v>5097</v>
      </c>
      <c r="T3092" s="51">
        <v>30</v>
      </c>
      <c r="U3092" s="3" t="s">
        <v>5951</v>
      </c>
      <c r="V3092" s="41" t="str">
        <f>HYPERLINK("http://ictvonline.org/taxonomy/p/taxonomy-history?taxnode_id=20183216","ICTVonline=20183216")</f>
        <v>ICTVonline=20183216</v>
      </c>
    </row>
    <row r="3093" spans="1:22">
      <c r="A3093" s="3">
        <v>3092</v>
      </c>
      <c r="L3093" s="1" t="s">
        <v>2103</v>
      </c>
      <c r="N3093" s="1" t="s">
        <v>2104</v>
      </c>
      <c r="P3093" s="1" t="s">
        <v>3896</v>
      </c>
      <c r="Q3093" s="3">
        <v>0</v>
      </c>
      <c r="R3093" s="22" t="s">
        <v>3871</v>
      </c>
      <c r="S3093" s="22" t="s">
        <v>5097</v>
      </c>
      <c r="T3093" s="51">
        <v>30</v>
      </c>
      <c r="U3093" s="3" t="s">
        <v>5951</v>
      </c>
      <c r="V3093" s="41" t="str">
        <f>HYPERLINK("http://ictvonline.org/taxonomy/p/taxonomy-history?taxnode_id=20183217","ICTVonline=20183217")</f>
        <v>ICTVonline=20183217</v>
      </c>
    </row>
    <row r="3094" spans="1:22">
      <c r="A3094" s="3">
        <v>3093</v>
      </c>
      <c r="L3094" s="1" t="s">
        <v>2103</v>
      </c>
      <c r="N3094" s="1" t="s">
        <v>2104</v>
      </c>
      <c r="P3094" s="1" t="s">
        <v>3897</v>
      </c>
      <c r="Q3094" s="3">
        <v>0</v>
      </c>
      <c r="R3094" s="22" t="s">
        <v>3871</v>
      </c>
      <c r="S3094" s="22" t="s">
        <v>5097</v>
      </c>
      <c r="T3094" s="51">
        <v>30</v>
      </c>
      <c r="U3094" s="3" t="s">
        <v>5951</v>
      </c>
      <c r="V3094" s="41" t="str">
        <f>HYPERLINK("http://ictvonline.org/taxonomy/p/taxonomy-history?taxnode_id=20183218","ICTVonline=20183218")</f>
        <v>ICTVonline=20183218</v>
      </c>
    </row>
    <row r="3095" spans="1:22">
      <c r="A3095" s="3">
        <v>3094</v>
      </c>
      <c r="L3095" s="1" t="s">
        <v>2103</v>
      </c>
      <c r="N3095" s="1" t="s">
        <v>2104</v>
      </c>
      <c r="P3095" s="1" t="s">
        <v>5964</v>
      </c>
      <c r="Q3095" s="3">
        <v>0</v>
      </c>
      <c r="R3095" s="22" t="s">
        <v>3871</v>
      </c>
      <c r="S3095" s="22" t="s">
        <v>5097</v>
      </c>
      <c r="T3095" s="51">
        <v>32</v>
      </c>
      <c r="U3095" s="3" t="s">
        <v>5958</v>
      </c>
      <c r="V3095" s="41" t="str">
        <f>HYPERLINK("http://ictvonline.org/taxonomy/p/taxonomy-history?taxnode_id=20185791","ICTVonline=20185791")</f>
        <v>ICTVonline=20185791</v>
      </c>
    </row>
    <row r="3096" spans="1:22">
      <c r="A3096" s="3">
        <v>3095</v>
      </c>
      <c r="L3096" s="1" t="s">
        <v>2103</v>
      </c>
      <c r="N3096" s="1" t="s">
        <v>2104</v>
      </c>
      <c r="P3096" s="1" t="s">
        <v>5965</v>
      </c>
      <c r="Q3096" s="3">
        <v>0</v>
      </c>
      <c r="R3096" s="22" t="s">
        <v>3871</v>
      </c>
      <c r="S3096" s="22" t="s">
        <v>5097</v>
      </c>
      <c r="T3096" s="51">
        <v>32</v>
      </c>
      <c r="U3096" s="3" t="s">
        <v>5958</v>
      </c>
      <c r="V3096" s="41" t="str">
        <f>HYPERLINK("http://ictvonline.org/taxonomy/p/taxonomy-history?taxnode_id=20185792","ICTVonline=20185792")</f>
        <v>ICTVonline=20185792</v>
      </c>
    </row>
    <row r="3097" spans="1:22">
      <c r="A3097" s="3">
        <v>3096</v>
      </c>
      <c r="L3097" s="1" t="s">
        <v>2103</v>
      </c>
      <c r="N3097" s="1" t="s">
        <v>2104</v>
      </c>
      <c r="P3097" s="1" t="s">
        <v>5966</v>
      </c>
      <c r="Q3097" s="3">
        <v>0</v>
      </c>
      <c r="R3097" s="22" t="s">
        <v>3871</v>
      </c>
      <c r="S3097" s="22" t="s">
        <v>5097</v>
      </c>
      <c r="T3097" s="51">
        <v>32</v>
      </c>
      <c r="U3097" s="3" t="s">
        <v>5958</v>
      </c>
      <c r="V3097" s="41" t="str">
        <f>HYPERLINK("http://ictvonline.org/taxonomy/p/taxonomy-history?taxnode_id=20185793","ICTVonline=20185793")</f>
        <v>ICTVonline=20185793</v>
      </c>
    </row>
    <row r="3098" spans="1:22">
      <c r="A3098" s="3">
        <v>3097</v>
      </c>
      <c r="L3098" s="1" t="s">
        <v>2103</v>
      </c>
      <c r="N3098" s="1" t="s">
        <v>2104</v>
      </c>
      <c r="P3098" s="1" t="s">
        <v>5967</v>
      </c>
      <c r="Q3098" s="3">
        <v>0</v>
      </c>
      <c r="R3098" s="22" t="s">
        <v>3871</v>
      </c>
      <c r="S3098" s="22" t="s">
        <v>5097</v>
      </c>
      <c r="T3098" s="51">
        <v>32</v>
      </c>
      <c r="U3098" s="3" t="s">
        <v>5958</v>
      </c>
      <c r="V3098" s="41" t="str">
        <f>HYPERLINK("http://ictvonline.org/taxonomy/p/taxonomy-history?taxnode_id=20185794","ICTVonline=20185794")</f>
        <v>ICTVonline=20185794</v>
      </c>
    </row>
    <row r="3099" spans="1:22">
      <c r="A3099" s="3">
        <v>3098</v>
      </c>
      <c r="L3099" s="1" t="s">
        <v>2103</v>
      </c>
      <c r="N3099" s="1" t="s">
        <v>2104</v>
      </c>
      <c r="P3099" s="1" t="s">
        <v>285</v>
      </c>
      <c r="Q3099" s="3">
        <v>0</v>
      </c>
      <c r="R3099" s="22" t="s">
        <v>3871</v>
      </c>
      <c r="S3099" s="22" t="s">
        <v>5097</v>
      </c>
      <c r="T3099" s="51">
        <v>24</v>
      </c>
      <c r="U3099" s="3" t="s">
        <v>5955</v>
      </c>
      <c r="V3099" s="41" t="str">
        <f>HYPERLINK("http://ictvonline.org/taxonomy/p/taxonomy-history?taxnode_id=20183219","ICTVonline=20183219")</f>
        <v>ICTVonline=20183219</v>
      </c>
    </row>
    <row r="3100" spans="1:22">
      <c r="A3100" s="3">
        <v>3099</v>
      </c>
      <c r="L3100" s="1" t="s">
        <v>2103</v>
      </c>
      <c r="N3100" s="1" t="s">
        <v>2104</v>
      </c>
      <c r="P3100" s="1" t="s">
        <v>286</v>
      </c>
      <c r="Q3100" s="3">
        <v>0</v>
      </c>
      <c r="R3100" s="22" t="s">
        <v>3871</v>
      </c>
      <c r="S3100" s="22" t="s">
        <v>5097</v>
      </c>
      <c r="T3100" s="51">
        <v>24</v>
      </c>
      <c r="U3100" s="3" t="s">
        <v>5955</v>
      </c>
      <c r="V3100" s="41" t="str">
        <f>HYPERLINK("http://ictvonline.org/taxonomy/p/taxonomy-history?taxnode_id=20183220","ICTVonline=20183220")</f>
        <v>ICTVonline=20183220</v>
      </c>
    </row>
    <row r="3101" spans="1:22">
      <c r="A3101" s="3">
        <v>3100</v>
      </c>
      <c r="L3101" s="1" t="s">
        <v>2103</v>
      </c>
      <c r="N3101" s="1" t="s">
        <v>2104</v>
      </c>
      <c r="P3101" s="1" t="s">
        <v>3898</v>
      </c>
      <c r="Q3101" s="3">
        <v>0</v>
      </c>
      <c r="R3101" s="22" t="s">
        <v>3871</v>
      </c>
      <c r="S3101" s="22" t="s">
        <v>5097</v>
      </c>
      <c r="T3101" s="51">
        <v>30</v>
      </c>
      <c r="U3101" s="3" t="s">
        <v>5951</v>
      </c>
      <c r="V3101" s="41" t="str">
        <f>HYPERLINK("http://ictvonline.org/taxonomy/p/taxonomy-history?taxnode_id=20183221","ICTVonline=20183221")</f>
        <v>ICTVonline=20183221</v>
      </c>
    </row>
    <row r="3102" spans="1:22">
      <c r="A3102" s="3">
        <v>3101</v>
      </c>
      <c r="L3102" s="1" t="s">
        <v>2103</v>
      </c>
      <c r="N3102" s="1" t="s">
        <v>2104</v>
      </c>
      <c r="P3102" s="1" t="s">
        <v>94</v>
      </c>
      <c r="Q3102" s="3">
        <v>0</v>
      </c>
      <c r="R3102" s="22" t="s">
        <v>3871</v>
      </c>
      <c r="S3102" s="22" t="s">
        <v>5100</v>
      </c>
      <c r="T3102" s="51">
        <v>26</v>
      </c>
      <c r="U3102" s="3" t="s">
        <v>5968</v>
      </c>
      <c r="V3102" s="41" t="str">
        <f>HYPERLINK("http://ictvonline.org/taxonomy/p/taxonomy-history?taxnode_id=20183222","ICTVonline=20183222")</f>
        <v>ICTVonline=20183222</v>
      </c>
    </row>
    <row r="3103" spans="1:22">
      <c r="A3103" s="3">
        <v>3102</v>
      </c>
      <c r="L3103" s="1" t="s">
        <v>2103</v>
      </c>
      <c r="N3103" s="1" t="s">
        <v>2104</v>
      </c>
      <c r="P3103" s="1" t="s">
        <v>3899</v>
      </c>
      <c r="Q3103" s="3">
        <v>0</v>
      </c>
      <c r="R3103" s="22" t="s">
        <v>3871</v>
      </c>
      <c r="S3103" s="22" t="s">
        <v>5097</v>
      </c>
      <c r="T3103" s="51">
        <v>30</v>
      </c>
      <c r="U3103" s="3" t="s">
        <v>5951</v>
      </c>
      <c r="V3103" s="41" t="str">
        <f>HYPERLINK("http://ictvonline.org/taxonomy/p/taxonomy-history?taxnode_id=20183223","ICTVonline=20183223")</f>
        <v>ICTVonline=20183223</v>
      </c>
    </row>
    <row r="3104" spans="1:22">
      <c r="A3104" s="3">
        <v>3103</v>
      </c>
      <c r="L3104" s="1" t="s">
        <v>2103</v>
      </c>
      <c r="N3104" s="1" t="s">
        <v>2104</v>
      </c>
      <c r="P3104" s="1" t="s">
        <v>413</v>
      </c>
      <c r="Q3104" s="3">
        <v>0</v>
      </c>
      <c r="R3104" s="22" t="s">
        <v>3871</v>
      </c>
      <c r="S3104" s="22" t="s">
        <v>5099</v>
      </c>
      <c r="T3104" s="51">
        <v>16</v>
      </c>
      <c r="U3104" s="3" t="s">
        <v>5884</v>
      </c>
      <c r="V3104" s="41" t="str">
        <f>HYPERLINK("http://ictvonline.org/taxonomy/p/taxonomy-history?taxnode_id=20183224","ICTVonline=20183224")</f>
        <v>ICTVonline=20183224</v>
      </c>
    </row>
    <row r="3105" spans="1:22">
      <c r="A3105" s="3">
        <v>3104</v>
      </c>
      <c r="L3105" s="1" t="s">
        <v>2103</v>
      </c>
      <c r="N3105" s="1" t="s">
        <v>2104</v>
      </c>
      <c r="P3105" s="1" t="s">
        <v>289</v>
      </c>
      <c r="Q3105" s="3">
        <v>0</v>
      </c>
      <c r="R3105" s="22" t="s">
        <v>3871</v>
      </c>
      <c r="S3105" s="22" t="s">
        <v>5097</v>
      </c>
      <c r="T3105" s="51">
        <v>22</v>
      </c>
      <c r="U3105" s="3" t="s">
        <v>5953</v>
      </c>
      <c r="V3105" s="41" t="str">
        <f>HYPERLINK("http://ictvonline.org/taxonomy/p/taxonomy-history?taxnode_id=20183225","ICTVonline=20183225")</f>
        <v>ICTVonline=20183225</v>
      </c>
    </row>
    <row r="3106" spans="1:22">
      <c r="A3106" s="3">
        <v>3105</v>
      </c>
      <c r="L3106" s="1" t="s">
        <v>2103</v>
      </c>
      <c r="N3106" s="1" t="s">
        <v>2104</v>
      </c>
      <c r="P3106" s="1" t="s">
        <v>1290</v>
      </c>
      <c r="Q3106" s="3">
        <v>0</v>
      </c>
      <c r="R3106" s="22" t="s">
        <v>3871</v>
      </c>
      <c r="S3106" s="22" t="s">
        <v>5097</v>
      </c>
      <c r="T3106" s="51">
        <v>24</v>
      </c>
      <c r="U3106" s="3" t="s">
        <v>5959</v>
      </c>
      <c r="V3106" s="41" t="str">
        <f>HYPERLINK("http://ictvonline.org/taxonomy/p/taxonomy-history?taxnode_id=20183226","ICTVonline=20183226")</f>
        <v>ICTVonline=20183226</v>
      </c>
    </row>
    <row r="3107" spans="1:22">
      <c r="A3107" s="3">
        <v>3106</v>
      </c>
      <c r="L3107" s="1" t="s">
        <v>2103</v>
      </c>
      <c r="N3107" s="1" t="s">
        <v>2104</v>
      </c>
      <c r="P3107" s="1" t="s">
        <v>5969</v>
      </c>
      <c r="Q3107" s="3">
        <v>0</v>
      </c>
      <c r="R3107" s="22" t="s">
        <v>3871</v>
      </c>
      <c r="S3107" s="22" t="s">
        <v>5097</v>
      </c>
      <c r="T3107" s="51">
        <v>32</v>
      </c>
      <c r="U3107" s="3" t="s">
        <v>5958</v>
      </c>
      <c r="V3107" s="41" t="str">
        <f>HYPERLINK("http://ictvonline.org/taxonomy/p/taxonomy-history?taxnode_id=20185795","ICTVonline=20185795")</f>
        <v>ICTVonline=20185795</v>
      </c>
    </row>
    <row r="3108" spans="1:22">
      <c r="A3108" s="3">
        <v>3107</v>
      </c>
      <c r="L3108" s="1" t="s">
        <v>2103</v>
      </c>
      <c r="N3108" s="1" t="s">
        <v>2104</v>
      </c>
      <c r="P3108" s="1" t="s">
        <v>291</v>
      </c>
      <c r="Q3108" s="3">
        <v>0</v>
      </c>
      <c r="R3108" s="22" t="s">
        <v>3871</v>
      </c>
      <c r="S3108" s="22" t="s">
        <v>5097</v>
      </c>
      <c r="T3108" s="51">
        <v>22</v>
      </c>
      <c r="U3108" s="3" t="s">
        <v>5953</v>
      </c>
      <c r="V3108" s="41" t="str">
        <f>HYPERLINK("http://ictvonline.org/taxonomy/p/taxonomy-history?taxnode_id=20183227","ICTVonline=20183227")</f>
        <v>ICTVonline=20183227</v>
      </c>
    </row>
    <row r="3109" spans="1:22">
      <c r="A3109" s="3">
        <v>3108</v>
      </c>
      <c r="L3109" s="1" t="s">
        <v>2103</v>
      </c>
      <c r="N3109" s="1" t="s">
        <v>2104</v>
      </c>
      <c r="P3109" s="1" t="s">
        <v>292</v>
      </c>
      <c r="Q3109" s="3">
        <v>0</v>
      </c>
      <c r="R3109" s="22" t="s">
        <v>3871</v>
      </c>
      <c r="S3109" s="22" t="s">
        <v>5097</v>
      </c>
      <c r="T3109" s="51">
        <v>22</v>
      </c>
      <c r="U3109" s="3" t="s">
        <v>5953</v>
      </c>
      <c r="V3109" s="41" t="str">
        <f>HYPERLINK("http://ictvonline.org/taxonomy/p/taxonomy-history?taxnode_id=20183228","ICTVonline=20183228")</f>
        <v>ICTVonline=20183228</v>
      </c>
    </row>
    <row r="3110" spans="1:22">
      <c r="A3110" s="3">
        <v>3109</v>
      </c>
      <c r="L3110" s="1" t="s">
        <v>2103</v>
      </c>
      <c r="N3110" s="1" t="s">
        <v>2104</v>
      </c>
      <c r="P3110" s="1" t="s">
        <v>409</v>
      </c>
      <c r="Q3110" s="3">
        <v>0</v>
      </c>
      <c r="R3110" s="22" t="s">
        <v>3871</v>
      </c>
      <c r="S3110" s="22" t="s">
        <v>5105</v>
      </c>
      <c r="T3110" s="51">
        <v>24</v>
      </c>
      <c r="U3110" s="3" t="s">
        <v>5956</v>
      </c>
      <c r="V3110" s="41" t="str">
        <f>HYPERLINK("http://ictvonline.org/taxonomy/p/taxonomy-history?taxnode_id=20183229","ICTVonline=20183229")</f>
        <v>ICTVonline=20183229</v>
      </c>
    </row>
    <row r="3111" spans="1:22">
      <c r="A3111" s="3">
        <v>3110</v>
      </c>
      <c r="L3111" s="1" t="s">
        <v>2103</v>
      </c>
      <c r="N3111" s="1" t="s">
        <v>2104</v>
      </c>
      <c r="P3111" s="1" t="s">
        <v>5970</v>
      </c>
      <c r="Q3111" s="3">
        <v>0</v>
      </c>
      <c r="R3111" s="22" t="s">
        <v>3871</v>
      </c>
      <c r="S3111" s="22" t="s">
        <v>5097</v>
      </c>
      <c r="T3111" s="51">
        <v>32</v>
      </c>
      <c r="U3111" s="3" t="s">
        <v>5958</v>
      </c>
      <c r="V3111" s="41" t="str">
        <f>HYPERLINK("http://ictvonline.org/taxonomy/p/taxonomy-history?taxnode_id=20185796","ICTVonline=20185796")</f>
        <v>ICTVonline=20185796</v>
      </c>
    </row>
    <row r="3112" spans="1:22">
      <c r="A3112" s="3">
        <v>3111</v>
      </c>
      <c r="L3112" s="1" t="s">
        <v>2103</v>
      </c>
      <c r="N3112" s="1" t="s">
        <v>2104</v>
      </c>
      <c r="P3112" s="1" t="s">
        <v>410</v>
      </c>
      <c r="Q3112" s="3">
        <v>0</v>
      </c>
      <c r="R3112" s="22" t="s">
        <v>3871</v>
      </c>
      <c r="S3112" s="22" t="s">
        <v>5097</v>
      </c>
      <c r="T3112" s="51">
        <v>17</v>
      </c>
      <c r="U3112" s="3" t="s">
        <v>5823</v>
      </c>
      <c r="V3112" s="41" t="str">
        <f>HYPERLINK("http://ictvonline.org/taxonomy/p/taxonomy-history?taxnode_id=20183230","ICTVonline=20183230")</f>
        <v>ICTVonline=20183230</v>
      </c>
    </row>
    <row r="3113" spans="1:22">
      <c r="A3113" s="3">
        <v>3112</v>
      </c>
      <c r="L3113" s="1" t="s">
        <v>2103</v>
      </c>
      <c r="N3113" s="1" t="s">
        <v>2104</v>
      </c>
      <c r="P3113" s="1" t="s">
        <v>3900</v>
      </c>
      <c r="Q3113" s="3">
        <v>0</v>
      </c>
      <c r="R3113" s="22" t="s">
        <v>3871</v>
      </c>
      <c r="S3113" s="22" t="s">
        <v>5097</v>
      </c>
      <c r="T3113" s="51">
        <v>30</v>
      </c>
      <c r="U3113" s="3" t="s">
        <v>5951</v>
      </c>
      <c r="V3113" s="41" t="str">
        <f>HYPERLINK("http://ictvonline.org/taxonomy/p/taxonomy-history?taxnode_id=20183231","ICTVonline=20183231")</f>
        <v>ICTVonline=20183231</v>
      </c>
    </row>
    <row r="3114" spans="1:22">
      <c r="A3114" s="3">
        <v>3113</v>
      </c>
      <c r="L3114" s="1" t="s">
        <v>2103</v>
      </c>
      <c r="N3114" s="1" t="s">
        <v>2104</v>
      </c>
      <c r="P3114" s="1" t="s">
        <v>1510</v>
      </c>
      <c r="Q3114" s="3">
        <v>0</v>
      </c>
      <c r="R3114" s="22" t="s">
        <v>3871</v>
      </c>
      <c r="S3114" s="22" t="s">
        <v>5097</v>
      </c>
      <c r="T3114" s="51">
        <v>22</v>
      </c>
      <c r="U3114" s="3" t="s">
        <v>5971</v>
      </c>
      <c r="V3114" s="41" t="str">
        <f>HYPERLINK("http://ictvonline.org/taxonomy/p/taxonomy-history?taxnode_id=20183232","ICTVonline=20183232")</f>
        <v>ICTVonline=20183232</v>
      </c>
    </row>
    <row r="3115" spans="1:22">
      <c r="A3115" s="3">
        <v>3114</v>
      </c>
      <c r="L3115" s="1" t="s">
        <v>2103</v>
      </c>
      <c r="N3115" s="1" t="s">
        <v>2104</v>
      </c>
      <c r="P3115" s="1" t="s">
        <v>1734</v>
      </c>
      <c r="Q3115" s="3">
        <v>0</v>
      </c>
      <c r="R3115" s="22" t="s">
        <v>3871</v>
      </c>
      <c r="S3115" s="22" t="s">
        <v>5100</v>
      </c>
      <c r="T3115" s="51">
        <v>26</v>
      </c>
      <c r="U3115" s="3" t="s">
        <v>5968</v>
      </c>
      <c r="V3115" s="41" t="str">
        <f>HYPERLINK("http://ictvonline.org/taxonomy/p/taxonomy-history?taxnode_id=20183233","ICTVonline=20183233")</f>
        <v>ICTVonline=20183233</v>
      </c>
    </row>
    <row r="3116" spans="1:22">
      <c r="A3116" s="3">
        <v>3115</v>
      </c>
      <c r="L3116" s="1" t="s">
        <v>2103</v>
      </c>
      <c r="N3116" s="1" t="s">
        <v>2104</v>
      </c>
      <c r="P3116" s="1" t="s">
        <v>2409</v>
      </c>
      <c r="Q3116" s="3">
        <v>0</v>
      </c>
      <c r="R3116" s="22" t="s">
        <v>3871</v>
      </c>
      <c r="S3116" s="22" t="s">
        <v>5097</v>
      </c>
      <c r="T3116" s="51">
        <v>28</v>
      </c>
      <c r="U3116" s="3" t="s">
        <v>5952</v>
      </c>
      <c r="V3116" s="41" t="str">
        <f>HYPERLINK("http://ictvonline.org/taxonomy/p/taxonomy-history?taxnode_id=20183234","ICTVonline=20183234")</f>
        <v>ICTVonline=20183234</v>
      </c>
    </row>
    <row r="3117" spans="1:22">
      <c r="A3117" s="3">
        <v>3116</v>
      </c>
      <c r="L3117" s="1" t="s">
        <v>2103</v>
      </c>
      <c r="N3117" s="1" t="s">
        <v>2104</v>
      </c>
      <c r="P3117" s="1" t="s">
        <v>2410</v>
      </c>
      <c r="Q3117" s="3">
        <v>0</v>
      </c>
      <c r="R3117" s="22" t="s">
        <v>3871</v>
      </c>
      <c r="S3117" s="22" t="s">
        <v>5097</v>
      </c>
      <c r="T3117" s="51">
        <v>28</v>
      </c>
      <c r="U3117" s="3" t="s">
        <v>5952</v>
      </c>
      <c r="V3117" s="41" t="str">
        <f>HYPERLINK("http://ictvonline.org/taxonomy/p/taxonomy-history?taxnode_id=20183235","ICTVonline=20183235")</f>
        <v>ICTVonline=20183235</v>
      </c>
    </row>
    <row r="3118" spans="1:22">
      <c r="A3118" s="3">
        <v>3117</v>
      </c>
      <c r="L3118" s="1" t="s">
        <v>2103</v>
      </c>
      <c r="N3118" s="1" t="s">
        <v>2104</v>
      </c>
      <c r="P3118" s="1" t="s">
        <v>5972</v>
      </c>
      <c r="Q3118" s="3">
        <v>0</v>
      </c>
      <c r="R3118" s="22" t="s">
        <v>3871</v>
      </c>
      <c r="S3118" s="22" t="s">
        <v>5097</v>
      </c>
      <c r="T3118" s="51">
        <v>32</v>
      </c>
      <c r="U3118" s="3" t="s">
        <v>5958</v>
      </c>
      <c r="V3118" s="41" t="str">
        <f>HYPERLINK("http://ictvonline.org/taxonomy/p/taxonomy-history?taxnode_id=20185797","ICTVonline=20185797")</f>
        <v>ICTVonline=20185797</v>
      </c>
    </row>
    <row r="3119" spans="1:22">
      <c r="A3119" s="3">
        <v>3118</v>
      </c>
      <c r="L3119" s="1" t="s">
        <v>2103</v>
      </c>
      <c r="N3119" s="1" t="s">
        <v>2104</v>
      </c>
      <c r="P3119" s="1" t="s">
        <v>1511</v>
      </c>
      <c r="Q3119" s="3">
        <v>0</v>
      </c>
      <c r="R3119" s="22" t="s">
        <v>3871</v>
      </c>
      <c r="S3119" s="22" t="s">
        <v>5097</v>
      </c>
      <c r="T3119" s="51">
        <v>24</v>
      </c>
      <c r="U3119" s="3" t="s">
        <v>5955</v>
      </c>
      <c r="V3119" s="41" t="str">
        <f>HYPERLINK("http://ictvonline.org/taxonomy/p/taxonomy-history?taxnode_id=20183236","ICTVonline=20183236")</f>
        <v>ICTVonline=20183236</v>
      </c>
    </row>
    <row r="3120" spans="1:22">
      <c r="A3120" s="3">
        <v>3119</v>
      </c>
      <c r="L3120" s="1" t="s">
        <v>2103</v>
      </c>
      <c r="N3120" s="1" t="s">
        <v>2104</v>
      </c>
      <c r="P3120" s="1" t="s">
        <v>5973</v>
      </c>
      <c r="Q3120" s="3">
        <v>0</v>
      </c>
      <c r="R3120" s="22" t="s">
        <v>3871</v>
      </c>
      <c r="S3120" s="22" t="s">
        <v>5097</v>
      </c>
      <c r="T3120" s="51">
        <v>32</v>
      </c>
      <c r="U3120" s="3" t="s">
        <v>5958</v>
      </c>
      <c r="V3120" s="41" t="str">
        <f>HYPERLINK("http://ictvonline.org/taxonomy/p/taxonomy-history?taxnode_id=20185798","ICTVonline=20185798")</f>
        <v>ICTVonline=20185798</v>
      </c>
    </row>
    <row r="3121" spans="1:22">
      <c r="A3121" s="3">
        <v>3120</v>
      </c>
      <c r="L3121" s="1" t="s">
        <v>2103</v>
      </c>
      <c r="N3121" s="1" t="s">
        <v>2104</v>
      </c>
      <c r="P3121" s="1" t="s">
        <v>1512</v>
      </c>
      <c r="Q3121" s="3">
        <v>0</v>
      </c>
      <c r="R3121" s="22" t="s">
        <v>3871</v>
      </c>
      <c r="S3121" s="22" t="s">
        <v>5097</v>
      </c>
      <c r="T3121" s="51">
        <v>24</v>
      </c>
      <c r="U3121" s="3" t="s">
        <v>5955</v>
      </c>
      <c r="V3121" s="41" t="str">
        <f>HYPERLINK("http://ictvonline.org/taxonomy/p/taxonomy-history?taxnode_id=20183237","ICTVonline=20183237")</f>
        <v>ICTVonline=20183237</v>
      </c>
    </row>
    <row r="3122" spans="1:22">
      <c r="A3122" s="3">
        <v>3121</v>
      </c>
      <c r="L3122" s="1" t="s">
        <v>2103</v>
      </c>
      <c r="N3122" s="1" t="s">
        <v>2104</v>
      </c>
      <c r="P3122" s="1" t="s">
        <v>1513</v>
      </c>
      <c r="Q3122" s="3">
        <v>0</v>
      </c>
      <c r="R3122" s="22" t="s">
        <v>3871</v>
      </c>
      <c r="S3122" s="22" t="s">
        <v>5097</v>
      </c>
      <c r="T3122" s="51">
        <v>22</v>
      </c>
      <c r="U3122" s="3" t="s">
        <v>5953</v>
      </c>
      <c r="V3122" s="41" t="str">
        <f>HYPERLINK("http://ictvonline.org/taxonomy/p/taxonomy-history?taxnode_id=20183238","ICTVonline=20183238")</f>
        <v>ICTVonline=20183238</v>
      </c>
    </row>
    <row r="3123" spans="1:22">
      <c r="A3123" s="3">
        <v>3122</v>
      </c>
      <c r="L3123" s="1" t="s">
        <v>2103</v>
      </c>
      <c r="N3123" s="1" t="s">
        <v>2104</v>
      </c>
      <c r="P3123" s="1" t="s">
        <v>1514</v>
      </c>
      <c r="Q3123" s="3">
        <v>0</v>
      </c>
      <c r="R3123" s="22" t="s">
        <v>3871</v>
      </c>
      <c r="S3123" s="22" t="s">
        <v>5097</v>
      </c>
      <c r="T3123" s="51">
        <v>23</v>
      </c>
      <c r="U3123" s="3" t="s">
        <v>5872</v>
      </c>
      <c r="V3123" s="41" t="str">
        <f>HYPERLINK("http://ictvonline.org/taxonomy/p/taxonomy-history?taxnode_id=20183239","ICTVonline=20183239")</f>
        <v>ICTVonline=20183239</v>
      </c>
    </row>
    <row r="3124" spans="1:22">
      <c r="A3124" s="3">
        <v>3123</v>
      </c>
      <c r="L3124" s="1" t="s">
        <v>2103</v>
      </c>
      <c r="N3124" s="1" t="s">
        <v>2104</v>
      </c>
      <c r="P3124" s="1" t="s">
        <v>5974</v>
      </c>
      <c r="Q3124" s="3">
        <v>0</v>
      </c>
      <c r="R3124" s="22" t="s">
        <v>3871</v>
      </c>
      <c r="S3124" s="22" t="s">
        <v>5097</v>
      </c>
      <c r="T3124" s="51">
        <v>32</v>
      </c>
      <c r="U3124" s="3" t="s">
        <v>5958</v>
      </c>
      <c r="V3124" s="41" t="str">
        <f>HYPERLINK("http://ictvonline.org/taxonomy/p/taxonomy-history?taxnode_id=20185799","ICTVonline=20185799")</f>
        <v>ICTVonline=20185799</v>
      </c>
    </row>
    <row r="3125" spans="1:22">
      <c r="A3125" s="3">
        <v>3124</v>
      </c>
      <c r="L3125" s="1" t="s">
        <v>2103</v>
      </c>
      <c r="N3125" s="1" t="s">
        <v>2104</v>
      </c>
      <c r="P3125" s="1" t="s">
        <v>435</v>
      </c>
      <c r="Q3125" s="3">
        <v>0</v>
      </c>
      <c r="R3125" s="22" t="s">
        <v>3871</v>
      </c>
      <c r="S3125" s="22" t="s">
        <v>5097</v>
      </c>
      <c r="T3125" s="51">
        <v>22</v>
      </c>
      <c r="U3125" s="3" t="s">
        <v>5953</v>
      </c>
      <c r="V3125" s="41" t="str">
        <f>HYPERLINK("http://ictvonline.org/taxonomy/p/taxonomy-history?taxnode_id=20183240","ICTVonline=20183240")</f>
        <v>ICTVonline=20183240</v>
      </c>
    </row>
    <row r="3126" spans="1:22">
      <c r="A3126" s="3">
        <v>3125</v>
      </c>
      <c r="L3126" s="1" t="s">
        <v>2103</v>
      </c>
      <c r="N3126" s="1" t="s">
        <v>2104</v>
      </c>
      <c r="P3126" s="1" t="s">
        <v>436</v>
      </c>
      <c r="Q3126" s="3">
        <v>0</v>
      </c>
      <c r="R3126" s="22" t="s">
        <v>3871</v>
      </c>
      <c r="S3126" s="22" t="s">
        <v>5097</v>
      </c>
      <c r="T3126" s="51">
        <v>24</v>
      </c>
      <c r="U3126" s="3" t="s">
        <v>5959</v>
      </c>
      <c r="V3126" s="41" t="str">
        <f>HYPERLINK("http://ictvonline.org/taxonomy/p/taxonomy-history?taxnode_id=20183241","ICTVonline=20183241")</f>
        <v>ICTVonline=20183241</v>
      </c>
    </row>
    <row r="3127" spans="1:22">
      <c r="A3127" s="3">
        <v>3126</v>
      </c>
      <c r="L3127" s="1" t="s">
        <v>2103</v>
      </c>
      <c r="N3127" s="1" t="s">
        <v>2104</v>
      </c>
      <c r="P3127" s="1" t="s">
        <v>437</v>
      </c>
      <c r="Q3127" s="3">
        <v>0</v>
      </c>
      <c r="R3127" s="22" t="s">
        <v>3871</v>
      </c>
      <c r="S3127" s="22" t="s">
        <v>5097</v>
      </c>
      <c r="T3127" s="51">
        <v>22</v>
      </c>
      <c r="U3127" s="3" t="s">
        <v>5953</v>
      </c>
      <c r="V3127" s="41" t="str">
        <f>HYPERLINK("http://ictvonline.org/taxonomy/p/taxonomy-history?taxnode_id=20183242","ICTVonline=20183242")</f>
        <v>ICTVonline=20183242</v>
      </c>
    </row>
    <row r="3128" spans="1:22">
      <c r="A3128" s="3">
        <v>3127</v>
      </c>
      <c r="L3128" s="1" t="s">
        <v>2103</v>
      </c>
      <c r="N3128" s="1" t="s">
        <v>2104</v>
      </c>
      <c r="P3128" s="1" t="s">
        <v>438</v>
      </c>
      <c r="Q3128" s="3">
        <v>0</v>
      </c>
      <c r="R3128" s="22" t="s">
        <v>3871</v>
      </c>
      <c r="S3128" s="22" t="s">
        <v>5097</v>
      </c>
      <c r="T3128" s="51">
        <v>17</v>
      </c>
      <c r="U3128" s="3" t="s">
        <v>5823</v>
      </c>
      <c r="V3128" s="41" t="str">
        <f>HYPERLINK("http://ictvonline.org/taxonomy/p/taxonomy-history?taxnode_id=20183243","ICTVonline=20183243")</f>
        <v>ICTVonline=20183243</v>
      </c>
    </row>
    <row r="3129" spans="1:22">
      <c r="A3129" s="3">
        <v>3128</v>
      </c>
      <c r="L3129" s="1" t="s">
        <v>2103</v>
      </c>
      <c r="N3129" s="1" t="s">
        <v>2104</v>
      </c>
      <c r="P3129" s="1" t="s">
        <v>439</v>
      </c>
      <c r="Q3129" s="3">
        <v>0</v>
      </c>
      <c r="R3129" s="22" t="s">
        <v>3871</v>
      </c>
      <c r="S3129" s="22" t="s">
        <v>5097</v>
      </c>
      <c r="T3129" s="51">
        <v>22</v>
      </c>
      <c r="U3129" s="3" t="s">
        <v>5953</v>
      </c>
      <c r="V3129" s="41" t="str">
        <f>HYPERLINK("http://ictvonline.org/taxonomy/p/taxonomy-history?taxnode_id=20183244","ICTVonline=20183244")</f>
        <v>ICTVonline=20183244</v>
      </c>
    </row>
    <row r="3130" spans="1:22">
      <c r="A3130" s="3">
        <v>3129</v>
      </c>
      <c r="L3130" s="1" t="s">
        <v>2103</v>
      </c>
      <c r="N3130" s="1" t="s">
        <v>2104</v>
      </c>
      <c r="P3130" s="1" t="s">
        <v>3901</v>
      </c>
      <c r="Q3130" s="3">
        <v>0</v>
      </c>
      <c r="R3130" s="22" t="s">
        <v>3871</v>
      </c>
      <c r="S3130" s="22" t="s">
        <v>5097</v>
      </c>
      <c r="T3130" s="51">
        <v>30</v>
      </c>
      <c r="U3130" s="3" t="s">
        <v>5951</v>
      </c>
      <c r="V3130" s="41" t="str">
        <f>HYPERLINK("http://ictvonline.org/taxonomy/p/taxonomy-history?taxnode_id=20183245","ICTVonline=20183245")</f>
        <v>ICTVonline=20183245</v>
      </c>
    </row>
    <row r="3131" spans="1:22">
      <c r="A3131" s="3">
        <v>3130</v>
      </c>
      <c r="L3131" s="1" t="s">
        <v>2103</v>
      </c>
      <c r="N3131" s="1" t="s">
        <v>2104</v>
      </c>
      <c r="P3131" s="1" t="s">
        <v>440</v>
      </c>
      <c r="Q3131" s="3">
        <v>0</v>
      </c>
      <c r="R3131" s="22" t="s">
        <v>3871</v>
      </c>
      <c r="S3131" s="22" t="s">
        <v>5097</v>
      </c>
      <c r="T3131" s="51">
        <v>24</v>
      </c>
      <c r="U3131" s="3" t="s">
        <v>5955</v>
      </c>
      <c r="V3131" s="41" t="str">
        <f>HYPERLINK("http://ictvonline.org/taxonomy/p/taxonomy-history?taxnode_id=20183246","ICTVonline=20183246")</f>
        <v>ICTVonline=20183246</v>
      </c>
    </row>
    <row r="3132" spans="1:22">
      <c r="A3132" s="3">
        <v>3131</v>
      </c>
      <c r="L3132" s="1" t="s">
        <v>2103</v>
      </c>
      <c r="N3132" s="1" t="s">
        <v>2104</v>
      </c>
      <c r="P3132" s="1" t="s">
        <v>296</v>
      </c>
      <c r="Q3132" s="3">
        <v>0</v>
      </c>
      <c r="R3132" s="22" t="s">
        <v>3871</v>
      </c>
      <c r="S3132" s="22" t="s">
        <v>5097</v>
      </c>
      <c r="T3132" s="51">
        <v>24</v>
      </c>
      <c r="U3132" s="3" t="s">
        <v>5954</v>
      </c>
      <c r="V3132" s="41" t="str">
        <f>HYPERLINK("http://ictvonline.org/taxonomy/p/taxonomy-history?taxnode_id=20183247","ICTVonline=20183247")</f>
        <v>ICTVonline=20183247</v>
      </c>
    </row>
    <row r="3133" spans="1:22">
      <c r="A3133" s="3">
        <v>3132</v>
      </c>
      <c r="L3133" s="1" t="s">
        <v>2103</v>
      </c>
      <c r="N3133" s="1" t="s">
        <v>2104</v>
      </c>
      <c r="P3133" s="1" t="s">
        <v>430</v>
      </c>
      <c r="Q3133" s="3">
        <v>0</v>
      </c>
      <c r="R3133" s="22" t="s">
        <v>3871</v>
      </c>
      <c r="S3133" s="22" t="s">
        <v>5097</v>
      </c>
      <c r="T3133" s="51">
        <v>22</v>
      </c>
      <c r="U3133" s="3" t="s">
        <v>5953</v>
      </c>
      <c r="V3133" s="41" t="str">
        <f>HYPERLINK("http://ictvonline.org/taxonomy/p/taxonomy-history?taxnode_id=20183248","ICTVonline=20183248")</f>
        <v>ICTVonline=20183248</v>
      </c>
    </row>
    <row r="3134" spans="1:22">
      <c r="A3134" s="3">
        <v>3133</v>
      </c>
      <c r="L3134" s="1" t="s">
        <v>2103</v>
      </c>
      <c r="N3134" s="1" t="s">
        <v>2104</v>
      </c>
      <c r="P3134" s="1" t="s">
        <v>299</v>
      </c>
      <c r="Q3134" s="3">
        <v>0</v>
      </c>
      <c r="R3134" s="22" t="s">
        <v>3871</v>
      </c>
      <c r="S3134" s="22" t="s">
        <v>5097</v>
      </c>
      <c r="T3134" s="51">
        <v>24</v>
      </c>
      <c r="U3134" s="3" t="s">
        <v>5955</v>
      </c>
      <c r="V3134" s="41" t="str">
        <f>HYPERLINK("http://ictvonline.org/taxonomy/p/taxonomy-history?taxnode_id=20183249","ICTVonline=20183249")</f>
        <v>ICTVonline=20183249</v>
      </c>
    </row>
    <row r="3135" spans="1:22">
      <c r="A3135" s="3">
        <v>3134</v>
      </c>
      <c r="L3135" s="1" t="s">
        <v>2103</v>
      </c>
      <c r="N3135" s="1" t="s">
        <v>2104</v>
      </c>
      <c r="P3135" s="1" t="s">
        <v>300</v>
      </c>
      <c r="Q3135" s="3">
        <v>0</v>
      </c>
      <c r="R3135" s="22" t="s">
        <v>3871</v>
      </c>
      <c r="S3135" s="22" t="s">
        <v>5097</v>
      </c>
      <c r="T3135" s="51">
        <v>23</v>
      </c>
      <c r="U3135" s="3" t="s">
        <v>5872</v>
      </c>
      <c r="V3135" s="41" t="str">
        <f>HYPERLINK("http://ictvonline.org/taxonomy/p/taxonomy-history?taxnode_id=20183250","ICTVonline=20183250")</f>
        <v>ICTVonline=20183250</v>
      </c>
    </row>
    <row r="3136" spans="1:22">
      <c r="A3136" s="3">
        <v>3135</v>
      </c>
      <c r="L3136" s="1" t="s">
        <v>2103</v>
      </c>
      <c r="N3136" s="1" t="s">
        <v>2104</v>
      </c>
      <c r="P3136" s="1" t="s">
        <v>5975</v>
      </c>
      <c r="Q3136" s="3">
        <v>0</v>
      </c>
      <c r="R3136" s="22" t="s">
        <v>3871</v>
      </c>
      <c r="S3136" s="22" t="s">
        <v>5097</v>
      </c>
      <c r="T3136" s="51">
        <v>32</v>
      </c>
      <c r="U3136" s="3" t="s">
        <v>5958</v>
      </c>
      <c r="V3136" s="41" t="str">
        <f>HYPERLINK("http://ictvonline.org/taxonomy/p/taxonomy-history?taxnode_id=20185800","ICTVonline=20185800")</f>
        <v>ICTVonline=20185800</v>
      </c>
    </row>
    <row r="3137" spans="1:22">
      <c r="A3137" s="3">
        <v>3136</v>
      </c>
      <c r="L3137" s="1" t="s">
        <v>2103</v>
      </c>
      <c r="N3137" s="1" t="s">
        <v>2104</v>
      </c>
      <c r="P3137" s="1" t="s">
        <v>301</v>
      </c>
      <c r="Q3137" s="3">
        <v>0</v>
      </c>
      <c r="R3137" s="22" t="s">
        <v>3871</v>
      </c>
      <c r="S3137" s="22" t="s">
        <v>5097</v>
      </c>
      <c r="T3137" s="51">
        <v>24</v>
      </c>
      <c r="U3137" s="3" t="s">
        <v>5955</v>
      </c>
      <c r="V3137" s="41" t="str">
        <f>HYPERLINK("http://ictvonline.org/taxonomy/p/taxonomy-history?taxnode_id=20183251","ICTVonline=20183251")</f>
        <v>ICTVonline=20183251</v>
      </c>
    </row>
    <row r="3138" spans="1:22">
      <c r="A3138" s="3">
        <v>3137</v>
      </c>
      <c r="L3138" s="1" t="s">
        <v>2103</v>
      </c>
      <c r="N3138" s="1" t="s">
        <v>2104</v>
      </c>
      <c r="P3138" s="1" t="s">
        <v>5976</v>
      </c>
      <c r="Q3138" s="3">
        <v>0</v>
      </c>
      <c r="R3138" s="22" t="s">
        <v>3871</v>
      </c>
      <c r="S3138" s="22" t="s">
        <v>5097</v>
      </c>
      <c r="T3138" s="51">
        <v>32</v>
      </c>
      <c r="U3138" s="3" t="s">
        <v>5958</v>
      </c>
      <c r="V3138" s="41" t="str">
        <f>HYPERLINK("http://ictvonline.org/taxonomy/p/taxonomy-history?taxnode_id=20185801","ICTVonline=20185801")</f>
        <v>ICTVonline=20185801</v>
      </c>
    </row>
    <row r="3139" spans="1:22">
      <c r="A3139" s="3">
        <v>3138</v>
      </c>
      <c r="L3139" s="1" t="s">
        <v>2103</v>
      </c>
      <c r="N3139" s="1" t="s">
        <v>2104</v>
      </c>
      <c r="P3139" s="1" t="s">
        <v>2411</v>
      </c>
      <c r="Q3139" s="3">
        <v>0</v>
      </c>
      <c r="R3139" s="22" t="s">
        <v>3871</v>
      </c>
      <c r="S3139" s="22" t="s">
        <v>5097</v>
      </c>
      <c r="T3139" s="51">
        <v>28</v>
      </c>
      <c r="U3139" s="3" t="s">
        <v>5952</v>
      </c>
      <c r="V3139" s="41" t="str">
        <f>HYPERLINK("http://ictvonline.org/taxonomy/p/taxonomy-history?taxnode_id=20183252","ICTVonline=20183252")</f>
        <v>ICTVonline=20183252</v>
      </c>
    </row>
    <row r="3140" spans="1:22">
      <c r="A3140" s="3">
        <v>3139</v>
      </c>
      <c r="L3140" s="1" t="s">
        <v>2103</v>
      </c>
      <c r="N3140" s="1" t="s">
        <v>2104</v>
      </c>
      <c r="P3140" s="1" t="s">
        <v>3902</v>
      </c>
      <c r="Q3140" s="3">
        <v>0</v>
      </c>
      <c r="R3140" s="22" t="s">
        <v>3871</v>
      </c>
      <c r="S3140" s="22" t="s">
        <v>5097</v>
      </c>
      <c r="T3140" s="51">
        <v>30</v>
      </c>
      <c r="U3140" s="3" t="s">
        <v>5951</v>
      </c>
      <c r="V3140" s="41" t="str">
        <f>HYPERLINK("http://ictvonline.org/taxonomy/p/taxonomy-history?taxnode_id=20183253","ICTVonline=20183253")</f>
        <v>ICTVonline=20183253</v>
      </c>
    </row>
    <row r="3141" spans="1:22">
      <c r="A3141" s="3">
        <v>3140</v>
      </c>
      <c r="L3141" s="1" t="s">
        <v>2103</v>
      </c>
      <c r="N3141" s="1" t="s">
        <v>2104</v>
      </c>
      <c r="P3141" s="1" t="s">
        <v>3903</v>
      </c>
      <c r="Q3141" s="3">
        <v>0</v>
      </c>
      <c r="R3141" s="22" t="s">
        <v>3871</v>
      </c>
      <c r="S3141" s="22" t="s">
        <v>5097</v>
      </c>
      <c r="T3141" s="51">
        <v>30</v>
      </c>
      <c r="U3141" s="3" t="s">
        <v>5951</v>
      </c>
      <c r="V3141" s="41" t="str">
        <f>HYPERLINK("http://ictvonline.org/taxonomy/p/taxonomy-history?taxnode_id=20183254","ICTVonline=20183254")</f>
        <v>ICTVonline=20183254</v>
      </c>
    </row>
    <row r="3142" spans="1:22">
      <c r="A3142" s="3">
        <v>3141</v>
      </c>
      <c r="L3142" s="1" t="s">
        <v>2103</v>
      </c>
      <c r="N3142" s="1" t="s">
        <v>2104</v>
      </c>
      <c r="P3142" s="1" t="s">
        <v>3904</v>
      </c>
      <c r="Q3142" s="3">
        <v>0</v>
      </c>
      <c r="R3142" s="22" t="s">
        <v>3871</v>
      </c>
      <c r="S3142" s="22" t="s">
        <v>5097</v>
      </c>
      <c r="T3142" s="51">
        <v>30</v>
      </c>
      <c r="U3142" s="3" t="s">
        <v>5951</v>
      </c>
      <c r="V3142" s="41" t="str">
        <f>HYPERLINK("http://ictvonline.org/taxonomy/p/taxonomy-history?taxnode_id=20183255","ICTVonline=20183255")</f>
        <v>ICTVonline=20183255</v>
      </c>
    </row>
    <row r="3143" spans="1:22">
      <c r="A3143" s="3">
        <v>3142</v>
      </c>
      <c r="L3143" s="1" t="s">
        <v>2103</v>
      </c>
      <c r="N3143" s="1" t="s">
        <v>2104</v>
      </c>
      <c r="P3143" s="1" t="s">
        <v>2412</v>
      </c>
      <c r="Q3143" s="3">
        <v>0</v>
      </c>
      <c r="R3143" s="22" t="s">
        <v>3871</v>
      </c>
      <c r="S3143" s="22" t="s">
        <v>5097</v>
      </c>
      <c r="T3143" s="51">
        <v>28</v>
      </c>
      <c r="U3143" s="3" t="s">
        <v>5952</v>
      </c>
      <c r="V3143" s="41" t="str">
        <f>HYPERLINK("http://ictvonline.org/taxonomy/p/taxonomy-history?taxnode_id=20183256","ICTVonline=20183256")</f>
        <v>ICTVonline=20183256</v>
      </c>
    </row>
    <row r="3144" spans="1:22">
      <c r="A3144" s="3">
        <v>3143</v>
      </c>
      <c r="L3144" s="1" t="s">
        <v>2103</v>
      </c>
      <c r="N3144" s="1" t="s">
        <v>2104</v>
      </c>
      <c r="P3144" s="1" t="s">
        <v>5977</v>
      </c>
      <c r="Q3144" s="3">
        <v>0</v>
      </c>
      <c r="R3144" s="22" t="s">
        <v>3871</v>
      </c>
      <c r="S3144" s="22" t="s">
        <v>5097</v>
      </c>
      <c r="T3144" s="51">
        <v>32</v>
      </c>
      <c r="U3144" s="3" t="s">
        <v>5958</v>
      </c>
      <c r="V3144" s="41" t="str">
        <f>HYPERLINK("http://ictvonline.org/taxonomy/p/taxonomy-history?taxnode_id=20185802","ICTVonline=20185802")</f>
        <v>ICTVonline=20185802</v>
      </c>
    </row>
    <row r="3145" spans="1:22">
      <c r="A3145" s="3">
        <v>3144</v>
      </c>
      <c r="L3145" s="1" t="s">
        <v>2103</v>
      </c>
      <c r="N3145" s="1" t="s">
        <v>2104</v>
      </c>
      <c r="P3145" s="1" t="s">
        <v>1700</v>
      </c>
      <c r="Q3145" s="3">
        <v>0</v>
      </c>
      <c r="R3145" s="22" t="s">
        <v>3871</v>
      </c>
      <c r="S3145" s="22" t="s">
        <v>5099</v>
      </c>
      <c r="T3145" s="51">
        <v>16</v>
      </c>
      <c r="U3145" s="3" t="s">
        <v>5884</v>
      </c>
      <c r="V3145" s="41" t="str">
        <f>HYPERLINK("http://ictvonline.org/taxonomy/p/taxonomy-history?taxnode_id=20183257","ICTVonline=20183257")</f>
        <v>ICTVonline=20183257</v>
      </c>
    </row>
    <row r="3146" spans="1:22">
      <c r="A3146" s="3">
        <v>3145</v>
      </c>
      <c r="L3146" s="1" t="s">
        <v>2103</v>
      </c>
      <c r="N3146" s="1" t="s">
        <v>2104</v>
      </c>
      <c r="P3146" s="1" t="s">
        <v>1701</v>
      </c>
      <c r="Q3146" s="3">
        <v>0</v>
      </c>
      <c r="R3146" s="22" t="s">
        <v>3871</v>
      </c>
      <c r="S3146" s="22" t="s">
        <v>5105</v>
      </c>
      <c r="T3146" s="51">
        <v>24</v>
      </c>
      <c r="U3146" s="3" t="s">
        <v>5956</v>
      </c>
      <c r="V3146" s="41" t="str">
        <f>HYPERLINK("http://ictvonline.org/taxonomy/p/taxonomy-history?taxnode_id=20183258","ICTVonline=20183258")</f>
        <v>ICTVonline=20183258</v>
      </c>
    </row>
    <row r="3147" spans="1:22">
      <c r="A3147" s="3">
        <v>3146</v>
      </c>
      <c r="L3147" s="1" t="s">
        <v>2103</v>
      </c>
      <c r="N3147" s="1" t="s">
        <v>2104</v>
      </c>
      <c r="P3147" s="1" t="s">
        <v>1179</v>
      </c>
      <c r="Q3147" s="3">
        <v>0</v>
      </c>
      <c r="R3147" s="22" t="s">
        <v>3871</v>
      </c>
      <c r="S3147" s="22" t="s">
        <v>5097</v>
      </c>
      <c r="T3147" s="51">
        <v>24</v>
      </c>
      <c r="U3147" s="3" t="s">
        <v>5954</v>
      </c>
      <c r="V3147" s="41" t="str">
        <f>HYPERLINK("http://ictvonline.org/taxonomy/p/taxonomy-history?taxnode_id=20183259","ICTVonline=20183259")</f>
        <v>ICTVonline=20183259</v>
      </c>
    </row>
    <row r="3148" spans="1:22">
      <c r="A3148" s="3">
        <v>3147</v>
      </c>
      <c r="L3148" s="1" t="s">
        <v>2103</v>
      </c>
      <c r="N3148" s="1" t="s">
        <v>2104</v>
      </c>
      <c r="P3148" s="1" t="s">
        <v>1180</v>
      </c>
      <c r="Q3148" s="3">
        <v>0</v>
      </c>
      <c r="R3148" s="22" t="s">
        <v>3871</v>
      </c>
      <c r="S3148" s="22" t="s">
        <v>5099</v>
      </c>
      <c r="T3148" s="51">
        <v>16</v>
      </c>
      <c r="U3148" s="3" t="s">
        <v>5884</v>
      </c>
      <c r="V3148" s="41" t="str">
        <f>HYPERLINK("http://ictvonline.org/taxonomy/p/taxonomy-history?taxnode_id=20183260","ICTVonline=20183260")</f>
        <v>ICTVonline=20183260</v>
      </c>
    </row>
    <row r="3149" spans="1:22">
      <c r="A3149" s="3">
        <v>3148</v>
      </c>
      <c r="L3149" s="1" t="s">
        <v>2103</v>
      </c>
      <c r="N3149" s="1" t="s">
        <v>2104</v>
      </c>
      <c r="P3149" s="1" t="s">
        <v>2413</v>
      </c>
      <c r="Q3149" s="3">
        <v>0</v>
      </c>
      <c r="R3149" s="22" t="s">
        <v>3871</v>
      </c>
      <c r="S3149" s="22" t="s">
        <v>5097</v>
      </c>
      <c r="T3149" s="51">
        <v>28</v>
      </c>
      <c r="U3149" s="3" t="s">
        <v>5952</v>
      </c>
      <c r="V3149" s="41" t="str">
        <f>HYPERLINK("http://ictvonline.org/taxonomy/p/taxonomy-history?taxnode_id=20183261","ICTVonline=20183261")</f>
        <v>ICTVonline=20183261</v>
      </c>
    </row>
    <row r="3150" spans="1:22">
      <c r="A3150" s="3">
        <v>3149</v>
      </c>
      <c r="L3150" s="1" t="s">
        <v>2103</v>
      </c>
      <c r="N3150" s="1" t="s">
        <v>2104</v>
      </c>
      <c r="P3150" s="1" t="s">
        <v>5978</v>
      </c>
      <c r="Q3150" s="3">
        <v>0</v>
      </c>
      <c r="R3150" s="22" t="s">
        <v>3871</v>
      </c>
      <c r="S3150" s="22" t="s">
        <v>5097</v>
      </c>
      <c r="T3150" s="51">
        <v>32</v>
      </c>
      <c r="U3150" s="3" t="s">
        <v>5958</v>
      </c>
      <c r="V3150" s="41" t="str">
        <f>HYPERLINK("http://ictvonline.org/taxonomy/p/taxonomy-history?taxnode_id=20185803","ICTVonline=20185803")</f>
        <v>ICTVonline=20185803</v>
      </c>
    </row>
    <row r="3151" spans="1:22">
      <c r="A3151" s="3">
        <v>3150</v>
      </c>
      <c r="L3151" s="1" t="s">
        <v>2103</v>
      </c>
      <c r="N3151" s="1" t="s">
        <v>2104</v>
      </c>
      <c r="P3151" s="1" t="s">
        <v>5979</v>
      </c>
      <c r="Q3151" s="3">
        <v>0</v>
      </c>
      <c r="R3151" s="22" t="s">
        <v>3871</v>
      </c>
      <c r="S3151" s="22" t="s">
        <v>5097</v>
      </c>
      <c r="T3151" s="51">
        <v>32</v>
      </c>
      <c r="U3151" s="3" t="s">
        <v>5958</v>
      </c>
      <c r="V3151" s="41" t="str">
        <f>HYPERLINK("http://ictvonline.org/taxonomy/p/taxonomy-history?taxnode_id=20185804","ICTVonline=20185804")</f>
        <v>ICTVonline=20185804</v>
      </c>
    </row>
    <row r="3152" spans="1:22">
      <c r="A3152" s="3">
        <v>3151</v>
      </c>
      <c r="L3152" s="1" t="s">
        <v>2103</v>
      </c>
      <c r="N3152" s="1" t="s">
        <v>2104</v>
      </c>
      <c r="P3152" s="1" t="s">
        <v>3905</v>
      </c>
      <c r="Q3152" s="3">
        <v>0</v>
      </c>
      <c r="R3152" s="22" t="s">
        <v>3871</v>
      </c>
      <c r="S3152" s="22" t="s">
        <v>5097</v>
      </c>
      <c r="T3152" s="51">
        <v>30</v>
      </c>
      <c r="U3152" s="3" t="s">
        <v>5951</v>
      </c>
      <c r="V3152" s="41" t="str">
        <f>HYPERLINK("http://ictvonline.org/taxonomy/p/taxonomy-history?taxnode_id=20183262","ICTVonline=20183262")</f>
        <v>ICTVonline=20183262</v>
      </c>
    </row>
    <row r="3153" spans="1:22">
      <c r="A3153" s="3">
        <v>3152</v>
      </c>
      <c r="L3153" s="1" t="s">
        <v>2103</v>
      </c>
      <c r="N3153" s="1" t="s">
        <v>2104</v>
      </c>
      <c r="P3153" s="1" t="s">
        <v>5980</v>
      </c>
      <c r="Q3153" s="3">
        <v>0</v>
      </c>
      <c r="R3153" s="22" t="s">
        <v>3871</v>
      </c>
      <c r="S3153" s="22" t="s">
        <v>5097</v>
      </c>
      <c r="T3153" s="51">
        <v>32</v>
      </c>
      <c r="U3153" s="3" t="s">
        <v>5958</v>
      </c>
      <c r="V3153" s="41" t="str">
        <f>HYPERLINK("http://ictvonline.org/taxonomy/p/taxonomy-history?taxnode_id=20185805","ICTVonline=20185805")</f>
        <v>ICTVonline=20185805</v>
      </c>
    </row>
    <row r="3154" spans="1:22">
      <c r="A3154" s="3">
        <v>3153</v>
      </c>
      <c r="L3154" s="1" t="s">
        <v>2103</v>
      </c>
      <c r="N3154" s="1" t="s">
        <v>2104</v>
      </c>
      <c r="P3154" s="1" t="s">
        <v>2414</v>
      </c>
      <c r="Q3154" s="3">
        <v>0</v>
      </c>
      <c r="R3154" s="22" t="s">
        <v>3871</v>
      </c>
      <c r="S3154" s="22" t="s">
        <v>5097</v>
      </c>
      <c r="T3154" s="51">
        <v>28</v>
      </c>
      <c r="U3154" s="3" t="s">
        <v>5952</v>
      </c>
      <c r="V3154" s="41" t="str">
        <f>HYPERLINK("http://ictvonline.org/taxonomy/p/taxonomy-history?taxnode_id=20183263","ICTVonline=20183263")</f>
        <v>ICTVonline=20183263</v>
      </c>
    </row>
    <row r="3155" spans="1:22">
      <c r="A3155" s="3">
        <v>3154</v>
      </c>
      <c r="L3155" s="1" t="s">
        <v>2103</v>
      </c>
      <c r="N3155" s="1" t="s">
        <v>2104</v>
      </c>
      <c r="P3155" s="1" t="s">
        <v>3906</v>
      </c>
      <c r="Q3155" s="3">
        <v>0</v>
      </c>
      <c r="R3155" s="22" t="s">
        <v>3871</v>
      </c>
      <c r="S3155" s="22" t="s">
        <v>5097</v>
      </c>
      <c r="T3155" s="51">
        <v>30</v>
      </c>
      <c r="U3155" s="3" t="s">
        <v>5951</v>
      </c>
      <c r="V3155" s="41" t="str">
        <f>HYPERLINK("http://ictvonline.org/taxonomy/p/taxonomy-history?taxnode_id=20183264","ICTVonline=20183264")</f>
        <v>ICTVonline=20183264</v>
      </c>
    </row>
    <row r="3156" spans="1:22">
      <c r="A3156" s="3">
        <v>3155</v>
      </c>
      <c r="L3156" s="1" t="s">
        <v>2103</v>
      </c>
      <c r="N3156" s="1" t="s">
        <v>2104</v>
      </c>
      <c r="P3156" s="1" t="s">
        <v>3907</v>
      </c>
      <c r="Q3156" s="3">
        <v>0</v>
      </c>
      <c r="R3156" s="22" t="s">
        <v>3871</v>
      </c>
      <c r="S3156" s="22" t="s">
        <v>5097</v>
      </c>
      <c r="T3156" s="51">
        <v>30</v>
      </c>
      <c r="U3156" s="3" t="s">
        <v>5951</v>
      </c>
      <c r="V3156" s="41" t="str">
        <f>HYPERLINK("http://ictvonline.org/taxonomy/p/taxonomy-history?taxnode_id=20183265","ICTVonline=20183265")</f>
        <v>ICTVonline=20183265</v>
      </c>
    </row>
    <row r="3157" spans="1:22">
      <c r="A3157" s="3">
        <v>3156</v>
      </c>
      <c r="L3157" s="1" t="s">
        <v>2103</v>
      </c>
      <c r="N3157" s="1" t="s">
        <v>2104</v>
      </c>
      <c r="P3157" s="1" t="s">
        <v>3908</v>
      </c>
      <c r="Q3157" s="3">
        <v>0</v>
      </c>
      <c r="R3157" s="22" t="s">
        <v>3871</v>
      </c>
      <c r="S3157" s="22" t="s">
        <v>5097</v>
      </c>
      <c r="T3157" s="51">
        <v>30</v>
      </c>
      <c r="U3157" s="3" t="s">
        <v>5951</v>
      </c>
      <c r="V3157" s="41" t="str">
        <f>HYPERLINK("http://ictvonline.org/taxonomy/p/taxonomy-history?taxnode_id=20183266","ICTVonline=20183266")</f>
        <v>ICTVonline=20183266</v>
      </c>
    </row>
    <row r="3158" spans="1:22">
      <c r="A3158" s="3">
        <v>3157</v>
      </c>
      <c r="L3158" s="1" t="s">
        <v>2103</v>
      </c>
      <c r="N3158" s="1" t="s">
        <v>2104</v>
      </c>
      <c r="P3158" s="1" t="s">
        <v>1181</v>
      </c>
      <c r="Q3158" s="3">
        <v>0</v>
      </c>
      <c r="R3158" s="22" t="s">
        <v>3871</v>
      </c>
      <c r="S3158" s="22" t="s">
        <v>5097</v>
      </c>
      <c r="T3158" s="51">
        <v>24</v>
      </c>
      <c r="U3158" s="3" t="s">
        <v>5955</v>
      </c>
      <c r="V3158" s="41" t="str">
        <f>HYPERLINK("http://ictvonline.org/taxonomy/p/taxonomy-history?taxnode_id=20183267","ICTVonline=20183267")</f>
        <v>ICTVonline=20183267</v>
      </c>
    </row>
    <row r="3159" spans="1:22">
      <c r="A3159" s="3">
        <v>3158</v>
      </c>
      <c r="L3159" s="1" t="s">
        <v>2103</v>
      </c>
      <c r="N3159" s="1" t="s">
        <v>2104</v>
      </c>
      <c r="P3159" s="1" t="s">
        <v>2415</v>
      </c>
      <c r="Q3159" s="3">
        <v>0</v>
      </c>
      <c r="R3159" s="22" t="s">
        <v>3871</v>
      </c>
      <c r="S3159" s="22" t="s">
        <v>5097</v>
      </c>
      <c r="T3159" s="51">
        <v>28</v>
      </c>
      <c r="U3159" s="3" t="s">
        <v>5952</v>
      </c>
      <c r="V3159" s="41" t="str">
        <f>HYPERLINK("http://ictvonline.org/taxonomy/p/taxonomy-history?taxnode_id=20183268","ICTVonline=20183268")</f>
        <v>ICTVonline=20183268</v>
      </c>
    </row>
    <row r="3160" spans="1:22">
      <c r="A3160" s="3">
        <v>3159</v>
      </c>
      <c r="L3160" s="1" t="s">
        <v>2103</v>
      </c>
      <c r="N3160" s="1" t="s">
        <v>2104</v>
      </c>
      <c r="P3160" s="1" t="s">
        <v>1182</v>
      </c>
      <c r="Q3160" s="3">
        <v>0</v>
      </c>
      <c r="R3160" s="22" t="s">
        <v>3871</v>
      </c>
      <c r="S3160" s="22" t="s">
        <v>5097</v>
      </c>
      <c r="T3160" s="51">
        <v>24</v>
      </c>
      <c r="U3160" s="3" t="s">
        <v>5954</v>
      </c>
      <c r="V3160" s="41" t="str">
        <f>HYPERLINK("http://ictvonline.org/taxonomy/p/taxonomy-history?taxnode_id=20183269","ICTVonline=20183269")</f>
        <v>ICTVonline=20183269</v>
      </c>
    </row>
    <row r="3161" spans="1:22">
      <c r="A3161" s="3">
        <v>3160</v>
      </c>
      <c r="L3161" s="1" t="s">
        <v>2103</v>
      </c>
      <c r="N3161" s="1" t="s">
        <v>2104</v>
      </c>
      <c r="P3161" s="1" t="s">
        <v>5981</v>
      </c>
      <c r="Q3161" s="3">
        <v>0</v>
      </c>
      <c r="R3161" s="22" t="s">
        <v>3871</v>
      </c>
      <c r="S3161" s="22" t="s">
        <v>5097</v>
      </c>
      <c r="T3161" s="51">
        <v>32</v>
      </c>
      <c r="U3161" s="3" t="s">
        <v>5958</v>
      </c>
      <c r="V3161" s="41" t="str">
        <f>HYPERLINK("http://ictvonline.org/taxonomy/p/taxonomy-history?taxnode_id=20185806","ICTVonline=20185806")</f>
        <v>ICTVonline=20185806</v>
      </c>
    </row>
    <row r="3162" spans="1:22">
      <c r="A3162" s="3">
        <v>3161</v>
      </c>
      <c r="L3162" s="1" t="s">
        <v>2103</v>
      </c>
      <c r="N3162" s="1" t="s">
        <v>2104</v>
      </c>
      <c r="P3162" s="1" t="s">
        <v>1199</v>
      </c>
      <c r="Q3162" s="3">
        <v>0</v>
      </c>
      <c r="R3162" s="22" t="s">
        <v>3871</v>
      </c>
      <c r="S3162" s="22" t="s">
        <v>5097</v>
      </c>
      <c r="T3162" s="51">
        <v>24</v>
      </c>
      <c r="U3162" s="3" t="s">
        <v>5955</v>
      </c>
      <c r="V3162" s="41" t="str">
        <f>HYPERLINK("http://ictvonline.org/taxonomy/p/taxonomy-history?taxnode_id=20183270","ICTVonline=20183270")</f>
        <v>ICTVonline=20183270</v>
      </c>
    </row>
    <row r="3163" spans="1:22">
      <c r="A3163" s="3">
        <v>3162</v>
      </c>
      <c r="L3163" s="1" t="s">
        <v>2103</v>
      </c>
      <c r="N3163" s="1" t="s">
        <v>2104</v>
      </c>
      <c r="P3163" s="1" t="s">
        <v>1200</v>
      </c>
      <c r="Q3163" s="3">
        <v>0</v>
      </c>
      <c r="R3163" s="22" t="s">
        <v>3871</v>
      </c>
      <c r="S3163" s="22" t="s">
        <v>5097</v>
      </c>
      <c r="T3163" s="51">
        <v>24</v>
      </c>
      <c r="U3163" s="3" t="s">
        <v>5959</v>
      </c>
      <c r="V3163" s="41" t="str">
        <f>HYPERLINK("http://ictvonline.org/taxonomy/p/taxonomy-history?taxnode_id=20183271","ICTVonline=20183271")</f>
        <v>ICTVonline=20183271</v>
      </c>
    </row>
    <row r="3164" spans="1:22">
      <c r="A3164" s="3">
        <v>3163</v>
      </c>
      <c r="L3164" s="1" t="s">
        <v>2103</v>
      </c>
      <c r="N3164" s="1" t="s">
        <v>2104</v>
      </c>
      <c r="P3164" s="1" t="s">
        <v>1201</v>
      </c>
      <c r="Q3164" s="3">
        <v>0</v>
      </c>
      <c r="R3164" s="22" t="s">
        <v>3871</v>
      </c>
      <c r="S3164" s="22" t="s">
        <v>5097</v>
      </c>
      <c r="T3164" s="51">
        <v>23</v>
      </c>
      <c r="U3164" s="3" t="s">
        <v>5872</v>
      </c>
      <c r="V3164" s="41" t="str">
        <f>HYPERLINK("http://ictvonline.org/taxonomy/p/taxonomy-history?taxnode_id=20183272","ICTVonline=20183272")</f>
        <v>ICTVonline=20183272</v>
      </c>
    </row>
    <row r="3165" spans="1:22">
      <c r="A3165" s="3">
        <v>3164</v>
      </c>
      <c r="L3165" s="1" t="s">
        <v>2103</v>
      </c>
      <c r="N3165" s="1" t="s">
        <v>2104</v>
      </c>
      <c r="P3165" s="1" t="s">
        <v>5982</v>
      </c>
      <c r="Q3165" s="3">
        <v>0</v>
      </c>
      <c r="R3165" s="22" t="s">
        <v>3871</v>
      </c>
      <c r="S3165" s="22" t="s">
        <v>5097</v>
      </c>
      <c r="T3165" s="51">
        <v>32</v>
      </c>
      <c r="U3165" s="3" t="s">
        <v>5958</v>
      </c>
      <c r="V3165" s="41" t="str">
        <f>HYPERLINK("http://ictvonline.org/taxonomy/p/taxonomy-history?taxnode_id=20185807","ICTVonline=20185807")</f>
        <v>ICTVonline=20185807</v>
      </c>
    </row>
    <row r="3166" spans="1:22">
      <c r="A3166" s="3">
        <v>3165</v>
      </c>
      <c r="L3166" s="1" t="s">
        <v>2103</v>
      </c>
      <c r="N3166" s="1" t="s">
        <v>2104</v>
      </c>
      <c r="P3166" s="1" t="s">
        <v>5983</v>
      </c>
      <c r="Q3166" s="3">
        <v>0</v>
      </c>
      <c r="R3166" s="22" t="s">
        <v>3871</v>
      </c>
      <c r="S3166" s="22" t="s">
        <v>5097</v>
      </c>
      <c r="T3166" s="51">
        <v>32</v>
      </c>
      <c r="U3166" s="3" t="s">
        <v>5958</v>
      </c>
      <c r="V3166" s="41" t="str">
        <f>HYPERLINK("http://ictvonline.org/taxonomy/p/taxonomy-history?taxnode_id=20185808","ICTVonline=20185808")</f>
        <v>ICTVonline=20185808</v>
      </c>
    </row>
    <row r="3167" spans="1:22">
      <c r="A3167" s="3">
        <v>3166</v>
      </c>
      <c r="L3167" s="1" t="s">
        <v>2103</v>
      </c>
      <c r="N3167" s="1" t="s">
        <v>2104</v>
      </c>
      <c r="P3167" s="1" t="s">
        <v>5984</v>
      </c>
      <c r="Q3167" s="3">
        <v>0</v>
      </c>
      <c r="R3167" s="22" t="s">
        <v>3871</v>
      </c>
      <c r="S3167" s="22" t="s">
        <v>5097</v>
      </c>
      <c r="T3167" s="51">
        <v>32</v>
      </c>
      <c r="U3167" s="3" t="s">
        <v>5958</v>
      </c>
      <c r="V3167" s="41" t="str">
        <f>HYPERLINK("http://ictvonline.org/taxonomy/p/taxonomy-history?taxnode_id=20185809","ICTVonline=20185809")</f>
        <v>ICTVonline=20185809</v>
      </c>
    </row>
    <row r="3168" spans="1:22">
      <c r="A3168" s="3">
        <v>3167</v>
      </c>
      <c r="L3168" s="1" t="s">
        <v>2103</v>
      </c>
      <c r="N3168" s="1" t="s">
        <v>2104</v>
      </c>
      <c r="P3168" s="1" t="s">
        <v>2416</v>
      </c>
      <c r="Q3168" s="3">
        <v>0</v>
      </c>
      <c r="R3168" s="22" t="s">
        <v>3871</v>
      </c>
      <c r="S3168" s="22" t="s">
        <v>5097</v>
      </c>
      <c r="T3168" s="51">
        <v>28</v>
      </c>
      <c r="U3168" s="3" t="s">
        <v>5952</v>
      </c>
      <c r="V3168" s="41" t="str">
        <f>HYPERLINK("http://ictvonline.org/taxonomy/p/taxonomy-history?taxnode_id=20183273","ICTVonline=20183273")</f>
        <v>ICTVonline=20183273</v>
      </c>
    </row>
    <row r="3169" spans="1:22">
      <c r="A3169" s="3">
        <v>3168</v>
      </c>
      <c r="L3169" s="1" t="s">
        <v>2103</v>
      </c>
      <c r="N3169" s="1" t="s">
        <v>2104</v>
      </c>
      <c r="P3169" s="1" t="s">
        <v>1728</v>
      </c>
      <c r="Q3169" s="3">
        <v>0</v>
      </c>
      <c r="R3169" s="22" t="s">
        <v>3871</v>
      </c>
      <c r="S3169" s="22" t="s">
        <v>5097</v>
      </c>
      <c r="T3169" s="51">
        <v>22</v>
      </c>
      <c r="U3169" s="3" t="s">
        <v>5953</v>
      </c>
      <c r="V3169" s="41" t="str">
        <f>HYPERLINK("http://ictvonline.org/taxonomy/p/taxonomy-history?taxnode_id=20183274","ICTVonline=20183274")</f>
        <v>ICTVonline=20183274</v>
      </c>
    </row>
    <row r="3170" spans="1:22">
      <c r="A3170" s="3">
        <v>3169</v>
      </c>
      <c r="L3170" s="1" t="s">
        <v>2103</v>
      </c>
      <c r="N3170" s="1" t="s">
        <v>2104</v>
      </c>
      <c r="P3170" s="1" t="s">
        <v>1729</v>
      </c>
      <c r="Q3170" s="3">
        <v>0</v>
      </c>
      <c r="R3170" s="22" t="s">
        <v>3871</v>
      </c>
      <c r="S3170" s="22" t="s">
        <v>5097</v>
      </c>
      <c r="T3170" s="51">
        <v>22</v>
      </c>
      <c r="U3170" s="3" t="s">
        <v>5953</v>
      </c>
      <c r="V3170" s="41" t="str">
        <f>HYPERLINK("http://ictvonline.org/taxonomy/p/taxonomy-history?taxnode_id=20183275","ICTVonline=20183275")</f>
        <v>ICTVonline=20183275</v>
      </c>
    </row>
    <row r="3171" spans="1:22">
      <c r="A3171" s="3">
        <v>3170</v>
      </c>
      <c r="L3171" s="1" t="s">
        <v>2103</v>
      </c>
      <c r="N3171" s="1" t="s">
        <v>2104</v>
      </c>
      <c r="P3171" s="1" t="s">
        <v>1730</v>
      </c>
      <c r="Q3171" s="3">
        <v>0</v>
      </c>
      <c r="R3171" s="22" t="s">
        <v>3871</v>
      </c>
      <c r="S3171" s="22" t="s">
        <v>5097</v>
      </c>
      <c r="T3171" s="51">
        <v>22</v>
      </c>
      <c r="U3171" s="3" t="s">
        <v>5953</v>
      </c>
      <c r="V3171" s="41" t="str">
        <f>HYPERLINK("http://ictvonline.org/taxonomy/p/taxonomy-history?taxnode_id=20183276","ICTVonline=20183276")</f>
        <v>ICTVonline=20183276</v>
      </c>
    </row>
    <row r="3172" spans="1:22">
      <c r="A3172" s="3">
        <v>3171</v>
      </c>
      <c r="L3172" s="1" t="s">
        <v>2103</v>
      </c>
      <c r="N3172" s="1" t="s">
        <v>2104</v>
      </c>
      <c r="P3172" s="1" t="s">
        <v>2417</v>
      </c>
      <c r="Q3172" s="3">
        <v>0</v>
      </c>
      <c r="R3172" s="22" t="s">
        <v>3871</v>
      </c>
      <c r="S3172" s="22" t="s">
        <v>5097</v>
      </c>
      <c r="T3172" s="51">
        <v>28</v>
      </c>
      <c r="U3172" s="3" t="s">
        <v>5952</v>
      </c>
      <c r="V3172" s="41" t="str">
        <f>HYPERLINK("http://ictvonline.org/taxonomy/p/taxonomy-history?taxnode_id=20183277","ICTVonline=20183277")</f>
        <v>ICTVonline=20183277</v>
      </c>
    </row>
    <row r="3173" spans="1:22">
      <c r="A3173" s="3">
        <v>3172</v>
      </c>
      <c r="L3173" s="1" t="s">
        <v>2103</v>
      </c>
      <c r="N3173" s="1" t="s">
        <v>2104</v>
      </c>
      <c r="P3173" s="1" t="s">
        <v>2418</v>
      </c>
      <c r="Q3173" s="3">
        <v>0</v>
      </c>
      <c r="R3173" s="22" t="s">
        <v>3871</v>
      </c>
      <c r="S3173" s="22" t="s">
        <v>5097</v>
      </c>
      <c r="T3173" s="51">
        <v>28</v>
      </c>
      <c r="U3173" s="3" t="s">
        <v>5952</v>
      </c>
      <c r="V3173" s="41" t="str">
        <f>HYPERLINK("http://ictvonline.org/taxonomy/p/taxonomy-history?taxnode_id=20183278","ICTVonline=20183278")</f>
        <v>ICTVonline=20183278</v>
      </c>
    </row>
    <row r="3174" spans="1:22">
      <c r="A3174" s="3">
        <v>3173</v>
      </c>
      <c r="L3174" s="1" t="s">
        <v>2103</v>
      </c>
      <c r="N3174" s="1" t="s">
        <v>2104</v>
      </c>
      <c r="P3174" s="1" t="s">
        <v>5985</v>
      </c>
      <c r="Q3174" s="3">
        <v>0</v>
      </c>
      <c r="R3174" s="22" t="s">
        <v>3871</v>
      </c>
      <c r="S3174" s="22" t="s">
        <v>5097</v>
      </c>
      <c r="T3174" s="51">
        <v>32</v>
      </c>
      <c r="U3174" s="3" t="s">
        <v>5958</v>
      </c>
      <c r="V3174" s="41" t="str">
        <f>HYPERLINK("http://ictvonline.org/taxonomy/p/taxonomy-history?taxnode_id=20185810","ICTVonline=20185810")</f>
        <v>ICTVonline=20185810</v>
      </c>
    </row>
    <row r="3175" spans="1:22">
      <c r="A3175" s="3">
        <v>3174</v>
      </c>
      <c r="L3175" s="1" t="s">
        <v>2103</v>
      </c>
      <c r="N3175" s="1" t="s">
        <v>2104</v>
      </c>
      <c r="P3175" s="1" t="s">
        <v>3909</v>
      </c>
      <c r="Q3175" s="3">
        <v>0</v>
      </c>
      <c r="R3175" s="22" t="s">
        <v>3871</v>
      </c>
      <c r="S3175" s="22" t="s">
        <v>5097</v>
      </c>
      <c r="T3175" s="51">
        <v>30</v>
      </c>
      <c r="U3175" s="3" t="s">
        <v>5951</v>
      </c>
      <c r="V3175" s="41" t="str">
        <f>HYPERLINK("http://ictvonline.org/taxonomy/p/taxonomy-history?taxnode_id=20183279","ICTVonline=20183279")</f>
        <v>ICTVonline=20183279</v>
      </c>
    </row>
    <row r="3176" spans="1:22">
      <c r="A3176" s="3">
        <v>3175</v>
      </c>
      <c r="L3176" s="1" t="s">
        <v>2103</v>
      </c>
      <c r="N3176" s="1" t="s">
        <v>2104</v>
      </c>
      <c r="P3176" s="1" t="s">
        <v>1731</v>
      </c>
      <c r="Q3176" s="3">
        <v>0</v>
      </c>
      <c r="R3176" s="22" t="s">
        <v>3871</v>
      </c>
      <c r="S3176" s="22" t="s">
        <v>5097</v>
      </c>
      <c r="T3176" s="51">
        <v>24</v>
      </c>
      <c r="U3176" s="3" t="s">
        <v>5959</v>
      </c>
      <c r="V3176" s="41" t="str">
        <f>HYPERLINK("http://ictvonline.org/taxonomy/p/taxonomy-history?taxnode_id=20183280","ICTVonline=20183280")</f>
        <v>ICTVonline=20183280</v>
      </c>
    </row>
    <row r="3177" spans="1:22">
      <c r="A3177" s="3">
        <v>3176</v>
      </c>
      <c r="L3177" s="1" t="s">
        <v>2103</v>
      </c>
      <c r="N3177" s="1" t="s">
        <v>2104</v>
      </c>
      <c r="P3177" s="1" t="s">
        <v>2419</v>
      </c>
      <c r="Q3177" s="3">
        <v>0</v>
      </c>
      <c r="R3177" s="22" t="s">
        <v>3871</v>
      </c>
      <c r="S3177" s="22" t="s">
        <v>5097</v>
      </c>
      <c r="T3177" s="51">
        <v>28</v>
      </c>
      <c r="U3177" s="3" t="s">
        <v>5952</v>
      </c>
      <c r="V3177" s="41" t="str">
        <f>HYPERLINK("http://ictvonline.org/taxonomy/p/taxonomy-history?taxnode_id=20183281","ICTVonline=20183281")</f>
        <v>ICTVonline=20183281</v>
      </c>
    </row>
    <row r="3178" spans="1:22">
      <c r="A3178" s="3">
        <v>3177</v>
      </c>
      <c r="L3178" s="1" t="s">
        <v>2103</v>
      </c>
      <c r="N3178" s="1" t="s">
        <v>2104</v>
      </c>
      <c r="P3178" s="1" t="s">
        <v>2420</v>
      </c>
      <c r="Q3178" s="3">
        <v>0</v>
      </c>
      <c r="R3178" s="22" t="s">
        <v>3871</v>
      </c>
      <c r="S3178" s="22" t="s">
        <v>5097</v>
      </c>
      <c r="T3178" s="51">
        <v>28</v>
      </c>
      <c r="U3178" s="3" t="s">
        <v>5952</v>
      </c>
      <c r="V3178" s="41" t="str">
        <f>HYPERLINK("http://ictvonline.org/taxonomy/p/taxonomy-history?taxnode_id=20183282","ICTVonline=20183282")</f>
        <v>ICTVonline=20183282</v>
      </c>
    </row>
    <row r="3179" spans="1:22">
      <c r="A3179" s="3">
        <v>3178</v>
      </c>
      <c r="L3179" s="1" t="s">
        <v>2103</v>
      </c>
      <c r="N3179" s="1" t="s">
        <v>2104</v>
      </c>
      <c r="P3179" s="1" t="s">
        <v>1732</v>
      </c>
      <c r="Q3179" s="3">
        <v>0</v>
      </c>
      <c r="R3179" s="22" t="s">
        <v>3871</v>
      </c>
      <c r="S3179" s="22" t="s">
        <v>5097</v>
      </c>
      <c r="T3179" s="51">
        <v>24</v>
      </c>
      <c r="U3179" s="3" t="s">
        <v>5959</v>
      </c>
      <c r="V3179" s="41" t="str">
        <f>HYPERLINK("http://ictvonline.org/taxonomy/p/taxonomy-history?taxnode_id=20183283","ICTVonline=20183283")</f>
        <v>ICTVonline=20183283</v>
      </c>
    </row>
    <row r="3180" spans="1:22">
      <c r="A3180" s="3">
        <v>3179</v>
      </c>
      <c r="L3180" s="1" t="s">
        <v>2103</v>
      </c>
      <c r="N3180" s="1" t="s">
        <v>2104</v>
      </c>
      <c r="P3180" s="1" t="s">
        <v>5986</v>
      </c>
      <c r="Q3180" s="3">
        <v>0</v>
      </c>
      <c r="R3180" s="22" t="s">
        <v>3871</v>
      </c>
      <c r="S3180" s="22" t="s">
        <v>5097</v>
      </c>
      <c r="T3180" s="51">
        <v>32</v>
      </c>
      <c r="U3180" s="3" t="s">
        <v>5958</v>
      </c>
      <c r="V3180" s="41" t="str">
        <f>HYPERLINK("http://ictvonline.org/taxonomy/p/taxonomy-history?taxnode_id=20185811","ICTVonline=20185811")</f>
        <v>ICTVonline=20185811</v>
      </c>
    </row>
    <row r="3181" spans="1:22">
      <c r="A3181" s="3">
        <v>3180</v>
      </c>
      <c r="L3181" s="1" t="s">
        <v>2103</v>
      </c>
      <c r="N3181" s="1" t="s">
        <v>2104</v>
      </c>
      <c r="P3181" s="1" t="s">
        <v>2421</v>
      </c>
      <c r="Q3181" s="3">
        <v>0</v>
      </c>
      <c r="R3181" s="22" t="s">
        <v>3871</v>
      </c>
      <c r="S3181" s="22" t="s">
        <v>5097</v>
      </c>
      <c r="T3181" s="51">
        <v>28</v>
      </c>
      <c r="U3181" s="3" t="s">
        <v>5952</v>
      </c>
      <c r="V3181" s="41" t="str">
        <f>HYPERLINK("http://ictvonline.org/taxonomy/p/taxonomy-history?taxnode_id=20183284","ICTVonline=20183284")</f>
        <v>ICTVonline=20183284</v>
      </c>
    </row>
    <row r="3182" spans="1:22">
      <c r="A3182" s="3">
        <v>3181</v>
      </c>
      <c r="L3182" s="1" t="s">
        <v>2103</v>
      </c>
      <c r="N3182" s="1" t="s">
        <v>2104</v>
      </c>
      <c r="P3182" s="1" t="s">
        <v>1724</v>
      </c>
      <c r="Q3182" s="3">
        <v>0</v>
      </c>
      <c r="R3182" s="22" t="s">
        <v>3871</v>
      </c>
      <c r="S3182" s="22" t="s">
        <v>5097</v>
      </c>
      <c r="T3182" s="51">
        <v>22</v>
      </c>
      <c r="U3182" s="3" t="s">
        <v>5953</v>
      </c>
      <c r="V3182" s="41" t="str">
        <f>HYPERLINK("http://ictvonline.org/taxonomy/p/taxonomy-history?taxnode_id=20183285","ICTVonline=20183285")</f>
        <v>ICTVonline=20183285</v>
      </c>
    </row>
    <row r="3183" spans="1:22">
      <c r="A3183" s="3">
        <v>3182</v>
      </c>
      <c r="L3183" s="1" t="s">
        <v>2103</v>
      </c>
      <c r="N3183" s="1" t="s">
        <v>2104</v>
      </c>
      <c r="P3183" s="1" t="s">
        <v>1725</v>
      </c>
      <c r="Q3183" s="3">
        <v>0</v>
      </c>
      <c r="R3183" s="22" t="s">
        <v>3871</v>
      </c>
      <c r="S3183" s="22" t="s">
        <v>5097</v>
      </c>
      <c r="T3183" s="51">
        <v>24</v>
      </c>
      <c r="U3183" s="3" t="s">
        <v>5954</v>
      </c>
      <c r="V3183" s="41" t="str">
        <f>HYPERLINK("http://ictvonline.org/taxonomy/p/taxonomy-history?taxnode_id=20183286","ICTVonline=20183286")</f>
        <v>ICTVonline=20183286</v>
      </c>
    </row>
    <row r="3184" spans="1:22">
      <c r="A3184" s="3">
        <v>3183</v>
      </c>
      <c r="L3184" s="1" t="s">
        <v>2103</v>
      </c>
      <c r="N3184" s="1" t="s">
        <v>2104</v>
      </c>
      <c r="P3184" s="1" t="s">
        <v>5987</v>
      </c>
      <c r="Q3184" s="3">
        <v>0</v>
      </c>
      <c r="R3184" s="22" t="s">
        <v>3871</v>
      </c>
      <c r="S3184" s="22" t="s">
        <v>5097</v>
      </c>
      <c r="T3184" s="51">
        <v>32</v>
      </c>
      <c r="U3184" s="3" t="s">
        <v>5958</v>
      </c>
      <c r="V3184" s="41" t="str">
        <f>HYPERLINK("http://ictvonline.org/taxonomy/p/taxonomy-history?taxnode_id=20185812","ICTVonline=20185812")</f>
        <v>ICTVonline=20185812</v>
      </c>
    </row>
    <row r="3185" spans="1:22">
      <c r="A3185" s="3">
        <v>3184</v>
      </c>
      <c r="L3185" s="1" t="s">
        <v>2103</v>
      </c>
      <c r="N3185" s="1" t="s">
        <v>2104</v>
      </c>
      <c r="P3185" s="1" t="s">
        <v>5988</v>
      </c>
      <c r="Q3185" s="3">
        <v>0</v>
      </c>
      <c r="R3185" s="22" t="s">
        <v>3871</v>
      </c>
      <c r="S3185" s="22" t="s">
        <v>5097</v>
      </c>
      <c r="T3185" s="51">
        <v>32</v>
      </c>
      <c r="U3185" s="3" t="s">
        <v>5958</v>
      </c>
      <c r="V3185" s="41" t="str">
        <f>HYPERLINK("http://ictvonline.org/taxonomy/p/taxonomy-history?taxnode_id=20185813","ICTVonline=20185813")</f>
        <v>ICTVonline=20185813</v>
      </c>
    </row>
    <row r="3186" spans="1:22">
      <c r="A3186" s="3">
        <v>3185</v>
      </c>
      <c r="L3186" s="1" t="s">
        <v>2103</v>
      </c>
      <c r="N3186" s="1" t="s">
        <v>2104</v>
      </c>
      <c r="P3186" s="1" t="s">
        <v>1726</v>
      </c>
      <c r="Q3186" s="3">
        <v>0</v>
      </c>
      <c r="R3186" s="22" t="s">
        <v>3871</v>
      </c>
      <c r="S3186" s="22" t="s">
        <v>5097</v>
      </c>
      <c r="T3186" s="51">
        <v>22</v>
      </c>
      <c r="U3186" s="3" t="s">
        <v>5953</v>
      </c>
      <c r="V3186" s="41" t="str">
        <f>HYPERLINK("http://ictvonline.org/taxonomy/p/taxonomy-history?taxnode_id=20183287","ICTVonline=20183287")</f>
        <v>ICTVonline=20183287</v>
      </c>
    </row>
    <row r="3187" spans="1:22">
      <c r="A3187" s="3">
        <v>3186</v>
      </c>
      <c r="L3187" s="1" t="s">
        <v>2103</v>
      </c>
      <c r="N3187" s="1" t="s">
        <v>2104</v>
      </c>
      <c r="P3187" s="1" t="s">
        <v>2422</v>
      </c>
      <c r="Q3187" s="3">
        <v>0</v>
      </c>
      <c r="R3187" s="22" t="s">
        <v>3871</v>
      </c>
      <c r="S3187" s="22" t="s">
        <v>5097</v>
      </c>
      <c r="T3187" s="51">
        <v>28</v>
      </c>
      <c r="U3187" s="3" t="s">
        <v>5952</v>
      </c>
      <c r="V3187" s="41" t="str">
        <f>HYPERLINK("http://ictvonline.org/taxonomy/p/taxonomy-history?taxnode_id=20183288","ICTVonline=20183288")</f>
        <v>ICTVonline=20183288</v>
      </c>
    </row>
    <row r="3188" spans="1:22">
      <c r="A3188" s="3">
        <v>3187</v>
      </c>
      <c r="L3188" s="1" t="s">
        <v>2103</v>
      </c>
      <c r="N3188" s="1" t="s">
        <v>2104</v>
      </c>
      <c r="P3188" s="1" t="s">
        <v>2423</v>
      </c>
      <c r="Q3188" s="3">
        <v>0</v>
      </c>
      <c r="R3188" s="22" t="s">
        <v>3871</v>
      </c>
      <c r="S3188" s="22" t="s">
        <v>5097</v>
      </c>
      <c r="T3188" s="51">
        <v>28</v>
      </c>
      <c r="U3188" s="3" t="s">
        <v>5952</v>
      </c>
      <c r="V3188" s="41" t="str">
        <f>HYPERLINK("http://ictvonline.org/taxonomy/p/taxonomy-history?taxnode_id=20183289","ICTVonline=20183289")</f>
        <v>ICTVonline=20183289</v>
      </c>
    </row>
    <row r="3189" spans="1:22">
      <c r="A3189" s="3">
        <v>3188</v>
      </c>
      <c r="L3189" s="1" t="s">
        <v>2103</v>
      </c>
      <c r="N3189" s="1" t="s">
        <v>2104</v>
      </c>
      <c r="P3189" s="1" t="s">
        <v>95</v>
      </c>
      <c r="Q3189" s="3">
        <v>0</v>
      </c>
      <c r="R3189" s="22" t="s">
        <v>3871</v>
      </c>
      <c r="S3189" s="22" t="s">
        <v>5100</v>
      </c>
      <c r="T3189" s="51">
        <v>26</v>
      </c>
      <c r="U3189" s="3" t="s">
        <v>5968</v>
      </c>
      <c r="V3189" s="41" t="str">
        <f>HYPERLINK("http://ictvonline.org/taxonomy/p/taxonomy-history?taxnode_id=20183290","ICTVonline=20183290")</f>
        <v>ICTVonline=20183290</v>
      </c>
    </row>
    <row r="3190" spans="1:22">
      <c r="A3190" s="3">
        <v>3189</v>
      </c>
      <c r="L3190" s="1" t="s">
        <v>2103</v>
      </c>
      <c r="N3190" s="1" t="s">
        <v>2104</v>
      </c>
      <c r="P3190" s="1" t="s">
        <v>3910</v>
      </c>
      <c r="Q3190" s="3">
        <v>0</v>
      </c>
      <c r="R3190" s="22" t="s">
        <v>3871</v>
      </c>
      <c r="S3190" s="22" t="s">
        <v>5097</v>
      </c>
      <c r="T3190" s="51">
        <v>30</v>
      </c>
      <c r="U3190" s="3" t="s">
        <v>5951</v>
      </c>
      <c r="V3190" s="41" t="str">
        <f>HYPERLINK("http://ictvonline.org/taxonomy/p/taxonomy-history?taxnode_id=20183291","ICTVonline=20183291")</f>
        <v>ICTVonline=20183291</v>
      </c>
    </row>
    <row r="3191" spans="1:22">
      <c r="A3191" s="3">
        <v>3190</v>
      </c>
      <c r="L3191" s="1" t="s">
        <v>2103</v>
      </c>
      <c r="N3191" s="1" t="s">
        <v>2104</v>
      </c>
      <c r="P3191" s="1" t="s">
        <v>1727</v>
      </c>
      <c r="Q3191" s="3">
        <v>0</v>
      </c>
      <c r="R3191" s="22" t="s">
        <v>3871</v>
      </c>
      <c r="S3191" s="22" t="s">
        <v>5097</v>
      </c>
      <c r="T3191" s="51">
        <v>24</v>
      </c>
      <c r="U3191" s="3" t="s">
        <v>5955</v>
      </c>
      <c r="V3191" s="41" t="str">
        <f>HYPERLINK("http://ictvonline.org/taxonomy/p/taxonomy-history?taxnode_id=20183292","ICTVonline=20183292")</f>
        <v>ICTVonline=20183292</v>
      </c>
    </row>
    <row r="3192" spans="1:22">
      <c r="A3192" s="3">
        <v>3191</v>
      </c>
      <c r="L3192" s="1" t="s">
        <v>2103</v>
      </c>
      <c r="N3192" s="1" t="s">
        <v>2104</v>
      </c>
      <c r="P3192" s="1" t="s">
        <v>335</v>
      </c>
      <c r="Q3192" s="3">
        <v>0</v>
      </c>
      <c r="R3192" s="22" t="s">
        <v>3871</v>
      </c>
      <c r="S3192" s="22" t="s">
        <v>5097</v>
      </c>
      <c r="T3192" s="51">
        <v>24</v>
      </c>
      <c r="U3192" s="3" t="s">
        <v>5955</v>
      </c>
      <c r="V3192" s="41" t="str">
        <f>HYPERLINK("http://ictvonline.org/taxonomy/p/taxonomy-history?taxnode_id=20183293","ICTVonline=20183293")</f>
        <v>ICTVonline=20183293</v>
      </c>
    </row>
    <row r="3193" spans="1:22">
      <c r="A3193" s="3">
        <v>3192</v>
      </c>
      <c r="L3193" s="1" t="s">
        <v>2103</v>
      </c>
      <c r="N3193" s="1" t="s">
        <v>2104</v>
      </c>
      <c r="P3193" s="1" t="s">
        <v>5989</v>
      </c>
      <c r="Q3193" s="3">
        <v>0</v>
      </c>
      <c r="R3193" s="22" t="s">
        <v>3871</v>
      </c>
      <c r="S3193" s="22" t="s">
        <v>5097</v>
      </c>
      <c r="T3193" s="51">
        <v>32</v>
      </c>
      <c r="U3193" s="3" t="s">
        <v>5958</v>
      </c>
      <c r="V3193" s="41" t="str">
        <f>HYPERLINK("http://ictvonline.org/taxonomy/p/taxonomy-history?taxnode_id=20185814","ICTVonline=20185814")</f>
        <v>ICTVonline=20185814</v>
      </c>
    </row>
    <row r="3194" spans="1:22">
      <c r="A3194" s="3">
        <v>3193</v>
      </c>
      <c r="L3194" s="1" t="s">
        <v>2103</v>
      </c>
      <c r="N3194" s="1" t="s">
        <v>2104</v>
      </c>
      <c r="P3194" s="1" t="s">
        <v>336</v>
      </c>
      <c r="Q3194" s="3">
        <v>0</v>
      </c>
      <c r="R3194" s="22" t="s">
        <v>3871</v>
      </c>
      <c r="S3194" s="22" t="s">
        <v>5097</v>
      </c>
      <c r="T3194" s="51">
        <v>22</v>
      </c>
      <c r="U3194" s="3" t="s">
        <v>5953</v>
      </c>
      <c r="V3194" s="41" t="str">
        <f>HYPERLINK("http://ictvonline.org/taxonomy/p/taxonomy-history?taxnode_id=20183294","ICTVonline=20183294")</f>
        <v>ICTVonline=20183294</v>
      </c>
    </row>
    <row r="3195" spans="1:22">
      <c r="A3195" s="3">
        <v>3194</v>
      </c>
      <c r="L3195" s="1" t="s">
        <v>2103</v>
      </c>
      <c r="N3195" s="1" t="s">
        <v>2104</v>
      </c>
      <c r="P3195" s="1" t="s">
        <v>337</v>
      </c>
      <c r="Q3195" s="3">
        <v>0</v>
      </c>
      <c r="R3195" s="22" t="s">
        <v>3871</v>
      </c>
      <c r="S3195" s="22" t="s">
        <v>5099</v>
      </c>
      <c r="T3195" s="51">
        <v>16</v>
      </c>
      <c r="U3195" s="3" t="s">
        <v>5884</v>
      </c>
      <c r="V3195" s="41" t="str">
        <f>HYPERLINK("http://ictvonline.org/taxonomy/p/taxonomy-history?taxnode_id=20183295","ICTVonline=20183295")</f>
        <v>ICTVonline=20183295</v>
      </c>
    </row>
    <row r="3196" spans="1:22">
      <c r="A3196" s="3">
        <v>3195</v>
      </c>
      <c r="L3196" s="1" t="s">
        <v>2103</v>
      </c>
      <c r="N3196" s="1" t="s">
        <v>2104</v>
      </c>
      <c r="P3196" s="1" t="s">
        <v>2424</v>
      </c>
      <c r="Q3196" s="3">
        <v>0</v>
      </c>
      <c r="R3196" s="22" t="s">
        <v>3871</v>
      </c>
      <c r="S3196" s="22" t="s">
        <v>5097</v>
      </c>
      <c r="T3196" s="51">
        <v>28</v>
      </c>
      <c r="U3196" s="3" t="s">
        <v>5952</v>
      </c>
      <c r="V3196" s="41" t="str">
        <f>HYPERLINK("http://ictvonline.org/taxonomy/p/taxonomy-history?taxnode_id=20183296","ICTVonline=20183296")</f>
        <v>ICTVonline=20183296</v>
      </c>
    </row>
    <row r="3197" spans="1:22">
      <c r="A3197" s="3">
        <v>3196</v>
      </c>
      <c r="L3197" s="1" t="s">
        <v>2103</v>
      </c>
      <c r="N3197" s="1" t="s">
        <v>2104</v>
      </c>
      <c r="P3197" s="1" t="s">
        <v>5990</v>
      </c>
      <c r="Q3197" s="3">
        <v>0</v>
      </c>
      <c r="R3197" s="22" t="s">
        <v>3871</v>
      </c>
      <c r="S3197" s="22" t="s">
        <v>5097</v>
      </c>
      <c r="T3197" s="51">
        <v>32</v>
      </c>
      <c r="U3197" s="3" t="s">
        <v>5958</v>
      </c>
      <c r="V3197" s="41" t="str">
        <f>HYPERLINK("http://ictvonline.org/taxonomy/p/taxonomy-history?taxnode_id=20185815","ICTVonline=20185815")</f>
        <v>ICTVonline=20185815</v>
      </c>
    </row>
    <row r="3198" spans="1:22">
      <c r="A3198" s="3">
        <v>3197</v>
      </c>
      <c r="L3198" s="1" t="s">
        <v>2103</v>
      </c>
      <c r="N3198" s="1" t="s">
        <v>2104</v>
      </c>
      <c r="P3198" s="1" t="s">
        <v>2425</v>
      </c>
      <c r="Q3198" s="3">
        <v>0</v>
      </c>
      <c r="R3198" s="22" t="s">
        <v>3871</v>
      </c>
      <c r="S3198" s="22" t="s">
        <v>5097</v>
      </c>
      <c r="T3198" s="51">
        <v>28</v>
      </c>
      <c r="U3198" s="3" t="s">
        <v>5952</v>
      </c>
      <c r="V3198" s="41" t="str">
        <f>HYPERLINK("http://ictvonline.org/taxonomy/p/taxonomy-history?taxnode_id=20183297","ICTVonline=20183297")</f>
        <v>ICTVonline=20183297</v>
      </c>
    </row>
    <row r="3199" spans="1:22">
      <c r="A3199" s="3">
        <v>3198</v>
      </c>
      <c r="L3199" s="1" t="s">
        <v>2103</v>
      </c>
      <c r="N3199" s="1" t="s">
        <v>2104</v>
      </c>
      <c r="P3199" s="1" t="s">
        <v>338</v>
      </c>
      <c r="Q3199" s="3">
        <v>0</v>
      </c>
      <c r="R3199" s="22" t="s">
        <v>3871</v>
      </c>
      <c r="S3199" s="22" t="s">
        <v>5097</v>
      </c>
      <c r="T3199" s="51">
        <v>24</v>
      </c>
      <c r="U3199" s="3" t="s">
        <v>5955</v>
      </c>
      <c r="V3199" s="41" t="str">
        <f>HYPERLINK("http://ictvonline.org/taxonomy/p/taxonomy-history?taxnode_id=20183298","ICTVonline=20183298")</f>
        <v>ICTVonline=20183298</v>
      </c>
    </row>
    <row r="3200" spans="1:22">
      <c r="A3200" s="3">
        <v>3199</v>
      </c>
      <c r="L3200" s="1" t="s">
        <v>2103</v>
      </c>
      <c r="N3200" s="1" t="s">
        <v>2104</v>
      </c>
      <c r="P3200" s="1" t="s">
        <v>339</v>
      </c>
      <c r="Q3200" s="3">
        <v>0</v>
      </c>
      <c r="R3200" s="22" t="s">
        <v>3871</v>
      </c>
      <c r="S3200" s="22" t="s">
        <v>5097</v>
      </c>
      <c r="T3200" s="51">
        <v>24</v>
      </c>
      <c r="U3200" s="3" t="s">
        <v>5954</v>
      </c>
      <c r="V3200" s="41" t="str">
        <f>HYPERLINK("http://ictvonline.org/taxonomy/p/taxonomy-history?taxnode_id=20183299","ICTVonline=20183299")</f>
        <v>ICTVonline=20183299</v>
      </c>
    </row>
    <row r="3201" spans="1:22">
      <c r="A3201" s="3">
        <v>3200</v>
      </c>
      <c r="L3201" s="1" t="s">
        <v>2103</v>
      </c>
      <c r="N3201" s="1" t="s">
        <v>2104</v>
      </c>
      <c r="P3201" s="1" t="s">
        <v>5991</v>
      </c>
      <c r="Q3201" s="3">
        <v>0</v>
      </c>
      <c r="R3201" s="22" t="s">
        <v>3871</v>
      </c>
      <c r="S3201" s="22" t="s">
        <v>5097</v>
      </c>
      <c r="T3201" s="51">
        <v>32</v>
      </c>
      <c r="U3201" s="3" t="s">
        <v>5958</v>
      </c>
      <c r="V3201" s="41" t="str">
        <f>HYPERLINK("http://ictvonline.org/taxonomy/p/taxonomy-history?taxnode_id=20185816","ICTVonline=20185816")</f>
        <v>ICTVonline=20185816</v>
      </c>
    </row>
    <row r="3202" spans="1:22">
      <c r="A3202" s="3">
        <v>3201</v>
      </c>
      <c r="L3202" s="1" t="s">
        <v>2103</v>
      </c>
      <c r="N3202" s="1" t="s">
        <v>2104</v>
      </c>
      <c r="P3202" s="1" t="s">
        <v>2426</v>
      </c>
      <c r="Q3202" s="3">
        <v>0</v>
      </c>
      <c r="R3202" s="22" t="s">
        <v>3871</v>
      </c>
      <c r="S3202" s="22" t="s">
        <v>5097</v>
      </c>
      <c r="T3202" s="51">
        <v>28</v>
      </c>
      <c r="U3202" s="3" t="s">
        <v>5952</v>
      </c>
      <c r="V3202" s="41" t="str">
        <f>HYPERLINK("http://ictvonline.org/taxonomy/p/taxonomy-history?taxnode_id=20183300","ICTVonline=20183300")</f>
        <v>ICTVonline=20183300</v>
      </c>
    </row>
    <row r="3203" spans="1:22">
      <c r="A3203" s="3">
        <v>3202</v>
      </c>
      <c r="L3203" s="1" t="s">
        <v>2103</v>
      </c>
      <c r="N3203" s="1" t="s">
        <v>2104</v>
      </c>
      <c r="P3203" s="1" t="s">
        <v>340</v>
      </c>
      <c r="Q3203" s="3">
        <v>0</v>
      </c>
      <c r="R3203" s="22" t="s">
        <v>3871</v>
      </c>
      <c r="S3203" s="22" t="s">
        <v>5097</v>
      </c>
      <c r="T3203" s="51">
        <v>22</v>
      </c>
      <c r="U3203" s="3" t="s">
        <v>5992</v>
      </c>
      <c r="V3203" s="41" t="str">
        <f>HYPERLINK("http://ictvonline.org/taxonomy/p/taxonomy-history?taxnode_id=20183301","ICTVonline=20183301")</f>
        <v>ICTVonline=20183301</v>
      </c>
    </row>
    <row r="3204" spans="1:22">
      <c r="A3204" s="3">
        <v>3203</v>
      </c>
      <c r="L3204" s="1" t="s">
        <v>2103</v>
      </c>
      <c r="N3204" s="1" t="s">
        <v>2104</v>
      </c>
      <c r="P3204" s="1" t="s">
        <v>341</v>
      </c>
      <c r="Q3204" s="3">
        <v>0</v>
      </c>
      <c r="R3204" s="22" t="s">
        <v>3871</v>
      </c>
      <c r="S3204" s="22" t="s">
        <v>5100</v>
      </c>
      <c r="T3204" s="51">
        <v>23</v>
      </c>
      <c r="U3204" s="3" t="s">
        <v>5872</v>
      </c>
      <c r="V3204" s="41" t="str">
        <f>HYPERLINK("http://ictvonline.org/taxonomy/p/taxonomy-history?taxnode_id=20183302","ICTVonline=20183302")</f>
        <v>ICTVonline=20183302</v>
      </c>
    </row>
    <row r="3205" spans="1:22">
      <c r="A3205" s="3">
        <v>3204</v>
      </c>
      <c r="L3205" s="1" t="s">
        <v>2103</v>
      </c>
      <c r="N3205" s="1" t="s">
        <v>2104</v>
      </c>
      <c r="P3205" s="1" t="s">
        <v>342</v>
      </c>
      <c r="Q3205" s="3">
        <v>0</v>
      </c>
      <c r="R3205" s="22" t="s">
        <v>3871</v>
      </c>
      <c r="S3205" s="22" t="s">
        <v>5097</v>
      </c>
      <c r="T3205" s="51">
        <v>17</v>
      </c>
      <c r="U3205" s="3" t="s">
        <v>5823</v>
      </c>
      <c r="V3205" s="41" t="str">
        <f>HYPERLINK("http://ictvonline.org/taxonomy/p/taxonomy-history?taxnode_id=20183303","ICTVonline=20183303")</f>
        <v>ICTVonline=20183303</v>
      </c>
    </row>
    <row r="3206" spans="1:22">
      <c r="A3206" s="3">
        <v>3205</v>
      </c>
      <c r="L3206" s="1" t="s">
        <v>2103</v>
      </c>
      <c r="N3206" s="1" t="s">
        <v>2104</v>
      </c>
      <c r="P3206" s="1" t="s">
        <v>5993</v>
      </c>
      <c r="Q3206" s="3">
        <v>0</v>
      </c>
      <c r="R3206" s="22" t="s">
        <v>3871</v>
      </c>
      <c r="S3206" s="22" t="s">
        <v>5097</v>
      </c>
      <c r="T3206" s="51">
        <v>32</v>
      </c>
      <c r="U3206" s="3" t="s">
        <v>5958</v>
      </c>
      <c r="V3206" s="41" t="str">
        <f>HYPERLINK("http://ictvonline.org/taxonomy/p/taxonomy-history?taxnode_id=20185817","ICTVonline=20185817")</f>
        <v>ICTVonline=20185817</v>
      </c>
    </row>
    <row r="3207" spans="1:22">
      <c r="A3207" s="3">
        <v>3206</v>
      </c>
      <c r="L3207" s="1" t="s">
        <v>2103</v>
      </c>
      <c r="N3207" s="1" t="s">
        <v>2104</v>
      </c>
      <c r="P3207" s="1" t="s">
        <v>2427</v>
      </c>
      <c r="Q3207" s="3">
        <v>0</v>
      </c>
      <c r="R3207" s="22" t="s">
        <v>3871</v>
      </c>
      <c r="S3207" s="22" t="s">
        <v>5097</v>
      </c>
      <c r="T3207" s="51">
        <v>28</v>
      </c>
      <c r="U3207" s="3" t="s">
        <v>5952</v>
      </c>
      <c r="V3207" s="41" t="str">
        <f>HYPERLINK("http://ictvonline.org/taxonomy/p/taxonomy-history?taxnode_id=20183304","ICTVonline=20183304")</f>
        <v>ICTVonline=20183304</v>
      </c>
    </row>
    <row r="3208" spans="1:22">
      <c r="A3208" s="3">
        <v>3207</v>
      </c>
      <c r="L3208" s="1" t="s">
        <v>2103</v>
      </c>
      <c r="N3208" s="1" t="s">
        <v>2104</v>
      </c>
      <c r="P3208" s="1" t="s">
        <v>5994</v>
      </c>
      <c r="Q3208" s="3">
        <v>0</v>
      </c>
      <c r="R3208" s="22" t="s">
        <v>3871</v>
      </c>
      <c r="S3208" s="22" t="s">
        <v>5097</v>
      </c>
      <c r="T3208" s="51">
        <v>32</v>
      </c>
      <c r="U3208" s="3" t="s">
        <v>5958</v>
      </c>
      <c r="V3208" s="41" t="str">
        <f>HYPERLINK("http://ictvonline.org/taxonomy/p/taxonomy-history?taxnode_id=20185818","ICTVonline=20185818")</f>
        <v>ICTVonline=20185818</v>
      </c>
    </row>
    <row r="3209" spans="1:22">
      <c r="A3209" s="3">
        <v>3208</v>
      </c>
      <c r="L3209" s="1" t="s">
        <v>2103</v>
      </c>
      <c r="N3209" s="1" t="s">
        <v>2104</v>
      </c>
      <c r="P3209" s="1" t="s">
        <v>5995</v>
      </c>
      <c r="Q3209" s="3">
        <v>0</v>
      </c>
      <c r="R3209" s="22" t="s">
        <v>3871</v>
      </c>
      <c r="S3209" s="22" t="s">
        <v>5097</v>
      </c>
      <c r="T3209" s="51">
        <v>32</v>
      </c>
      <c r="U3209" s="3" t="s">
        <v>5958</v>
      </c>
      <c r="V3209" s="41" t="str">
        <f>HYPERLINK("http://ictvonline.org/taxonomy/p/taxonomy-history?taxnode_id=20185819","ICTVonline=20185819")</f>
        <v>ICTVonline=20185819</v>
      </c>
    </row>
    <row r="3210" spans="1:22">
      <c r="A3210" s="3">
        <v>3209</v>
      </c>
      <c r="L3210" s="1" t="s">
        <v>2103</v>
      </c>
      <c r="N3210" s="1" t="s">
        <v>2104</v>
      </c>
      <c r="P3210" s="1" t="s">
        <v>5996</v>
      </c>
      <c r="Q3210" s="3">
        <v>0</v>
      </c>
      <c r="R3210" s="22" t="s">
        <v>3871</v>
      </c>
      <c r="S3210" s="22" t="s">
        <v>5097</v>
      </c>
      <c r="T3210" s="51">
        <v>32</v>
      </c>
      <c r="U3210" s="3" t="s">
        <v>5958</v>
      </c>
      <c r="V3210" s="41" t="str">
        <f>HYPERLINK("http://ictvonline.org/taxonomy/p/taxonomy-history?taxnode_id=20185820","ICTVonline=20185820")</f>
        <v>ICTVonline=20185820</v>
      </c>
    </row>
    <row r="3211" spans="1:22">
      <c r="A3211" s="3">
        <v>3210</v>
      </c>
      <c r="L3211" s="1" t="s">
        <v>2103</v>
      </c>
      <c r="N3211" s="1" t="s">
        <v>2104</v>
      </c>
      <c r="P3211" s="1" t="s">
        <v>5997</v>
      </c>
      <c r="Q3211" s="3">
        <v>0</v>
      </c>
      <c r="R3211" s="22" t="s">
        <v>3871</v>
      </c>
      <c r="S3211" s="22" t="s">
        <v>5097</v>
      </c>
      <c r="T3211" s="51">
        <v>24</v>
      </c>
      <c r="U3211" s="3" t="s">
        <v>5955</v>
      </c>
      <c r="V3211" s="41" t="str">
        <f>HYPERLINK("http://ictvonline.org/taxonomy/p/taxonomy-history?taxnode_id=20183305","ICTVonline=20183305")</f>
        <v>ICTVonline=20183305</v>
      </c>
    </row>
    <row r="3212" spans="1:22">
      <c r="A3212" s="3">
        <v>3211</v>
      </c>
      <c r="L3212" s="1" t="s">
        <v>2103</v>
      </c>
      <c r="N3212" s="1" t="s">
        <v>2104</v>
      </c>
      <c r="P3212" s="1" t="s">
        <v>343</v>
      </c>
      <c r="Q3212" s="3">
        <v>0</v>
      </c>
      <c r="R3212" s="22" t="s">
        <v>3871</v>
      </c>
      <c r="S3212" s="22" t="s">
        <v>5100</v>
      </c>
      <c r="T3212" s="51">
        <v>23</v>
      </c>
      <c r="U3212" s="3" t="s">
        <v>5872</v>
      </c>
      <c r="V3212" s="41" t="str">
        <f>HYPERLINK("http://ictvonline.org/taxonomy/p/taxonomy-history?taxnode_id=20183306","ICTVonline=20183306")</f>
        <v>ICTVonline=20183306</v>
      </c>
    </row>
    <row r="3213" spans="1:22">
      <c r="A3213" s="3">
        <v>3212</v>
      </c>
      <c r="L3213" s="1" t="s">
        <v>2103</v>
      </c>
      <c r="N3213" s="1" t="s">
        <v>2104</v>
      </c>
      <c r="P3213" s="1" t="s">
        <v>344</v>
      </c>
      <c r="Q3213" s="3">
        <v>0</v>
      </c>
      <c r="R3213" s="22" t="s">
        <v>3871</v>
      </c>
      <c r="S3213" s="22" t="s">
        <v>5100</v>
      </c>
      <c r="T3213" s="51">
        <v>23</v>
      </c>
      <c r="U3213" s="3" t="s">
        <v>5872</v>
      </c>
      <c r="V3213" s="41" t="str">
        <f>HYPERLINK("http://ictvonline.org/taxonomy/p/taxonomy-history?taxnode_id=20183307","ICTVonline=20183307")</f>
        <v>ICTVonline=20183307</v>
      </c>
    </row>
    <row r="3214" spans="1:22">
      <c r="A3214" s="3">
        <v>3213</v>
      </c>
      <c r="L3214" s="1" t="s">
        <v>2103</v>
      </c>
      <c r="N3214" s="1" t="s">
        <v>2104</v>
      </c>
      <c r="P3214" s="1" t="s">
        <v>1457</v>
      </c>
      <c r="Q3214" s="3">
        <v>0</v>
      </c>
      <c r="R3214" s="22" t="s">
        <v>3871</v>
      </c>
      <c r="S3214" s="22" t="s">
        <v>5097</v>
      </c>
      <c r="T3214" s="51">
        <v>22</v>
      </c>
      <c r="U3214" s="3" t="s">
        <v>5953</v>
      </c>
      <c r="V3214" s="41" t="str">
        <f>HYPERLINK("http://ictvonline.org/taxonomy/p/taxonomy-history?taxnode_id=20183308","ICTVonline=20183308")</f>
        <v>ICTVonline=20183308</v>
      </c>
    </row>
    <row r="3215" spans="1:22">
      <c r="A3215" s="3">
        <v>3214</v>
      </c>
      <c r="L3215" s="1" t="s">
        <v>2103</v>
      </c>
      <c r="N3215" s="1" t="s">
        <v>2104</v>
      </c>
      <c r="P3215" s="1" t="s">
        <v>453</v>
      </c>
      <c r="Q3215" s="3">
        <v>0</v>
      </c>
      <c r="R3215" s="22" t="s">
        <v>3871</v>
      </c>
      <c r="S3215" s="22" t="s">
        <v>5097</v>
      </c>
      <c r="T3215" s="51">
        <v>24</v>
      </c>
      <c r="U3215" s="3" t="s">
        <v>5955</v>
      </c>
      <c r="V3215" s="41" t="str">
        <f>HYPERLINK("http://ictvonline.org/taxonomy/p/taxonomy-history?taxnode_id=20183309","ICTVonline=20183309")</f>
        <v>ICTVonline=20183309</v>
      </c>
    </row>
    <row r="3216" spans="1:22">
      <c r="A3216" s="3">
        <v>3215</v>
      </c>
      <c r="L3216" s="1" t="s">
        <v>2103</v>
      </c>
      <c r="N3216" s="1" t="s">
        <v>2104</v>
      </c>
      <c r="P3216" s="1" t="s">
        <v>454</v>
      </c>
      <c r="Q3216" s="3">
        <v>0</v>
      </c>
      <c r="R3216" s="22" t="s">
        <v>3871</v>
      </c>
      <c r="S3216" s="22" t="s">
        <v>5097</v>
      </c>
      <c r="T3216" s="51">
        <v>17</v>
      </c>
      <c r="U3216" s="3" t="s">
        <v>5823</v>
      </c>
      <c r="V3216" s="41" t="str">
        <f>HYPERLINK("http://ictvonline.org/taxonomy/p/taxonomy-history?taxnode_id=20183310","ICTVonline=20183310")</f>
        <v>ICTVonline=20183310</v>
      </c>
    </row>
    <row r="3217" spans="1:22">
      <c r="A3217" s="3">
        <v>3216</v>
      </c>
      <c r="L3217" s="1" t="s">
        <v>2103</v>
      </c>
      <c r="N3217" s="1" t="s">
        <v>2104</v>
      </c>
      <c r="P3217" s="1" t="s">
        <v>2428</v>
      </c>
      <c r="Q3217" s="3">
        <v>0</v>
      </c>
      <c r="R3217" s="22" t="s">
        <v>3871</v>
      </c>
      <c r="S3217" s="22" t="s">
        <v>5097</v>
      </c>
      <c r="T3217" s="51">
        <v>28</v>
      </c>
      <c r="U3217" s="3" t="s">
        <v>5952</v>
      </c>
      <c r="V3217" s="41" t="str">
        <f>HYPERLINK("http://ictvonline.org/taxonomy/p/taxonomy-history?taxnode_id=20183311","ICTVonline=20183311")</f>
        <v>ICTVonline=20183311</v>
      </c>
    </row>
    <row r="3218" spans="1:22">
      <c r="A3218" s="3">
        <v>3217</v>
      </c>
      <c r="L3218" s="1" t="s">
        <v>2103</v>
      </c>
      <c r="N3218" s="1" t="s">
        <v>2104</v>
      </c>
      <c r="P3218" s="1" t="s">
        <v>1482</v>
      </c>
      <c r="Q3218" s="3">
        <v>0</v>
      </c>
      <c r="R3218" s="22" t="s">
        <v>3871</v>
      </c>
      <c r="S3218" s="22" t="s">
        <v>5097</v>
      </c>
      <c r="T3218" s="51">
        <v>24</v>
      </c>
      <c r="U3218" s="3" t="s">
        <v>5955</v>
      </c>
      <c r="V3218" s="41" t="str">
        <f>HYPERLINK("http://ictvonline.org/taxonomy/p/taxonomy-history?taxnode_id=20183312","ICTVonline=20183312")</f>
        <v>ICTVonline=20183312</v>
      </c>
    </row>
    <row r="3219" spans="1:22">
      <c r="A3219" s="3">
        <v>3218</v>
      </c>
      <c r="L3219" s="1" t="s">
        <v>2103</v>
      </c>
      <c r="N3219" s="1" t="s">
        <v>2104</v>
      </c>
      <c r="P3219" s="1" t="s">
        <v>5998</v>
      </c>
      <c r="Q3219" s="3">
        <v>0</v>
      </c>
      <c r="R3219" s="22" t="s">
        <v>3871</v>
      </c>
      <c r="S3219" s="22" t="s">
        <v>5097</v>
      </c>
      <c r="T3219" s="51">
        <v>32</v>
      </c>
      <c r="U3219" s="3" t="s">
        <v>5958</v>
      </c>
      <c r="V3219" s="41" t="str">
        <f>HYPERLINK("http://ictvonline.org/taxonomy/p/taxonomy-history?taxnode_id=20185821","ICTVonline=20185821")</f>
        <v>ICTVonline=20185821</v>
      </c>
    </row>
    <row r="3220" spans="1:22">
      <c r="A3220" s="3">
        <v>3219</v>
      </c>
      <c r="L3220" s="1" t="s">
        <v>2103</v>
      </c>
      <c r="N3220" s="1" t="s">
        <v>2104</v>
      </c>
      <c r="P3220" s="1" t="s">
        <v>3911</v>
      </c>
      <c r="Q3220" s="3">
        <v>0</v>
      </c>
      <c r="R3220" s="22" t="s">
        <v>3871</v>
      </c>
      <c r="S3220" s="22" t="s">
        <v>5097</v>
      </c>
      <c r="T3220" s="51">
        <v>30</v>
      </c>
      <c r="U3220" s="3" t="s">
        <v>5951</v>
      </c>
      <c r="V3220" s="41" t="str">
        <f>HYPERLINK("http://ictvonline.org/taxonomy/p/taxonomy-history?taxnode_id=20183313","ICTVonline=20183313")</f>
        <v>ICTVonline=20183313</v>
      </c>
    </row>
    <row r="3221" spans="1:22">
      <c r="A3221" s="3">
        <v>3220</v>
      </c>
      <c r="L3221" s="1" t="s">
        <v>2103</v>
      </c>
      <c r="N3221" s="1" t="s">
        <v>2104</v>
      </c>
      <c r="P3221" s="1" t="s">
        <v>1483</v>
      </c>
      <c r="Q3221" s="3">
        <v>0</v>
      </c>
      <c r="R3221" s="22" t="s">
        <v>3871</v>
      </c>
      <c r="S3221" s="22" t="s">
        <v>5097</v>
      </c>
      <c r="T3221" s="51">
        <v>24</v>
      </c>
      <c r="U3221" s="3" t="s">
        <v>5954</v>
      </c>
      <c r="V3221" s="41" t="str">
        <f>HYPERLINK("http://ictvonline.org/taxonomy/p/taxonomy-history?taxnode_id=20183314","ICTVonline=20183314")</f>
        <v>ICTVonline=20183314</v>
      </c>
    </row>
    <row r="3222" spans="1:22">
      <c r="A3222" s="3">
        <v>3221</v>
      </c>
      <c r="L3222" s="1" t="s">
        <v>2103</v>
      </c>
      <c r="N3222" s="1" t="s">
        <v>2104</v>
      </c>
      <c r="P3222" s="1" t="s">
        <v>1484</v>
      </c>
      <c r="Q3222" s="3">
        <v>0</v>
      </c>
      <c r="R3222" s="22" t="s">
        <v>3871</v>
      </c>
      <c r="S3222" s="22" t="s">
        <v>5097</v>
      </c>
      <c r="T3222" s="51">
        <v>22</v>
      </c>
      <c r="U3222" s="3" t="s">
        <v>5953</v>
      </c>
      <c r="V3222" s="41" t="str">
        <f>HYPERLINK("http://ictvonline.org/taxonomy/p/taxonomy-history?taxnode_id=20183315","ICTVonline=20183315")</f>
        <v>ICTVonline=20183315</v>
      </c>
    </row>
    <row r="3223" spans="1:22">
      <c r="A3223" s="3">
        <v>3222</v>
      </c>
      <c r="L3223" s="1" t="s">
        <v>2103</v>
      </c>
      <c r="N3223" s="1" t="s">
        <v>2104</v>
      </c>
      <c r="P3223" s="1" t="s">
        <v>1485</v>
      </c>
      <c r="Q3223" s="3">
        <v>0</v>
      </c>
      <c r="R3223" s="22" t="s">
        <v>3871</v>
      </c>
      <c r="S3223" s="22" t="s">
        <v>5108</v>
      </c>
      <c r="T3223" s="51">
        <v>24</v>
      </c>
      <c r="U3223" s="3" t="s">
        <v>5956</v>
      </c>
      <c r="V3223" s="41" t="str">
        <f>HYPERLINK("http://ictvonline.org/taxonomy/p/taxonomy-history?taxnode_id=20183316","ICTVonline=20183316")</f>
        <v>ICTVonline=20183316</v>
      </c>
    </row>
    <row r="3224" spans="1:22">
      <c r="A3224" s="3">
        <v>3223</v>
      </c>
      <c r="L3224" s="1" t="s">
        <v>2103</v>
      </c>
      <c r="N3224" s="1" t="s">
        <v>2104</v>
      </c>
      <c r="P3224" s="1" t="s">
        <v>3912</v>
      </c>
      <c r="Q3224" s="3">
        <v>0</v>
      </c>
      <c r="R3224" s="22" t="s">
        <v>3871</v>
      </c>
      <c r="S3224" s="22" t="s">
        <v>5097</v>
      </c>
      <c r="T3224" s="51">
        <v>30</v>
      </c>
      <c r="U3224" s="3" t="s">
        <v>5951</v>
      </c>
      <c r="V3224" s="41" t="str">
        <f>HYPERLINK("http://ictvonline.org/taxonomy/p/taxonomy-history?taxnode_id=20183317","ICTVonline=20183317")</f>
        <v>ICTVonline=20183317</v>
      </c>
    </row>
    <row r="3225" spans="1:22">
      <c r="A3225" s="3">
        <v>3224</v>
      </c>
      <c r="L3225" s="1" t="s">
        <v>2103</v>
      </c>
      <c r="N3225" s="1" t="s">
        <v>2104</v>
      </c>
      <c r="P3225" s="1" t="s">
        <v>3913</v>
      </c>
      <c r="Q3225" s="3">
        <v>0</v>
      </c>
      <c r="R3225" s="22" t="s">
        <v>3871</v>
      </c>
      <c r="S3225" s="22" t="s">
        <v>5097</v>
      </c>
      <c r="T3225" s="51">
        <v>30</v>
      </c>
      <c r="U3225" s="3" t="s">
        <v>5951</v>
      </c>
      <c r="V3225" s="41" t="str">
        <f>HYPERLINK("http://ictvonline.org/taxonomy/p/taxonomy-history?taxnode_id=20183318","ICTVonline=20183318")</f>
        <v>ICTVonline=20183318</v>
      </c>
    </row>
    <row r="3226" spans="1:22">
      <c r="A3226" s="3">
        <v>3225</v>
      </c>
      <c r="L3226" s="1" t="s">
        <v>2103</v>
      </c>
      <c r="N3226" s="1" t="s">
        <v>2104</v>
      </c>
      <c r="P3226" s="1" t="s">
        <v>3914</v>
      </c>
      <c r="Q3226" s="3">
        <v>0</v>
      </c>
      <c r="R3226" s="22" t="s">
        <v>3871</v>
      </c>
      <c r="S3226" s="22" t="s">
        <v>5097</v>
      </c>
      <c r="T3226" s="51">
        <v>30</v>
      </c>
      <c r="U3226" s="3" t="s">
        <v>5951</v>
      </c>
      <c r="V3226" s="41" t="str">
        <f>HYPERLINK("http://ictvonline.org/taxonomy/p/taxonomy-history?taxnode_id=20183319","ICTVonline=20183319")</f>
        <v>ICTVonline=20183319</v>
      </c>
    </row>
    <row r="3227" spans="1:22">
      <c r="A3227" s="3">
        <v>3226</v>
      </c>
      <c r="L3227" s="1" t="s">
        <v>2103</v>
      </c>
      <c r="N3227" s="1" t="s">
        <v>2104</v>
      </c>
      <c r="P3227" s="1" t="s">
        <v>1486</v>
      </c>
      <c r="Q3227" s="3">
        <v>0</v>
      </c>
      <c r="R3227" s="22" t="s">
        <v>3871</v>
      </c>
      <c r="S3227" s="22" t="s">
        <v>5097</v>
      </c>
      <c r="T3227" s="51">
        <v>24</v>
      </c>
      <c r="U3227" s="3" t="s">
        <v>5955</v>
      </c>
      <c r="V3227" s="41" t="str">
        <f>HYPERLINK("http://ictvonline.org/taxonomy/p/taxonomy-history?taxnode_id=20183320","ICTVonline=20183320")</f>
        <v>ICTVonline=20183320</v>
      </c>
    </row>
    <row r="3228" spans="1:22">
      <c r="A3228" s="3">
        <v>3227</v>
      </c>
      <c r="L3228" s="1" t="s">
        <v>2103</v>
      </c>
      <c r="N3228" s="1" t="s">
        <v>2104</v>
      </c>
      <c r="P3228" s="1" t="s">
        <v>1487</v>
      </c>
      <c r="Q3228" s="3">
        <v>0</v>
      </c>
      <c r="R3228" s="22" t="s">
        <v>3871</v>
      </c>
      <c r="S3228" s="22" t="s">
        <v>5097</v>
      </c>
      <c r="T3228" s="51">
        <v>24</v>
      </c>
      <c r="U3228" s="3" t="s">
        <v>5955</v>
      </c>
      <c r="V3228" s="41" t="str">
        <f>HYPERLINK("http://ictvonline.org/taxonomy/p/taxonomy-history?taxnode_id=20183321","ICTVonline=20183321")</f>
        <v>ICTVonline=20183321</v>
      </c>
    </row>
    <row r="3229" spans="1:22">
      <c r="A3229" s="3">
        <v>3228</v>
      </c>
      <c r="L3229" s="1" t="s">
        <v>2103</v>
      </c>
      <c r="N3229" s="1" t="s">
        <v>2104</v>
      </c>
      <c r="P3229" s="1" t="s">
        <v>5999</v>
      </c>
      <c r="Q3229" s="3">
        <v>0</v>
      </c>
      <c r="R3229" s="22" t="s">
        <v>3871</v>
      </c>
      <c r="S3229" s="22" t="s">
        <v>5097</v>
      </c>
      <c r="T3229" s="51">
        <v>32</v>
      </c>
      <c r="U3229" s="3" t="s">
        <v>5958</v>
      </c>
      <c r="V3229" s="41" t="str">
        <f>HYPERLINK("http://ictvonline.org/taxonomy/p/taxonomy-history?taxnode_id=20185822","ICTVonline=20185822")</f>
        <v>ICTVonline=20185822</v>
      </c>
    </row>
    <row r="3230" spans="1:22">
      <c r="A3230" s="3">
        <v>3229</v>
      </c>
      <c r="L3230" s="1" t="s">
        <v>2103</v>
      </c>
      <c r="N3230" s="1" t="s">
        <v>2104</v>
      </c>
      <c r="P3230" s="1" t="s">
        <v>2429</v>
      </c>
      <c r="Q3230" s="3">
        <v>0</v>
      </c>
      <c r="R3230" s="22" t="s">
        <v>3871</v>
      </c>
      <c r="S3230" s="22" t="s">
        <v>5097</v>
      </c>
      <c r="T3230" s="51">
        <v>28</v>
      </c>
      <c r="U3230" s="3" t="s">
        <v>5952</v>
      </c>
      <c r="V3230" s="41" t="str">
        <f>HYPERLINK("http://ictvonline.org/taxonomy/p/taxonomy-history?taxnode_id=20183322","ICTVonline=20183322")</f>
        <v>ICTVonline=20183322</v>
      </c>
    </row>
    <row r="3231" spans="1:22">
      <c r="A3231" s="3">
        <v>3230</v>
      </c>
      <c r="L3231" s="1" t="s">
        <v>2103</v>
      </c>
      <c r="N3231" s="1" t="s">
        <v>2104</v>
      </c>
      <c r="P3231" s="1" t="s">
        <v>1848</v>
      </c>
      <c r="Q3231" s="3">
        <v>0</v>
      </c>
      <c r="R3231" s="22" t="s">
        <v>3871</v>
      </c>
      <c r="S3231" s="22" t="s">
        <v>5097</v>
      </c>
      <c r="T3231" s="51">
        <v>24</v>
      </c>
      <c r="U3231" s="3" t="s">
        <v>5959</v>
      </c>
      <c r="V3231" s="41" t="str">
        <f>HYPERLINK("http://ictvonline.org/taxonomy/p/taxonomy-history?taxnode_id=20183323","ICTVonline=20183323")</f>
        <v>ICTVonline=20183323</v>
      </c>
    </row>
    <row r="3232" spans="1:22">
      <c r="A3232" s="3">
        <v>3231</v>
      </c>
      <c r="L3232" s="1" t="s">
        <v>2103</v>
      </c>
      <c r="N3232" s="1" t="s">
        <v>2104</v>
      </c>
      <c r="P3232" s="1" t="s">
        <v>1849</v>
      </c>
      <c r="Q3232" s="3">
        <v>0</v>
      </c>
      <c r="R3232" s="22" t="s">
        <v>3871</v>
      </c>
      <c r="S3232" s="22" t="s">
        <v>5097</v>
      </c>
      <c r="T3232" s="51">
        <v>22</v>
      </c>
      <c r="U3232" s="3" t="s">
        <v>5953</v>
      </c>
      <c r="V3232" s="41" t="str">
        <f>HYPERLINK("http://ictvonline.org/taxonomy/p/taxonomy-history?taxnode_id=20183324","ICTVonline=20183324")</f>
        <v>ICTVonline=20183324</v>
      </c>
    </row>
    <row r="3233" spans="1:22">
      <c r="A3233" s="3">
        <v>3232</v>
      </c>
      <c r="L3233" s="1" t="s">
        <v>2103</v>
      </c>
      <c r="N3233" s="1" t="s">
        <v>2104</v>
      </c>
      <c r="P3233" s="1" t="s">
        <v>2430</v>
      </c>
      <c r="Q3233" s="3">
        <v>0</v>
      </c>
      <c r="R3233" s="22" t="s">
        <v>3871</v>
      </c>
      <c r="S3233" s="22" t="s">
        <v>5097</v>
      </c>
      <c r="T3233" s="51">
        <v>28</v>
      </c>
      <c r="U3233" s="3" t="s">
        <v>5952</v>
      </c>
      <c r="V3233" s="41" t="str">
        <f>HYPERLINK("http://ictvonline.org/taxonomy/p/taxonomy-history?taxnode_id=20183325","ICTVonline=20183325")</f>
        <v>ICTVonline=20183325</v>
      </c>
    </row>
    <row r="3234" spans="1:22">
      <c r="A3234" s="3">
        <v>3233</v>
      </c>
      <c r="L3234" s="1" t="s">
        <v>2103</v>
      </c>
      <c r="N3234" s="1" t="s">
        <v>2104</v>
      </c>
      <c r="P3234" s="1" t="s">
        <v>2431</v>
      </c>
      <c r="Q3234" s="3">
        <v>0</v>
      </c>
      <c r="R3234" s="22" t="s">
        <v>3871</v>
      </c>
      <c r="S3234" s="22" t="s">
        <v>5097</v>
      </c>
      <c r="T3234" s="51">
        <v>28</v>
      </c>
      <c r="U3234" s="3" t="s">
        <v>5952</v>
      </c>
      <c r="V3234" s="41" t="str">
        <f>HYPERLINK("http://ictvonline.org/taxonomy/p/taxonomy-history?taxnode_id=20183326","ICTVonline=20183326")</f>
        <v>ICTVonline=20183326</v>
      </c>
    </row>
    <row r="3235" spans="1:22">
      <c r="A3235" s="3">
        <v>3234</v>
      </c>
      <c r="L3235" s="1" t="s">
        <v>2103</v>
      </c>
      <c r="N3235" s="1" t="s">
        <v>2104</v>
      </c>
      <c r="P3235" s="1" t="s">
        <v>2432</v>
      </c>
      <c r="Q3235" s="3">
        <v>0</v>
      </c>
      <c r="R3235" s="22" t="s">
        <v>3871</v>
      </c>
      <c r="S3235" s="22" t="s">
        <v>5097</v>
      </c>
      <c r="T3235" s="51">
        <v>28</v>
      </c>
      <c r="U3235" s="3" t="s">
        <v>5952</v>
      </c>
      <c r="V3235" s="41" t="str">
        <f>HYPERLINK("http://ictvonline.org/taxonomy/p/taxonomy-history?taxnode_id=20183327","ICTVonline=20183327")</f>
        <v>ICTVonline=20183327</v>
      </c>
    </row>
    <row r="3236" spans="1:22">
      <c r="A3236" s="3">
        <v>3235</v>
      </c>
      <c r="L3236" s="1" t="s">
        <v>2103</v>
      </c>
      <c r="N3236" s="1" t="s">
        <v>2104</v>
      </c>
      <c r="P3236" s="1" t="s">
        <v>3915</v>
      </c>
      <c r="Q3236" s="3">
        <v>0</v>
      </c>
      <c r="R3236" s="22" t="s">
        <v>3871</v>
      </c>
      <c r="S3236" s="22" t="s">
        <v>5097</v>
      </c>
      <c r="T3236" s="51">
        <v>30</v>
      </c>
      <c r="U3236" s="3" t="s">
        <v>5951</v>
      </c>
      <c r="V3236" s="41" t="str">
        <f>HYPERLINK("http://ictvonline.org/taxonomy/p/taxonomy-history?taxnode_id=20183328","ICTVonline=20183328")</f>
        <v>ICTVonline=20183328</v>
      </c>
    </row>
    <row r="3237" spans="1:22">
      <c r="A3237" s="3">
        <v>3236</v>
      </c>
      <c r="L3237" s="1" t="s">
        <v>2103</v>
      </c>
      <c r="N3237" s="1" t="s">
        <v>2104</v>
      </c>
      <c r="P3237" s="1" t="s">
        <v>2433</v>
      </c>
      <c r="Q3237" s="3">
        <v>0</v>
      </c>
      <c r="R3237" s="22" t="s">
        <v>3871</v>
      </c>
      <c r="S3237" s="22" t="s">
        <v>5097</v>
      </c>
      <c r="T3237" s="51">
        <v>28</v>
      </c>
      <c r="U3237" s="3" t="s">
        <v>5952</v>
      </c>
      <c r="V3237" s="41" t="str">
        <f>HYPERLINK("http://ictvonline.org/taxonomy/p/taxonomy-history?taxnode_id=20183329","ICTVonline=20183329")</f>
        <v>ICTVonline=20183329</v>
      </c>
    </row>
    <row r="3238" spans="1:22">
      <c r="A3238" s="3">
        <v>3237</v>
      </c>
      <c r="L3238" s="1" t="s">
        <v>2103</v>
      </c>
      <c r="N3238" s="1" t="s">
        <v>2104</v>
      </c>
      <c r="P3238" s="1" t="s">
        <v>2434</v>
      </c>
      <c r="Q3238" s="3">
        <v>0</v>
      </c>
      <c r="R3238" s="22" t="s">
        <v>3871</v>
      </c>
      <c r="S3238" s="22" t="s">
        <v>5097</v>
      </c>
      <c r="T3238" s="51">
        <v>28</v>
      </c>
      <c r="U3238" s="3" t="s">
        <v>5952</v>
      </c>
      <c r="V3238" s="41" t="str">
        <f>HYPERLINK("http://ictvonline.org/taxonomy/p/taxonomy-history?taxnode_id=20183330","ICTVonline=20183330")</f>
        <v>ICTVonline=20183330</v>
      </c>
    </row>
    <row r="3239" spans="1:22">
      <c r="A3239" s="3">
        <v>3238</v>
      </c>
      <c r="L3239" s="1" t="s">
        <v>2103</v>
      </c>
      <c r="N3239" s="1" t="s">
        <v>2104</v>
      </c>
      <c r="P3239" s="1" t="s">
        <v>3916</v>
      </c>
      <c r="Q3239" s="3">
        <v>0</v>
      </c>
      <c r="R3239" s="22" t="s">
        <v>3871</v>
      </c>
      <c r="S3239" s="22" t="s">
        <v>5097</v>
      </c>
      <c r="T3239" s="51">
        <v>30</v>
      </c>
      <c r="U3239" s="3" t="s">
        <v>5951</v>
      </c>
      <c r="V3239" s="41" t="str">
        <f>HYPERLINK("http://ictvonline.org/taxonomy/p/taxonomy-history?taxnode_id=20183331","ICTVonline=20183331")</f>
        <v>ICTVonline=20183331</v>
      </c>
    </row>
    <row r="3240" spans="1:22">
      <c r="A3240" s="3">
        <v>3239</v>
      </c>
      <c r="L3240" s="1" t="s">
        <v>2103</v>
      </c>
      <c r="N3240" s="1" t="s">
        <v>2104</v>
      </c>
      <c r="P3240" s="1" t="s">
        <v>818</v>
      </c>
      <c r="Q3240" s="3">
        <v>0</v>
      </c>
      <c r="R3240" s="22" t="s">
        <v>3871</v>
      </c>
      <c r="S3240" s="22" t="s">
        <v>5097</v>
      </c>
      <c r="T3240" s="51">
        <v>24</v>
      </c>
      <c r="U3240" s="3" t="s">
        <v>5954</v>
      </c>
      <c r="V3240" s="41" t="str">
        <f>HYPERLINK("http://ictvonline.org/taxonomy/p/taxonomy-history?taxnode_id=20183332","ICTVonline=20183332")</f>
        <v>ICTVonline=20183332</v>
      </c>
    </row>
    <row r="3241" spans="1:22">
      <c r="A3241" s="3">
        <v>3240</v>
      </c>
      <c r="L3241" s="1" t="s">
        <v>2103</v>
      </c>
      <c r="N3241" s="1" t="s">
        <v>2104</v>
      </c>
      <c r="P3241" s="1" t="s">
        <v>6000</v>
      </c>
      <c r="Q3241" s="3">
        <v>0</v>
      </c>
      <c r="R3241" s="22" t="s">
        <v>3871</v>
      </c>
      <c r="S3241" s="22" t="s">
        <v>5097</v>
      </c>
      <c r="T3241" s="51">
        <v>32</v>
      </c>
      <c r="U3241" s="3" t="s">
        <v>5958</v>
      </c>
      <c r="V3241" s="41" t="str">
        <f>HYPERLINK("http://ictvonline.org/taxonomy/p/taxonomy-history?taxnode_id=20185823","ICTVonline=20185823")</f>
        <v>ICTVonline=20185823</v>
      </c>
    </row>
    <row r="3242" spans="1:22">
      <c r="A3242" s="3">
        <v>3241</v>
      </c>
      <c r="L3242" s="1" t="s">
        <v>2103</v>
      </c>
      <c r="N3242" s="1" t="s">
        <v>2104</v>
      </c>
      <c r="P3242" s="1" t="s">
        <v>6001</v>
      </c>
      <c r="Q3242" s="3">
        <v>0</v>
      </c>
      <c r="R3242" s="22" t="s">
        <v>3871</v>
      </c>
      <c r="S3242" s="22" t="s">
        <v>5097</v>
      </c>
      <c r="T3242" s="51">
        <v>32</v>
      </c>
      <c r="U3242" s="3" t="s">
        <v>5958</v>
      </c>
      <c r="V3242" s="41" t="str">
        <f>HYPERLINK("http://ictvonline.org/taxonomy/p/taxonomy-history?taxnode_id=20185824","ICTVonline=20185824")</f>
        <v>ICTVonline=20185824</v>
      </c>
    </row>
    <row r="3243" spans="1:22">
      <c r="A3243" s="3">
        <v>3242</v>
      </c>
      <c r="L3243" s="1" t="s">
        <v>2103</v>
      </c>
      <c r="N3243" s="1" t="s">
        <v>2104</v>
      </c>
      <c r="P3243" s="1" t="s">
        <v>6002</v>
      </c>
      <c r="Q3243" s="3">
        <v>0</v>
      </c>
      <c r="R3243" s="22" t="s">
        <v>3871</v>
      </c>
      <c r="S3243" s="22" t="s">
        <v>5097</v>
      </c>
      <c r="T3243" s="51">
        <v>32</v>
      </c>
      <c r="U3243" s="3" t="s">
        <v>5958</v>
      </c>
      <c r="V3243" s="41" t="str">
        <f>HYPERLINK("http://ictvonline.org/taxonomy/p/taxonomy-history?taxnode_id=20185825","ICTVonline=20185825")</f>
        <v>ICTVonline=20185825</v>
      </c>
    </row>
    <row r="3244" spans="1:22">
      <c r="A3244" s="3">
        <v>3243</v>
      </c>
      <c r="L3244" s="1" t="s">
        <v>2103</v>
      </c>
      <c r="N3244" s="1" t="s">
        <v>2104</v>
      </c>
      <c r="P3244" s="1" t="s">
        <v>6003</v>
      </c>
      <c r="Q3244" s="3">
        <v>0</v>
      </c>
      <c r="R3244" s="22" t="s">
        <v>3871</v>
      </c>
      <c r="S3244" s="22" t="s">
        <v>5097</v>
      </c>
      <c r="T3244" s="51">
        <v>32</v>
      </c>
      <c r="U3244" s="3" t="s">
        <v>5958</v>
      </c>
      <c r="V3244" s="41" t="str">
        <f>HYPERLINK("http://ictvonline.org/taxonomy/p/taxonomy-history?taxnode_id=20185826","ICTVonline=20185826")</f>
        <v>ICTVonline=20185826</v>
      </c>
    </row>
    <row r="3245" spans="1:22">
      <c r="A3245" s="3">
        <v>3244</v>
      </c>
      <c r="L3245" s="1" t="s">
        <v>2103</v>
      </c>
      <c r="N3245" s="1" t="s">
        <v>2104</v>
      </c>
      <c r="P3245" s="1" t="s">
        <v>6004</v>
      </c>
      <c r="Q3245" s="3">
        <v>0</v>
      </c>
      <c r="R3245" s="22" t="s">
        <v>3871</v>
      </c>
      <c r="S3245" s="22" t="s">
        <v>5097</v>
      </c>
      <c r="T3245" s="51">
        <v>32</v>
      </c>
      <c r="U3245" s="3" t="s">
        <v>5958</v>
      </c>
      <c r="V3245" s="41" t="str">
        <f>HYPERLINK("http://ictvonline.org/taxonomy/p/taxonomy-history?taxnode_id=20185827","ICTVonline=20185827")</f>
        <v>ICTVonline=20185827</v>
      </c>
    </row>
    <row r="3246" spans="1:22">
      <c r="A3246" s="3">
        <v>3245</v>
      </c>
      <c r="L3246" s="1" t="s">
        <v>2103</v>
      </c>
      <c r="N3246" s="1" t="s">
        <v>2104</v>
      </c>
      <c r="P3246" s="1" t="s">
        <v>3917</v>
      </c>
      <c r="Q3246" s="3">
        <v>0</v>
      </c>
      <c r="R3246" s="22" t="s">
        <v>3871</v>
      </c>
      <c r="S3246" s="22" t="s">
        <v>5097</v>
      </c>
      <c r="T3246" s="51">
        <v>30</v>
      </c>
      <c r="U3246" s="3" t="s">
        <v>5951</v>
      </c>
      <c r="V3246" s="41" t="str">
        <f>HYPERLINK("http://ictvonline.org/taxonomy/p/taxonomy-history?taxnode_id=20183333","ICTVonline=20183333")</f>
        <v>ICTVonline=20183333</v>
      </c>
    </row>
    <row r="3247" spans="1:22">
      <c r="A3247" s="3">
        <v>3246</v>
      </c>
      <c r="L3247" s="1" t="s">
        <v>2103</v>
      </c>
      <c r="N3247" s="1" t="s">
        <v>2104</v>
      </c>
      <c r="P3247" s="1" t="s">
        <v>3918</v>
      </c>
      <c r="Q3247" s="3">
        <v>0</v>
      </c>
      <c r="R3247" s="22" t="s">
        <v>3871</v>
      </c>
      <c r="S3247" s="22" t="s">
        <v>5097</v>
      </c>
      <c r="T3247" s="51">
        <v>30</v>
      </c>
      <c r="U3247" s="3" t="s">
        <v>5951</v>
      </c>
      <c r="V3247" s="41" t="str">
        <f>HYPERLINK("http://ictvonline.org/taxonomy/p/taxonomy-history?taxnode_id=20183334","ICTVonline=20183334")</f>
        <v>ICTVonline=20183334</v>
      </c>
    </row>
    <row r="3248" spans="1:22">
      <c r="A3248" s="3">
        <v>3247</v>
      </c>
      <c r="L3248" s="1" t="s">
        <v>2103</v>
      </c>
      <c r="N3248" s="1" t="s">
        <v>2104</v>
      </c>
      <c r="P3248" s="1" t="s">
        <v>2435</v>
      </c>
      <c r="Q3248" s="3">
        <v>0</v>
      </c>
      <c r="R3248" s="22" t="s">
        <v>3871</v>
      </c>
      <c r="S3248" s="22" t="s">
        <v>5097</v>
      </c>
      <c r="T3248" s="51">
        <v>28</v>
      </c>
      <c r="U3248" s="3" t="s">
        <v>5952</v>
      </c>
      <c r="V3248" s="41" t="str">
        <f>HYPERLINK("http://ictvonline.org/taxonomy/p/taxonomy-history?taxnode_id=20183335","ICTVonline=20183335")</f>
        <v>ICTVonline=20183335</v>
      </c>
    </row>
    <row r="3249" spans="1:22">
      <c r="A3249" s="3">
        <v>3248</v>
      </c>
      <c r="L3249" s="1" t="s">
        <v>2103</v>
      </c>
      <c r="N3249" s="1" t="s">
        <v>2104</v>
      </c>
      <c r="P3249" s="1" t="s">
        <v>3919</v>
      </c>
      <c r="Q3249" s="3">
        <v>0</v>
      </c>
      <c r="R3249" s="22" t="s">
        <v>3871</v>
      </c>
      <c r="S3249" s="22" t="s">
        <v>5097</v>
      </c>
      <c r="T3249" s="51">
        <v>30</v>
      </c>
      <c r="U3249" s="3" t="s">
        <v>5951</v>
      </c>
      <c r="V3249" s="41" t="str">
        <f>HYPERLINK("http://ictvonline.org/taxonomy/p/taxonomy-history?taxnode_id=20183336","ICTVonline=20183336")</f>
        <v>ICTVonline=20183336</v>
      </c>
    </row>
    <row r="3250" spans="1:22">
      <c r="A3250" s="3">
        <v>3249</v>
      </c>
      <c r="L3250" s="1" t="s">
        <v>2103</v>
      </c>
      <c r="N3250" s="1" t="s">
        <v>2104</v>
      </c>
      <c r="P3250" s="1" t="s">
        <v>2436</v>
      </c>
      <c r="Q3250" s="3">
        <v>0</v>
      </c>
      <c r="R3250" s="22" t="s">
        <v>3871</v>
      </c>
      <c r="S3250" s="22" t="s">
        <v>5097</v>
      </c>
      <c r="T3250" s="51">
        <v>28</v>
      </c>
      <c r="U3250" s="3" t="s">
        <v>5952</v>
      </c>
      <c r="V3250" s="41" t="str">
        <f>HYPERLINK("http://ictvonline.org/taxonomy/p/taxonomy-history?taxnode_id=20183337","ICTVonline=20183337")</f>
        <v>ICTVonline=20183337</v>
      </c>
    </row>
    <row r="3251" spans="1:22">
      <c r="A3251" s="3">
        <v>3250</v>
      </c>
      <c r="L3251" s="1" t="s">
        <v>2103</v>
      </c>
      <c r="N3251" s="1" t="s">
        <v>2104</v>
      </c>
      <c r="P3251" s="1" t="s">
        <v>819</v>
      </c>
      <c r="Q3251" s="3">
        <v>0</v>
      </c>
      <c r="R3251" s="22" t="s">
        <v>3871</v>
      </c>
      <c r="S3251" s="22" t="s">
        <v>5097</v>
      </c>
      <c r="T3251" s="51">
        <v>22</v>
      </c>
      <c r="U3251" s="3" t="s">
        <v>5953</v>
      </c>
      <c r="V3251" s="41" t="str">
        <f>HYPERLINK("http://ictvonline.org/taxonomy/p/taxonomy-history?taxnode_id=20183338","ICTVonline=20183338")</f>
        <v>ICTVonline=20183338</v>
      </c>
    </row>
    <row r="3252" spans="1:22">
      <c r="A3252" s="3">
        <v>3251</v>
      </c>
      <c r="L3252" s="1" t="s">
        <v>2103</v>
      </c>
      <c r="N3252" s="1" t="s">
        <v>2104</v>
      </c>
      <c r="P3252" s="1" t="s">
        <v>820</v>
      </c>
      <c r="Q3252" s="3">
        <v>0</v>
      </c>
      <c r="R3252" s="22" t="s">
        <v>3871</v>
      </c>
      <c r="S3252" s="22" t="s">
        <v>5097</v>
      </c>
      <c r="T3252" s="51">
        <v>22</v>
      </c>
      <c r="U3252" s="3" t="s">
        <v>5953</v>
      </c>
      <c r="V3252" s="41" t="str">
        <f>HYPERLINK("http://ictvonline.org/taxonomy/p/taxonomy-history?taxnode_id=20183339","ICTVonline=20183339")</f>
        <v>ICTVonline=20183339</v>
      </c>
    </row>
    <row r="3253" spans="1:22">
      <c r="A3253" s="3">
        <v>3252</v>
      </c>
      <c r="L3253" s="1" t="s">
        <v>2103</v>
      </c>
      <c r="N3253" s="1" t="s">
        <v>2104</v>
      </c>
      <c r="P3253" s="1" t="s">
        <v>3920</v>
      </c>
      <c r="Q3253" s="3">
        <v>0</v>
      </c>
      <c r="R3253" s="22" t="s">
        <v>3871</v>
      </c>
      <c r="S3253" s="22" t="s">
        <v>5097</v>
      </c>
      <c r="T3253" s="51">
        <v>30</v>
      </c>
      <c r="U3253" s="3" t="s">
        <v>5951</v>
      </c>
      <c r="V3253" s="41" t="str">
        <f>HYPERLINK("http://ictvonline.org/taxonomy/p/taxonomy-history?taxnode_id=20183340","ICTVonline=20183340")</f>
        <v>ICTVonline=20183340</v>
      </c>
    </row>
    <row r="3254" spans="1:22">
      <c r="A3254" s="3">
        <v>3253</v>
      </c>
      <c r="L3254" s="1" t="s">
        <v>2103</v>
      </c>
      <c r="N3254" s="1" t="s">
        <v>2104</v>
      </c>
      <c r="P3254" s="1" t="s">
        <v>821</v>
      </c>
      <c r="Q3254" s="3">
        <v>0</v>
      </c>
      <c r="R3254" s="22" t="s">
        <v>3871</v>
      </c>
      <c r="S3254" s="22" t="s">
        <v>5099</v>
      </c>
      <c r="T3254" s="51">
        <v>16</v>
      </c>
      <c r="U3254" s="3" t="s">
        <v>5884</v>
      </c>
      <c r="V3254" s="41" t="str">
        <f>HYPERLINK("http://ictvonline.org/taxonomy/p/taxonomy-history?taxnode_id=20183341","ICTVonline=20183341")</f>
        <v>ICTVonline=20183341</v>
      </c>
    </row>
    <row r="3255" spans="1:22">
      <c r="A3255" s="3">
        <v>3254</v>
      </c>
      <c r="L3255" s="1" t="s">
        <v>2103</v>
      </c>
      <c r="N3255" s="1" t="s">
        <v>2104</v>
      </c>
      <c r="P3255" s="1" t="s">
        <v>2437</v>
      </c>
      <c r="Q3255" s="3">
        <v>0</v>
      </c>
      <c r="R3255" s="22" t="s">
        <v>3871</v>
      </c>
      <c r="S3255" s="22" t="s">
        <v>5097</v>
      </c>
      <c r="T3255" s="51">
        <v>28</v>
      </c>
      <c r="U3255" s="3" t="s">
        <v>5952</v>
      </c>
      <c r="V3255" s="41" t="str">
        <f>HYPERLINK("http://ictvonline.org/taxonomy/p/taxonomy-history?taxnode_id=20183342","ICTVonline=20183342")</f>
        <v>ICTVonline=20183342</v>
      </c>
    </row>
    <row r="3256" spans="1:22">
      <c r="A3256" s="3">
        <v>3255</v>
      </c>
      <c r="L3256" s="1" t="s">
        <v>2103</v>
      </c>
      <c r="N3256" s="1" t="s">
        <v>2104</v>
      </c>
      <c r="P3256" s="1" t="s">
        <v>6005</v>
      </c>
      <c r="Q3256" s="3">
        <v>0</v>
      </c>
      <c r="R3256" s="22" t="s">
        <v>3871</v>
      </c>
      <c r="S3256" s="22" t="s">
        <v>5097</v>
      </c>
      <c r="T3256" s="51">
        <v>32</v>
      </c>
      <c r="U3256" s="3" t="s">
        <v>5958</v>
      </c>
      <c r="V3256" s="41" t="str">
        <f>HYPERLINK("http://ictvonline.org/taxonomy/p/taxonomy-history?taxnode_id=20185828","ICTVonline=20185828")</f>
        <v>ICTVonline=20185828</v>
      </c>
    </row>
    <row r="3257" spans="1:22">
      <c r="A3257" s="3">
        <v>3256</v>
      </c>
      <c r="L3257" s="1" t="s">
        <v>2103</v>
      </c>
      <c r="N3257" s="1" t="s">
        <v>2104</v>
      </c>
      <c r="P3257" s="1" t="s">
        <v>822</v>
      </c>
      <c r="Q3257" s="3">
        <v>0</v>
      </c>
      <c r="R3257" s="22" t="s">
        <v>3871</v>
      </c>
      <c r="S3257" s="22" t="s">
        <v>5097</v>
      </c>
      <c r="T3257" s="51">
        <v>22</v>
      </c>
      <c r="U3257" s="3" t="s">
        <v>5953</v>
      </c>
      <c r="V3257" s="41" t="str">
        <f>HYPERLINK("http://ictvonline.org/taxonomy/p/taxonomy-history?taxnode_id=20183343","ICTVonline=20183343")</f>
        <v>ICTVonline=20183343</v>
      </c>
    </row>
    <row r="3258" spans="1:22">
      <c r="A3258" s="3">
        <v>3257</v>
      </c>
      <c r="L3258" s="1" t="s">
        <v>2103</v>
      </c>
      <c r="N3258" s="1" t="s">
        <v>2104</v>
      </c>
      <c r="P3258" s="1" t="s">
        <v>823</v>
      </c>
      <c r="Q3258" s="3">
        <v>0</v>
      </c>
      <c r="R3258" s="22" t="s">
        <v>3871</v>
      </c>
      <c r="S3258" s="22" t="s">
        <v>5097</v>
      </c>
      <c r="T3258" s="51">
        <v>24</v>
      </c>
      <c r="U3258" s="3" t="s">
        <v>5959</v>
      </c>
      <c r="V3258" s="41" t="str">
        <f>HYPERLINK("http://ictvonline.org/taxonomy/p/taxonomy-history?taxnode_id=20183344","ICTVonline=20183344")</f>
        <v>ICTVonline=20183344</v>
      </c>
    </row>
    <row r="3259" spans="1:22">
      <c r="A3259" s="3">
        <v>3258</v>
      </c>
      <c r="L3259" s="1" t="s">
        <v>2103</v>
      </c>
      <c r="N3259" s="1" t="s">
        <v>2104</v>
      </c>
      <c r="P3259" s="1" t="s">
        <v>824</v>
      </c>
      <c r="Q3259" s="3">
        <v>0</v>
      </c>
      <c r="R3259" s="22" t="s">
        <v>3871</v>
      </c>
      <c r="S3259" s="22" t="s">
        <v>5097</v>
      </c>
      <c r="T3259" s="51">
        <v>24</v>
      </c>
      <c r="U3259" s="3" t="s">
        <v>5954</v>
      </c>
      <c r="V3259" s="41" t="str">
        <f>HYPERLINK("http://ictvonline.org/taxonomy/p/taxonomy-history?taxnode_id=20183345","ICTVonline=20183345")</f>
        <v>ICTVonline=20183345</v>
      </c>
    </row>
    <row r="3260" spans="1:22">
      <c r="A3260" s="3">
        <v>3259</v>
      </c>
      <c r="L3260" s="1" t="s">
        <v>2103</v>
      </c>
      <c r="N3260" s="1" t="s">
        <v>2104</v>
      </c>
      <c r="P3260" s="1" t="s">
        <v>2438</v>
      </c>
      <c r="Q3260" s="3">
        <v>0</v>
      </c>
      <c r="R3260" s="22" t="s">
        <v>3871</v>
      </c>
      <c r="S3260" s="22" t="s">
        <v>5097</v>
      </c>
      <c r="T3260" s="51">
        <v>28</v>
      </c>
      <c r="U3260" s="3" t="s">
        <v>5952</v>
      </c>
      <c r="V3260" s="41" t="str">
        <f>HYPERLINK("http://ictvonline.org/taxonomy/p/taxonomy-history?taxnode_id=20183346","ICTVonline=20183346")</f>
        <v>ICTVonline=20183346</v>
      </c>
    </row>
    <row r="3261" spans="1:22">
      <c r="A3261" s="3">
        <v>3260</v>
      </c>
      <c r="L3261" s="1" t="s">
        <v>2103</v>
      </c>
      <c r="N3261" s="1" t="s">
        <v>2104</v>
      </c>
      <c r="P3261" s="1" t="s">
        <v>2439</v>
      </c>
      <c r="Q3261" s="3">
        <v>0</v>
      </c>
      <c r="R3261" s="22" t="s">
        <v>3871</v>
      </c>
      <c r="S3261" s="22" t="s">
        <v>5097</v>
      </c>
      <c r="T3261" s="51">
        <v>28</v>
      </c>
      <c r="U3261" s="3" t="s">
        <v>5952</v>
      </c>
      <c r="V3261" s="41" t="str">
        <f>HYPERLINK("http://ictvonline.org/taxonomy/p/taxonomy-history?taxnode_id=20183347","ICTVonline=20183347")</f>
        <v>ICTVonline=20183347</v>
      </c>
    </row>
    <row r="3262" spans="1:22">
      <c r="A3262" s="3">
        <v>3261</v>
      </c>
      <c r="L3262" s="1" t="s">
        <v>2103</v>
      </c>
      <c r="N3262" s="1" t="s">
        <v>2104</v>
      </c>
      <c r="P3262" s="1" t="s">
        <v>2440</v>
      </c>
      <c r="Q3262" s="3">
        <v>0</v>
      </c>
      <c r="R3262" s="22" t="s">
        <v>3871</v>
      </c>
      <c r="S3262" s="22" t="s">
        <v>5097</v>
      </c>
      <c r="T3262" s="51">
        <v>28</v>
      </c>
      <c r="U3262" s="3" t="s">
        <v>5952</v>
      </c>
      <c r="V3262" s="41" t="str">
        <f>HYPERLINK("http://ictvonline.org/taxonomy/p/taxonomy-history?taxnode_id=20183348","ICTVonline=20183348")</f>
        <v>ICTVonline=20183348</v>
      </c>
    </row>
    <row r="3263" spans="1:22">
      <c r="A3263" s="3">
        <v>3262</v>
      </c>
      <c r="L3263" s="1" t="s">
        <v>2103</v>
      </c>
      <c r="N3263" s="1" t="s">
        <v>2104</v>
      </c>
      <c r="P3263" s="1" t="s">
        <v>2441</v>
      </c>
      <c r="Q3263" s="3">
        <v>0</v>
      </c>
      <c r="R3263" s="22" t="s">
        <v>3871</v>
      </c>
      <c r="S3263" s="22" t="s">
        <v>5097</v>
      </c>
      <c r="T3263" s="51">
        <v>28</v>
      </c>
      <c r="U3263" s="3" t="s">
        <v>5952</v>
      </c>
      <c r="V3263" s="41" t="str">
        <f>HYPERLINK("http://ictvonline.org/taxonomy/p/taxonomy-history?taxnode_id=20183349","ICTVonline=20183349")</f>
        <v>ICTVonline=20183349</v>
      </c>
    </row>
    <row r="3264" spans="1:22">
      <c r="A3264" s="3">
        <v>3263</v>
      </c>
      <c r="L3264" s="1" t="s">
        <v>2103</v>
      </c>
      <c r="N3264" s="1" t="s">
        <v>2104</v>
      </c>
      <c r="P3264" s="1" t="s">
        <v>2442</v>
      </c>
      <c r="Q3264" s="3">
        <v>0</v>
      </c>
      <c r="R3264" s="22" t="s">
        <v>3871</v>
      </c>
      <c r="S3264" s="22" t="s">
        <v>5097</v>
      </c>
      <c r="T3264" s="51">
        <v>28</v>
      </c>
      <c r="U3264" s="3" t="s">
        <v>5952</v>
      </c>
      <c r="V3264" s="41" t="str">
        <f>HYPERLINK("http://ictvonline.org/taxonomy/p/taxonomy-history?taxnode_id=20183350","ICTVonline=20183350")</f>
        <v>ICTVonline=20183350</v>
      </c>
    </row>
    <row r="3265" spans="1:22">
      <c r="A3265" s="3">
        <v>3264</v>
      </c>
      <c r="L3265" s="1" t="s">
        <v>2103</v>
      </c>
      <c r="N3265" s="1" t="s">
        <v>2104</v>
      </c>
      <c r="P3265" s="1" t="s">
        <v>825</v>
      </c>
      <c r="Q3265" s="3">
        <v>0</v>
      </c>
      <c r="R3265" s="22" t="s">
        <v>3871</v>
      </c>
      <c r="S3265" s="22" t="s">
        <v>5097</v>
      </c>
      <c r="T3265" s="51">
        <v>22</v>
      </c>
      <c r="U3265" s="3" t="s">
        <v>5953</v>
      </c>
      <c r="V3265" s="41" t="str">
        <f>HYPERLINK("http://ictvonline.org/taxonomy/p/taxonomy-history?taxnode_id=20183351","ICTVonline=20183351")</f>
        <v>ICTVonline=20183351</v>
      </c>
    </row>
    <row r="3266" spans="1:22">
      <c r="A3266" s="3">
        <v>3265</v>
      </c>
      <c r="L3266" s="1" t="s">
        <v>2103</v>
      </c>
      <c r="N3266" s="1" t="s">
        <v>2104</v>
      </c>
      <c r="P3266" s="1" t="s">
        <v>2443</v>
      </c>
      <c r="Q3266" s="3">
        <v>0</v>
      </c>
      <c r="R3266" s="22" t="s">
        <v>3871</v>
      </c>
      <c r="S3266" s="22" t="s">
        <v>5097</v>
      </c>
      <c r="T3266" s="51">
        <v>28</v>
      </c>
      <c r="U3266" s="3" t="s">
        <v>5952</v>
      </c>
      <c r="V3266" s="41" t="str">
        <f>HYPERLINK("http://ictvonline.org/taxonomy/p/taxonomy-history?taxnode_id=20183352","ICTVonline=20183352")</f>
        <v>ICTVonline=20183352</v>
      </c>
    </row>
    <row r="3267" spans="1:22">
      <c r="A3267" s="3">
        <v>3266</v>
      </c>
      <c r="L3267" s="1" t="s">
        <v>2103</v>
      </c>
      <c r="N3267" s="1" t="s">
        <v>2104</v>
      </c>
      <c r="P3267" s="1" t="s">
        <v>3921</v>
      </c>
      <c r="Q3267" s="3">
        <v>0</v>
      </c>
      <c r="R3267" s="22" t="s">
        <v>3871</v>
      </c>
      <c r="S3267" s="22" t="s">
        <v>5097</v>
      </c>
      <c r="T3267" s="51">
        <v>30</v>
      </c>
      <c r="U3267" s="3" t="s">
        <v>5951</v>
      </c>
      <c r="V3267" s="41" t="str">
        <f>HYPERLINK("http://ictvonline.org/taxonomy/p/taxonomy-history?taxnode_id=20183353","ICTVonline=20183353")</f>
        <v>ICTVonline=20183353</v>
      </c>
    </row>
    <row r="3268" spans="1:22">
      <c r="A3268" s="3">
        <v>3267</v>
      </c>
      <c r="L3268" s="1" t="s">
        <v>2103</v>
      </c>
      <c r="N3268" s="1" t="s">
        <v>2104</v>
      </c>
      <c r="P3268" s="1" t="s">
        <v>2444</v>
      </c>
      <c r="Q3268" s="3">
        <v>0</v>
      </c>
      <c r="R3268" s="22" t="s">
        <v>3871</v>
      </c>
      <c r="S3268" s="22" t="s">
        <v>5097</v>
      </c>
      <c r="T3268" s="51">
        <v>28</v>
      </c>
      <c r="U3268" s="3" t="s">
        <v>5952</v>
      </c>
      <c r="V3268" s="41" t="str">
        <f>HYPERLINK("http://ictvonline.org/taxonomy/p/taxonomy-history?taxnode_id=20183354","ICTVonline=20183354")</f>
        <v>ICTVonline=20183354</v>
      </c>
    </row>
    <row r="3269" spans="1:22">
      <c r="A3269" s="3">
        <v>3268</v>
      </c>
      <c r="L3269" s="1" t="s">
        <v>2103</v>
      </c>
      <c r="N3269" s="1" t="s">
        <v>2104</v>
      </c>
      <c r="P3269" s="1" t="s">
        <v>826</v>
      </c>
      <c r="Q3269" s="3">
        <v>0</v>
      </c>
      <c r="R3269" s="22" t="s">
        <v>3871</v>
      </c>
      <c r="S3269" s="22" t="s">
        <v>5097</v>
      </c>
      <c r="T3269" s="51">
        <v>24</v>
      </c>
      <c r="U3269" s="3" t="s">
        <v>5954</v>
      </c>
      <c r="V3269" s="41" t="str">
        <f>HYPERLINK("http://ictvonline.org/taxonomy/p/taxonomy-history?taxnode_id=20183355","ICTVonline=20183355")</f>
        <v>ICTVonline=20183355</v>
      </c>
    </row>
    <row r="3270" spans="1:22">
      <c r="A3270" s="3">
        <v>3269</v>
      </c>
      <c r="L3270" s="1" t="s">
        <v>2103</v>
      </c>
      <c r="N3270" s="1" t="s">
        <v>2104</v>
      </c>
      <c r="P3270" s="1" t="s">
        <v>827</v>
      </c>
      <c r="Q3270" s="3">
        <v>0</v>
      </c>
      <c r="R3270" s="22" t="s">
        <v>3871</v>
      </c>
      <c r="S3270" s="22" t="s">
        <v>5097</v>
      </c>
      <c r="T3270" s="51">
        <v>22</v>
      </c>
      <c r="U3270" s="3" t="s">
        <v>5953</v>
      </c>
      <c r="V3270" s="41" t="str">
        <f>HYPERLINK("http://ictvonline.org/taxonomy/p/taxonomy-history?taxnode_id=20183356","ICTVonline=20183356")</f>
        <v>ICTVonline=20183356</v>
      </c>
    </row>
    <row r="3271" spans="1:22">
      <c r="A3271" s="3">
        <v>3270</v>
      </c>
      <c r="L3271" s="1" t="s">
        <v>2103</v>
      </c>
      <c r="N3271" s="1" t="s">
        <v>2104</v>
      </c>
      <c r="P3271" s="1" t="s">
        <v>1855</v>
      </c>
      <c r="Q3271" s="3">
        <v>0</v>
      </c>
      <c r="R3271" s="22" t="s">
        <v>3871</v>
      </c>
      <c r="S3271" s="22" t="s">
        <v>5097</v>
      </c>
      <c r="T3271" s="51">
        <v>24</v>
      </c>
      <c r="U3271" s="3" t="s">
        <v>5955</v>
      </c>
      <c r="V3271" s="41" t="str">
        <f>HYPERLINK("http://ictvonline.org/taxonomy/p/taxonomy-history?taxnode_id=20183357","ICTVonline=20183357")</f>
        <v>ICTVonline=20183357</v>
      </c>
    </row>
    <row r="3272" spans="1:22">
      <c r="A3272" s="3">
        <v>3271</v>
      </c>
      <c r="L3272" s="1" t="s">
        <v>2103</v>
      </c>
      <c r="N3272" s="1" t="s">
        <v>2104</v>
      </c>
      <c r="P3272" s="1" t="s">
        <v>2445</v>
      </c>
      <c r="Q3272" s="3">
        <v>0</v>
      </c>
      <c r="R3272" s="22" t="s">
        <v>3871</v>
      </c>
      <c r="S3272" s="22" t="s">
        <v>5097</v>
      </c>
      <c r="T3272" s="51">
        <v>28</v>
      </c>
      <c r="U3272" s="3" t="s">
        <v>5952</v>
      </c>
      <c r="V3272" s="41" t="str">
        <f>HYPERLINK("http://ictvonline.org/taxonomy/p/taxonomy-history?taxnode_id=20183358","ICTVonline=20183358")</f>
        <v>ICTVonline=20183358</v>
      </c>
    </row>
    <row r="3273" spans="1:22">
      <c r="A3273" s="3">
        <v>3272</v>
      </c>
      <c r="L3273" s="1" t="s">
        <v>2103</v>
      </c>
      <c r="N3273" s="1" t="s">
        <v>2104</v>
      </c>
      <c r="P3273" s="1" t="s">
        <v>2446</v>
      </c>
      <c r="Q3273" s="3">
        <v>0</v>
      </c>
      <c r="R3273" s="22" t="s">
        <v>3871</v>
      </c>
      <c r="S3273" s="22" t="s">
        <v>5097</v>
      </c>
      <c r="T3273" s="51">
        <v>28</v>
      </c>
      <c r="U3273" s="3" t="s">
        <v>5952</v>
      </c>
      <c r="V3273" s="41" t="str">
        <f>HYPERLINK("http://ictvonline.org/taxonomy/p/taxonomy-history?taxnode_id=20183359","ICTVonline=20183359")</f>
        <v>ICTVonline=20183359</v>
      </c>
    </row>
    <row r="3274" spans="1:22">
      <c r="A3274" s="3">
        <v>3273</v>
      </c>
      <c r="L3274" s="1" t="s">
        <v>2103</v>
      </c>
      <c r="N3274" s="1" t="s">
        <v>2104</v>
      </c>
      <c r="P3274" s="1" t="s">
        <v>1856</v>
      </c>
      <c r="Q3274" s="3">
        <v>0</v>
      </c>
      <c r="R3274" s="22" t="s">
        <v>3871</v>
      </c>
      <c r="S3274" s="22" t="s">
        <v>5097</v>
      </c>
      <c r="T3274" s="51">
        <v>24</v>
      </c>
      <c r="U3274" s="3" t="s">
        <v>5955</v>
      </c>
      <c r="V3274" s="41" t="str">
        <f>HYPERLINK("http://ictvonline.org/taxonomy/p/taxonomy-history?taxnode_id=20183360","ICTVonline=20183360")</f>
        <v>ICTVonline=20183360</v>
      </c>
    </row>
    <row r="3275" spans="1:22">
      <c r="A3275" s="3">
        <v>3274</v>
      </c>
      <c r="L3275" s="1" t="s">
        <v>2103</v>
      </c>
      <c r="N3275" s="1" t="s">
        <v>2104</v>
      </c>
      <c r="P3275" s="1" t="s">
        <v>1857</v>
      </c>
      <c r="Q3275" s="3">
        <v>0</v>
      </c>
      <c r="R3275" s="22" t="s">
        <v>3871</v>
      </c>
      <c r="S3275" s="22" t="s">
        <v>5097</v>
      </c>
      <c r="T3275" s="51">
        <v>22</v>
      </c>
      <c r="U3275" s="3" t="s">
        <v>5953</v>
      </c>
      <c r="V3275" s="41" t="str">
        <f>HYPERLINK("http://ictvonline.org/taxonomy/p/taxonomy-history?taxnode_id=20183361","ICTVonline=20183361")</f>
        <v>ICTVonline=20183361</v>
      </c>
    </row>
    <row r="3276" spans="1:22">
      <c r="A3276" s="3">
        <v>3275</v>
      </c>
      <c r="L3276" s="1" t="s">
        <v>2103</v>
      </c>
      <c r="N3276" s="1" t="s">
        <v>2104</v>
      </c>
      <c r="P3276" s="1" t="s">
        <v>3922</v>
      </c>
      <c r="Q3276" s="3">
        <v>0</v>
      </c>
      <c r="R3276" s="22" t="s">
        <v>3871</v>
      </c>
      <c r="S3276" s="22" t="s">
        <v>5097</v>
      </c>
      <c r="T3276" s="51">
        <v>30</v>
      </c>
      <c r="U3276" s="3" t="s">
        <v>5951</v>
      </c>
      <c r="V3276" s="41" t="str">
        <f>HYPERLINK("http://ictvonline.org/taxonomy/p/taxonomy-history?taxnode_id=20183362","ICTVonline=20183362")</f>
        <v>ICTVonline=20183362</v>
      </c>
    </row>
    <row r="3277" spans="1:22">
      <c r="A3277" s="3">
        <v>3276</v>
      </c>
      <c r="L3277" s="1" t="s">
        <v>2103</v>
      </c>
      <c r="N3277" s="1" t="s">
        <v>2104</v>
      </c>
      <c r="P3277" s="1" t="s">
        <v>1858</v>
      </c>
      <c r="Q3277" s="3">
        <v>0</v>
      </c>
      <c r="R3277" s="22" t="s">
        <v>3871</v>
      </c>
      <c r="S3277" s="22" t="s">
        <v>5097</v>
      </c>
      <c r="T3277" s="51">
        <v>24</v>
      </c>
      <c r="U3277" s="3" t="s">
        <v>5959</v>
      </c>
      <c r="V3277" s="41" t="str">
        <f>HYPERLINK("http://ictvonline.org/taxonomy/p/taxonomy-history?taxnode_id=20183363","ICTVonline=20183363")</f>
        <v>ICTVonline=20183363</v>
      </c>
    </row>
    <row r="3278" spans="1:22">
      <c r="A3278" s="3">
        <v>3277</v>
      </c>
      <c r="L3278" s="1" t="s">
        <v>2103</v>
      </c>
      <c r="N3278" s="1" t="s">
        <v>2104</v>
      </c>
      <c r="P3278" s="1" t="s">
        <v>1859</v>
      </c>
      <c r="Q3278" s="3">
        <v>0</v>
      </c>
      <c r="R3278" s="22" t="s">
        <v>3871</v>
      </c>
      <c r="S3278" s="22" t="s">
        <v>5097</v>
      </c>
      <c r="T3278" s="51">
        <v>24</v>
      </c>
      <c r="U3278" s="3" t="s">
        <v>5959</v>
      </c>
      <c r="V3278" s="41" t="str">
        <f>HYPERLINK("http://ictvonline.org/taxonomy/p/taxonomy-history?taxnode_id=20183364","ICTVonline=20183364")</f>
        <v>ICTVonline=20183364</v>
      </c>
    </row>
    <row r="3279" spans="1:22">
      <c r="A3279" s="3">
        <v>3278</v>
      </c>
      <c r="L3279" s="1" t="s">
        <v>2103</v>
      </c>
      <c r="N3279" s="1" t="s">
        <v>2104</v>
      </c>
      <c r="P3279" s="1" t="s">
        <v>6006</v>
      </c>
      <c r="Q3279" s="3">
        <v>0</v>
      </c>
      <c r="R3279" s="22" t="s">
        <v>3871</v>
      </c>
      <c r="S3279" s="22" t="s">
        <v>5097</v>
      </c>
      <c r="T3279" s="51">
        <v>32</v>
      </c>
      <c r="U3279" s="3" t="s">
        <v>5958</v>
      </c>
      <c r="V3279" s="41" t="str">
        <f>HYPERLINK("http://ictvonline.org/taxonomy/p/taxonomy-history?taxnode_id=20185829","ICTVonline=20185829")</f>
        <v>ICTVonline=20185829</v>
      </c>
    </row>
    <row r="3280" spans="1:22">
      <c r="A3280" s="3">
        <v>3279</v>
      </c>
      <c r="L3280" s="1" t="s">
        <v>2103</v>
      </c>
      <c r="N3280" s="1" t="s">
        <v>2104</v>
      </c>
      <c r="P3280" s="1" t="s">
        <v>516</v>
      </c>
      <c r="Q3280" s="3">
        <v>0</v>
      </c>
      <c r="R3280" s="22" t="s">
        <v>3871</v>
      </c>
      <c r="S3280" s="22" t="s">
        <v>5097</v>
      </c>
      <c r="T3280" s="51">
        <v>17</v>
      </c>
      <c r="U3280" s="3" t="s">
        <v>5823</v>
      </c>
      <c r="V3280" s="41" t="str">
        <f>HYPERLINK("http://ictvonline.org/taxonomy/p/taxonomy-history?taxnode_id=20183365","ICTVonline=20183365")</f>
        <v>ICTVonline=20183365</v>
      </c>
    </row>
    <row r="3281" spans="1:22">
      <c r="A3281" s="3">
        <v>3280</v>
      </c>
      <c r="L3281" s="1" t="s">
        <v>2103</v>
      </c>
      <c r="N3281" s="1" t="s">
        <v>2104</v>
      </c>
      <c r="P3281" s="1" t="s">
        <v>517</v>
      </c>
      <c r="Q3281" s="3">
        <v>0</v>
      </c>
      <c r="R3281" s="22" t="s">
        <v>3871</v>
      </c>
      <c r="S3281" s="22" t="s">
        <v>5097</v>
      </c>
      <c r="T3281" s="51">
        <v>24</v>
      </c>
      <c r="U3281" s="3" t="s">
        <v>5955</v>
      </c>
      <c r="V3281" s="41" t="str">
        <f>HYPERLINK("http://ictvonline.org/taxonomy/p/taxonomy-history?taxnode_id=20183366","ICTVonline=20183366")</f>
        <v>ICTVonline=20183366</v>
      </c>
    </row>
    <row r="3282" spans="1:22">
      <c r="A3282" s="3">
        <v>3281</v>
      </c>
      <c r="L3282" s="1" t="s">
        <v>2103</v>
      </c>
      <c r="N3282" s="1" t="s">
        <v>2104</v>
      </c>
      <c r="P3282" s="1" t="s">
        <v>3923</v>
      </c>
      <c r="Q3282" s="3">
        <v>0</v>
      </c>
      <c r="R3282" s="22" t="s">
        <v>3871</v>
      </c>
      <c r="S3282" s="22" t="s">
        <v>5097</v>
      </c>
      <c r="T3282" s="51">
        <v>30</v>
      </c>
      <c r="U3282" s="3" t="s">
        <v>5951</v>
      </c>
      <c r="V3282" s="41" t="str">
        <f>HYPERLINK("http://ictvonline.org/taxonomy/p/taxonomy-history?taxnode_id=20183367","ICTVonline=20183367")</f>
        <v>ICTVonline=20183367</v>
      </c>
    </row>
    <row r="3283" spans="1:22">
      <c r="A3283" s="3">
        <v>3282</v>
      </c>
      <c r="L3283" s="1" t="s">
        <v>2103</v>
      </c>
      <c r="N3283" s="1" t="s">
        <v>2104</v>
      </c>
      <c r="P3283" s="1" t="s">
        <v>2447</v>
      </c>
      <c r="Q3283" s="3">
        <v>0</v>
      </c>
      <c r="R3283" s="22" t="s">
        <v>3871</v>
      </c>
      <c r="S3283" s="22" t="s">
        <v>5097</v>
      </c>
      <c r="T3283" s="51">
        <v>28</v>
      </c>
      <c r="U3283" s="3" t="s">
        <v>5952</v>
      </c>
      <c r="V3283" s="41" t="str">
        <f>HYPERLINK("http://ictvonline.org/taxonomy/p/taxonomy-history?taxnode_id=20183368","ICTVonline=20183368")</f>
        <v>ICTVonline=20183368</v>
      </c>
    </row>
    <row r="3284" spans="1:22">
      <c r="A3284" s="3">
        <v>3283</v>
      </c>
      <c r="L3284" s="1" t="s">
        <v>2103</v>
      </c>
      <c r="N3284" s="1" t="s">
        <v>2104</v>
      </c>
      <c r="P3284" s="1" t="s">
        <v>518</v>
      </c>
      <c r="Q3284" s="3">
        <v>0</v>
      </c>
      <c r="R3284" s="22" t="s">
        <v>3871</v>
      </c>
      <c r="S3284" s="22" t="s">
        <v>5097</v>
      </c>
      <c r="T3284" s="51">
        <v>24</v>
      </c>
      <c r="U3284" s="3" t="s">
        <v>5955</v>
      </c>
      <c r="V3284" s="41" t="str">
        <f>HYPERLINK("http://ictvonline.org/taxonomy/p/taxonomy-history?taxnode_id=20183369","ICTVonline=20183369")</f>
        <v>ICTVonline=20183369</v>
      </c>
    </row>
    <row r="3285" spans="1:22">
      <c r="A3285" s="3">
        <v>3284</v>
      </c>
      <c r="L3285" s="1" t="s">
        <v>2103</v>
      </c>
      <c r="N3285" s="1" t="s">
        <v>2104</v>
      </c>
      <c r="P3285" s="1" t="s">
        <v>3924</v>
      </c>
      <c r="Q3285" s="3">
        <v>0</v>
      </c>
      <c r="R3285" s="22" t="s">
        <v>3871</v>
      </c>
      <c r="S3285" s="22" t="s">
        <v>5097</v>
      </c>
      <c r="T3285" s="51">
        <v>30</v>
      </c>
      <c r="U3285" s="3" t="s">
        <v>5951</v>
      </c>
      <c r="V3285" s="41" t="str">
        <f>HYPERLINK("http://ictvonline.org/taxonomy/p/taxonomy-history?taxnode_id=20183370","ICTVonline=20183370")</f>
        <v>ICTVonline=20183370</v>
      </c>
    </row>
    <row r="3286" spans="1:22">
      <c r="A3286" s="3">
        <v>3285</v>
      </c>
      <c r="L3286" s="1" t="s">
        <v>2103</v>
      </c>
      <c r="N3286" s="1" t="s">
        <v>2104</v>
      </c>
      <c r="P3286" s="1" t="s">
        <v>519</v>
      </c>
      <c r="Q3286" s="3">
        <v>0</v>
      </c>
      <c r="R3286" s="22" t="s">
        <v>3871</v>
      </c>
      <c r="S3286" s="22" t="s">
        <v>5100</v>
      </c>
      <c r="T3286" s="51">
        <v>23</v>
      </c>
      <c r="U3286" s="3" t="s">
        <v>5872</v>
      </c>
      <c r="V3286" s="41" t="str">
        <f>HYPERLINK("http://ictvonline.org/taxonomy/p/taxonomy-history?taxnode_id=20183371","ICTVonline=20183371")</f>
        <v>ICTVonline=20183371</v>
      </c>
    </row>
    <row r="3287" spans="1:22">
      <c r="A3287" s="3">
        <v>3286</v>
      </c>
      <c r="L3287" s="1" t="s">
        <v>2103</v>
      </c>
      <c r="N3287" s="1" t="s">
        <v>2104</v>
      </c>
      <c r="P3287" s="1" t="s">
        <v>520</v>
      </c>
      <c r="Q3287" s="3">
        <v>0</v>
      </c>
      <c r="R3287" s="22" t="s">
        <v>3871</v>
      </c>
      <c r="S3287" s="22" t="s">
        <v>5097</v>
      </c>
      <c r="T3287" s="51">
        <v>23</v>
      </c>
      <c r="U3287" s="3" t="s">
        <v>5872</v>
      </c>
      <c r="V3287" s="41" t="str">
        <f>HYPERLINK("http://ictvonline.org/taxonomy/p/taxonomy-history?taxnode_id=20183372","ICTVonline=20183372")</f>
        <v>ICTVonline=20183372</v>
      </c>
    </row>
    <row r="3288" spans="1:22">
      <c r="A3288" s="3">
        <v>3287</v>
      </c>
      <c r="L3288" s="1" t="s">
        <v>2103</v>
      </c>
      <c r="N3288" s="1" t="s">
        <v>2104</v>
      </c>
      <c r="P3288" s="1" t="s">
        <v>521</v>
      </c>
      <c r="Q3288" s="3">
        <v>0</v>
      </c>
      <c r="R3288" s="22" t="s">
        <v>3871</v>
      </c>
      <c r="S3288" s="22" t="s">
        <v>5099</v>
      </c>
      <c r="T3288" s="51">
        <v>16</v>
      </c>
      <c r="U3288" s="3" t="s">
        <v>5884</v>
      </c>
      <c r="V3288" s="41" t="str">
        <f>HYPERLINK("http://ictvonline.org/taxonomy/p/taxonomy-history?taxnode_id=20183373","ICTVonline=20183373")</f>
        <v>ICTVonline=20183373</v>
      </c>
    </row>
    <row r="3289" spans="1:22">
      <c r="A3289" s="3">
        <v>3288</v>
      </c>
      <c r="L3289" s="1" t="s">
        <v>2103</v>
      </c>
      <c r="N3289" s="1" t="s">
        <v>2104</v>
      </c>
      <c r="P3289" s="1" t="s">
        <v>522</v>
      </c>
      <c r="Q3289" s="3">
        <v>0</v>
      </c>
      <c r="R3289" s="22" t="s">
        <v>3871</v>
      </c>
      <c r="S3289" s="22" t="s">
        <v>5097</v>
      </c>
      <c r="T3289" s="51">
        <v>22</v>
      </c>
      <c r="U3289" s="3" t="s">
        <v>5953</v>
      </c>
      <c r="V3289" s="41" t="str">
        <f>HYPERLINK("http://ictvonline.org/taxonomy/p/taxonomy-history?taxnode_id=20183374","ICTVonline=20183374")</f>
        <v>ICTVonline=20183374</v>
      </c>
    </row>
    <row r="3290" spans="1:22">
      <c r="A3290" s="3">
        <v>3289</v>
      </c>
      <c r="L3290" s="1" t="s">
        <v>2103</v>
      </c>
      <c r="N3290" s="1" t="s">
        <v>2104</v>
      </c>
      <c r="P3290" s="1" t="s">
        <v>523</v>
      </c>
      <c r="Q3290" s="3">
        <v>0</v>
      </c>
      <c r="R3290" s="22" t="s">
        <v>3871</v>
      </c>
      <c r="S3290" s="22" t="s">
        <v>5097</v>
      </c>
      <c r="T3290" s="51">
        <v>22</v>
      </c>
      <c r="U3290" s="3" t="s">
        <v>5953</v>
      </c>
      <c r="V3290" s="41" t="str">
        <f>HYPERLINK("http://ictvonline.org/taxonomy/p/taxonomy-history?taxnode_id=20183375","ICTVonline=20183375")</f>
        <v>ICTVonline=20183375</v>
      </c>
    </row>
    <row r="3291" spans="1:22">
      <c r="A3291" s="3">
        <v>3290</v>
      </c>
      <c r="L3291" s="1" t="s">
        <v>2103</v>
      </c>
      <c r="N3291" s="1" t="s">
        <v>2104</v>
      </c>
      <c r="P3291" s="1" t="s">
        <v>524</v>
      </c>
      <c r="Q3291" s="3">
        <v>0</v>
      </c>
      <c r="R3291" s="22" t="s">
        <v>3871</v>
      </c>
      <c r="S3291" s="22" t="s">
        <v>5097</v>
      </c>
      <c r="T3291" s="51">
        <v>22</v>
      </c>
      <c r="U3291" s="3" t="s">
        <v>5953</v>
      </c>
      <c r="V3291" s="41" t="str">
        <f>HYPERLINK("http://ictvonline.org/taxonomy/p/taxonomy-history?taxnode_id=20183376","ICTVonline=20183376")</f>
        <v>ICTVonline=20183376</v>
      </c>
    </row>
    <row r="3292" spans="1:22">
      <c r="A3292" s="3">
        <v>3291</v>
      </c>
      <c r="L3292" s="1" t="s">
        <v>2103</v>
      </c>
      <c r="N3292" s="1" t="s">
        <v>2104</v>
      </c>
      <c r="P3292" s="1" t="s">
        <v>525</v>
      </c>
      <c r="Q3292" s="3">
        <v>0</v>
      </c>
      <c r="R3292" s="22" t="s">
        <v>3871</v>
      </c>
      <c r="S3292" s="22" t="s">
        <v>5097</v>
      </c>
      <c r="T3292" s="51">
        <v>22</v>
      </c>
      <c r="U3292" s="3" t="s">
        <v>5953</v>
      </c>
      <c r="V3292" s="41" t="str">
        <f>HYPERLINK("http://ictvonline.org/taxonomy/p/taxonomy-history?taxnode_id=20183377","ICTVonline=20183377")</f>
        <v>ICTVonline=20183377</v>
      </c>
    </row>
    <row r="3293" spans="1:22">
      <c r="A3293" s="3">
        <v>3292</v>
      </c>
      <c r="L3293" s="1" t="s">
        <v>2103</v>
      </c>
      <c r="N3293" s="1" t="s">
        <v>2104</v>
      </c>
      <c r="P3293" s="1" t="s">
        <v>3925</v>
      </c>
      <c r="Q3293" s="3">
        <v>0</v>
      </c>
      <c r="R3293" s="22" t="s">
        <v>3871</v>
      </c>
      <c r="S3293" s="22" t="s">
        <v>5097</v>
      </c>
      <c r="T3293" s="51">
        <v>30</v>
      </c>
      <c r="U3293" s="3" t="s">
        <v>5951</v>
      </c>
      <c r="V3293" s="41" t="str">
        <f>HYPERLINK("http://ictvonline.org/taxonomy/p/taxonomy-history?taxnode_id=20183378","ICTVonline=20183378")</f>
        <v>ICTVonline=20183378</v>
      </c>
    </row>
    <row r="3294" spans="1:22">
      <c r="A3294" s="3">
        <v>3293</v>
      </c>
      <c r="L3294" s="1" t="s">
        <v>2103</v>
      </c>
      <c r="N3294" s="1" t="s">
        <v>2104</v>
      </c>
      <c r="P3294" s="1" t="s">
        <v>6007</v>
      </c>
      <c r="Q3294" s="3">
        <v>0</v>
      </c>
      <c r="R3294" s="22" t="s">
        <v>3871</v>
      </c>
      <c r="S3294" s="22" t="s">
        <v>5097</v>
      </c>
      <c r="T3294" s="51">
        <v>32</v>
      </c>
      <c r="U3294" s="3" t="s">
        <v>5958</v>
      </c>
      <c r="V3294" s="41" t="str">
        <f>HYPERLINK("http://ictvonline.org/taxonomy/p/taxonomy-history?taxnode_id=20185830","ICTVonline=20185830")</f>
        <v>ICTVonline=20185830</v>
      </c>
    </row>
    <row r="3295" spans="1:22">
      <c r="A3295" s="3">
        <v>3294</v>
      </c>
      <c r="L3295" s="1" t="s">
        <v>2103</v>
      </c>
      <c r="N3295" s="1" t="s">
        <v>2104</v>
      </c>
      <c r="P3295" s="1" t="s">
        <v>526</v>
      </c>
      <c r="Q3295" s="3">
        <v>0</v>
      </c>
      <c r="R3295" s="22" t="s">
        <v>3871</v>
      </c>
      <c r="S3295" s="22" t="s">
        <v>5097</v>
      </c>
      <c r="T3295" s="51">
        <v>24</v>
      </c>
      <c r="U3295" s="3" t="s">
        <v>5955</v>
      </c>
      <c r="V3295" s="41" t="str">
        <f>HYPERLINK("http://ictvonline.org/taxonomy/p/taxonomy-history?taxnode_id=20183379","ICTVonline=20183379")</f>
        <v>ICTVonline=20183379</v>
      </c>
    </row>
    <row r="3296" spans="1:22">
      <c r="A3296" s="3">
        <v>3295</v>
      </c>
      <c r="L3296" s="1" t="s">
        <v>2103</v>
      </c>
      <c r="N3296" s="1" t="s">
        <v>2104</v>
      </c>
      <c r="P3296" s="1" t="s">
        <v>527</v>
      </c>
      <c r="Q3296" s="3">
        <v>0</v>
      </c>
      <c r="R3296" s="22" t="s">
        <v>3871</v>
      </c>
      <c r="S3296" s="22" t="s">
        <v>5097</v>
      </c>
      <c r="T3296" s="51">
        <v>24</v>
      </c>
      <c r="U3296" s="3" t="s">
        <v>5955</v>
      </c>
      <c r="V3296" s="41" t="str">
        <f>HYPERLINK("http://ictvonline.org/taxonomy/p/taxonomy-history?taxnode_id=20183380","ICTVonline=20183380")</f>
        <v>ICTVonline=20183380</v>
      </c>
    </row>
    <row r="3297" spans="1:22">
      <c r="A3297" s="3">
        <v>3296</v>
      </c>
      <c r="L3297" s="1" t="s">
        <v>2103</v>
      </c>
      <c r="N3297" s="1" t="s">
        <v>2104</v>
      </c>
      <c r="P3297" s="1" t="s">
        <v>528</v>
      </c>
      <c r="Q3297" s="3">
        <v>0</v>
      </c>
      <c r="R3297" s="22" t="s">
        <v>3871</v>
      </c>
      <c r="S3297" s="22" t="s">
        <v>5097</v>
      </c>
      <c r="T3297" s="51">
        <v>23</v>
      </c>
      <c r="U3297" s="3" t="s">
        <v>5872</v>
      </c>
      <c r="V3297" s="41" t="str">
        <f>HYPERLINK("http://ictvonline.org/taxonomy/p/taxonomy-history?taxnode_id=20183381","ICTVonline=20183381")</f>
        <v>ICTVonline=20183381</v>
      </c>
    </row>
    <row r="3298" spans="1:22">
      <c r="A3298" s="3">
        <v>3297</v>
      </c>
      <c r="L3298" s="1" t="s">
        <v>2103</v>
      </c>
      <c r="N3298" s="1" t="s">
        <v>2104</v>
      </c>
      <c r="P3298" s="1" t="s">
        <v>6008</v>
      </c>
      <c r="Q3298" s="3">
        <v>0</v>
      </c>
      <c r="R3298" s="22" t="s">
        <v>3871</v>
      </c>
      <c r="S3298" s="22" t="s">
        <v>5097</v>
      </c>
      <c r="T3298" s="51">
        <v>32</v>
      </c>
      <c r="U3298" s="3" t="s">
        <v>5958</v>
      </c>
      <c r="V3298" s="41" t="str">
        <f>HYPERLINK("http://ictvonline.org/taxonomy/p/taxonomy-history?taxnode_id=20185831","ICTVonline=20185831")</f>
        <v>ICTVonline=20185831</v>
      </c>
    </row>
    <row r="3299" spans="1:22">
      <c r="A3299" s="3">
        <v>3298</v>
      </c>
      <c r="L3299" s="1" t="s">
        <v>2103</v>
      </c>
      <c r="N3299" s="1" t="s">
        <v>2104</v>
      </c>
      <c r="P3299" s="1" t="s">
        <v>3926</v>
      </c>
      <c r="Q3299" s="3">
        <v>0</v>
      </c>
      <c r="R3299" s="22" t="s">
        <v>3871</v>
      </c>
      <c r="S3299" s="22" t="s">
        <v>5097</v>
      </c>
      <c r="T3299" s="51">
        <v>30</v>
      </c>
      <c r="U3299" s="3" t="s">
        <v>5951</v>
      </c>
      <c r="V3299" s="41" t="str">
        <f>HYPERLINK("http://ictvonline.org/taxonomy/p/taxonomy-history?taxnode_id=20183382","ICTVonline=20183382")</f>
        <v>ICTVonline=20183382</v>
      </c>
    </row>
    <row r="3300" spans="1:22">
      <c r="A3300" s="3">
        <v>3299</v>
      </c>
      <c r="L3300" s="1" t="s">
        <v>2103</v>
      </c>
      <c r="N3300" s="1" t="s">
        <v>2104</v>
      </c>
      <c r="P3300" s="1" t="s">
        <v>2448</v>
      </c>
      <c r="Q3300" s="3">
        <v>0</v>
      </c>
      <c r="R3300" s="22" t="s">
        <v>3871</v>
      </c>
      <c r="S3300" s="22" t="s">
        <v>5097</v>
      </c>
      <c r="T3300" s="51">
        <v>28</v>
      </c>
      <c r="U3300" s="3" t="s">
        <v>5952</v>
      </c>
      <c r="V3300" s="41" t="str">
        <f>HYPERLINK("http://ictvonline.org/taxonomy/p/taxonomy-history?taxnode_id=20183383","ICTVonline=20183383")</f>
        <v>ICTVonline=20183383</v>
      </c>
    </row>
    <row r="3301" spans="1:22">
      <c r="A3301" s="3">
        <v>3300</v>
      </c>
      <c r="L3301" s="1" t="s">
        <v>2103</v>
      </c>
      <c r="N3301" s="1" t="s">
        <v>2104</v>
      </c>
      <c r="P3301" s="1" t="s">
        <v>3927</v>
      </c>
      <c r="Q3301" s="3">
        <v>0</v>
      </c>
      <c r="R3301" s="22" t="s">
        <v>3871</v>
      </c>
      <c r="S3301" s="22" t="s">
        <v>5097</v>
      </c>
      <c r="T3301" s="51">
        <v>30</v>
      </c>
      <c r="U3301" s="3" t="s">
        <v>5951</v>
      </c>
      <c r="V3301" s="41" t="str">
        <f>HYPERLINK("http://ictvonline.org/taxonomy/p/taxonomy-history?taxnode_id=20183384","ICTVonline=20183384")</f>
        <v>ICTVonline=20183384</v>
      </c>
    </row>
    <row r="3302" spans="1:22">
      <c r="A3302" s="3">
        <v>3301</v>
      </c>
      <c r="L3302" s="1" t="s">
        <v>2103</v>
      </c>
      <c r="N3302" s="1" t="s">
        <v>2104</v>
      </c>
      <c r="P3302" s="1" t="s">
        <v>3928</v>
      </c>
      <c r="Q3302" s="3">
        <v>0</v>
      </c>
      <c r="R3302" s="22" t="s">
        <v>3871</v>
      </c>
      <c r="S3302" s="22" t="s">
        <v>5097</v>
      </c>
      <c r="T3302" s="51">
        <v>30</v>
      </c>
      <c r="U3302" s="3" t="s">
        <v>5951</v>
      </c>
      <c r="V3302" s="41" t="str">
        <f>HYPERLINK("http://ictvonline.org/taxonomy/p/taxonomy-history?taxnode_id=20183385","ICTVonline=20183385")</f>
        <v>ICTVonline=20183385</v>
      </c>
    </row>
    <row r="3303" spans="1:22">
      <c r="A3303" s="3">
        <v>3302</v>
      </c>
      <c r="L3303" s="1" t="s">
        <v>2103</v>
      </c>
      <c r="N3303" s="1" t="s">
        <v>2104</v>
      </c>
      <c r="P3303" s="1" t="s">
        <v>2449</v>
      </c>
      <c r="Q3303" s="3">
        <v>0</v>
      </c>
      <c r="R3303" s="22" t="s">
        <v>3871</v>
      </c>
      <c r="S3303" s="22" t="s">
        <v>5097</v>
      </c>
      <c r="T3303" s="51">
        <v>28</v>
      </c>
      <c r="U3303" s="3" t="s">
        <v>5952</v>
      </c>
      <c r="V3303" s="41" t="str">
        <f>HYPERLINK("http://ictvonline.org/taxonomy/p/taxonomy-history?taxnode_id=20183386","ICTVonline=20183386")</f>
        <v>ICTVonline=20183386</v>
      </c>
    </row>
    <row r="3304" spans="1:22">
      <c r="A3304" s="3">
        <v>3303</v>
      </c>
      <c r="L3304" s="1" t="s">
        <v>2103</v>
      </c>
      <c r="N3304" s="1" t="s">
        <v>2104</v>
      </c>
      <c r="P3304" s="1" t="s">
        <v>2450</v>
      </c>
      <c r="Q3304" s="3">
        <v>0</v>
      </c>
      <c r="R3304" s="22" t="s">
        <v>3871</v>
      </c>
      <c r="S3304" s="22" t="s">
        <v>5097</v>
      </c>
      <c r="T3304" s="51">
        <v>28</v>
      </c>
      <c r="U3304" s="3" t="s">
        <v>5952</v>
      </c>
      <c r="V3304" s="41" t="str">
        <f>HYPERLINK("http://ictvonline.org/taxonomy/p/taxonomy-history?taxnode_id=20183387","ICTVonline=20183387")</f>
        <v>ICTVonline=20183387</v>
      </c>
    </row>
    <row r="3305" spans="1:22">
      <c r="A3305" s="3">
        <v>3304</v>
      </c>
      <c r="L3305" s="1" t="s">
        <v>2103</v>
      </c>
      <c r="N3305" s="1" t="s">
        <v>2104</v>
      </c>
      <c r="P3305" s="1" t="s">
        <v>529</v>
      </c>
      <c r="Q3305" s="3">
        <v>0</v>
      </c>
      <c r="R3305" s="22" t="s">
        <v>3871</v>
      </c>
      <c r="S3305" s="22" t="s">
        <v>5105</v>
      </c>
      <c r="T3305" s="51">
        <v>28</v>
      </c>
      <c r="U3305" s="3" t="s">
        <v>5952</v>
      </c>
      <c r="V3305" s="41" t="str">
        <f>HYPERLINK("http://ictvonline.org/taxonomy/p/taxonomy-history?taxnode_id=20183388","ICTVonline=20183388")</f>
        <v>ICTVonline=20183388</v>
      </c>
    </row>
    <row r="3306" spans="1:22">
      <c r="A3306" s="3">
        <v>3305</v>
      </c>
      <c r="L3306" s="1" t="s">
        <v>2103</v>
      </c>
      <c r="N3306" s="1" t="s">
        <v>2104</v>
      </c>
      <c r="P3306" s="1" t="s">
        <v>2451</v>
      </c>
      <c r="Q3306" s="3">
        <v>0</v>
      </c>
      <c r="R3306" s="22" t="s">
        <v>3871</v>
      </c>
      <c r="S3306" s="22" t="s">
        <v>5097</v>
      </c>
      <c r="T3306" s="51">
        <v>28</v>
      </c>
      <c r="U3306" s="3" t="s">
        <v>5952</v>
      </c>
      <c r="V3306" s="41" t="str">
        <f>HYPERLINK("http://ictvonline.org/taxonomy/p/taxonomy-history?taxnode_id=20183389","ICTVonline=20183389")</f>
        <v>ICTVonline=20183389</v>
      </c>
    </row>
    <row r="3307" spans="1:22">
      <c r="A3307" s="3">
        <v>3306</v>
      </c>
      <c r="L3307" s="1" t="s">
        <v>2103</v>
      </c>
      <c r="N3307" s="1" t="s">
        <v>2104</v>
      </c>
      <c r="P3307" s="1" t="s">
        <v>6009</v>
      </c>
      <c r="Q3307" s="3">
        <v>0</v>
      </c>
      <c r="R3307" s="22" t="s">
        <v>3871</v>
      </c>
      <c r="S3307" s="22" t="s">
        <v>5097</v>
      </c>
      <c r="T3307" s="51">
        <v>32</v>
      </c>
      <c r="U3307" s="3" t="s">
        <v>5958</v>
      </c>
      <c r="V3307" s="41" t="str">
        <f>HYPERLINK("http://ictvonline.org/taxonomy/p/taxonomy-history?taxnode_id=20185832","ICTVonline=20185832")</f>
        <v>ICTVonline=20185832</v>
      </c>
    </row>
    <row r="3308" spans="1:22">
      <c r="A3308" s="3">
        <v>3307</v>
      </c>
      <c r="L3308" s="1" t="s">
        <v>2103</v>
      </c>
      <c r="N3308" s="1" t="s">
        <v>2104</v>
      </c>
      <c r="P3308" s="1" t="s">
        <v>6010</v>
      </c>
      <c r="Q3308" s="3">
        <v>0</v>
      </c>
      <c r="R3308" s="22" t="s">
        <v>3871</v>
      </c>
      <c r="S3308" s="22" t="s">
        <v>5097</v>
      </c>
      <c r="T3308" s="51">
        <v>32</v>
      </c>
      <c r="U3308" s="3" t="s">
        <v>5958</v>
      </c>
      <c r="V3308" s="41" t="str">
        <f>HYPERLINK("http://ictvonline.org/taxonomy/p/taxonomy-history?taxnode_id=20185833","ICTVonline=20185833")</f>
        <v>ICTVonline=20185833</v>
      </c>
    </row>
    <row r="3309" spans="1:22">
      <c r="A3309" s="3">
        <v>3308</v>
      </c>
      <c r="L3309" s="1" t="s">
        <v>2103</v>
      </c>
      <c r="N3309" s="1" t="s">
        <v>2104</v>
      </c>
      <c r="P3309" s="1" t="s">
        <v>530</v>
      </c>
      <c r="Q3309" s="3">
        <v>0</v>
      </c>
      <c r="R3309" s="22" t="s">
        <v>3871</v>
      </c>
      <c r="S3309" s="22" t="s">
        <v>5097</v>
      </c>
      <c r="T3309" s="51">
        <v>22</v>
      </c>
      <c r="U3309" s="3" t="s">
        <v>5953</v>
      </c>
      <c r="V3309" s="41" t="str">
        <f>HYPERLINK("http://ictvonline.org/taxonomy/p/taxonomy-history?taxnode_id=20183390","ICTVonline=20183390")</f>
        <v>ICTVonline=20183390</v>
      </c>
    </row>
    <row r="3310" spans="1:22">
      <c r="A3310" s="3">
        <v>3309</v>
      </c>
      <c r="L3310" s="1" t="s">
        <v>2103</v>
      </c>
      <c r="N3310" s="1" t="s">
        <v>2104</v>
      </c>
      <c r="P3310" s="1" t="s">
        <v>3929</v>
      </c>
      <c r="Q3310" s="3">
        <v>0</v>
      </c>
      <c r="R3310" s="22" t="s">
        <v>3871</v>
      </c>
      <c r="S3310" s="22" t="s">
        <v>5097</v>
      </c>
      <c r="T3310" s="51">
        <v>30</v>
      </c>
      <c r="U3310" s="3" t="s">
        <v>5951</v>
      </c>
      <c r="V3310" s="41" t="str">
        <f>HYPERLINK("http://ictvonline.org/taxonomy/p/taxonomy-history?taxnode_id=20183391","ICTVonline=20183391")</f>
        <v>ICTVonline=20183391</v>
      </c>
    </row>
    <row r="3311" spans="1:22">
      <c r="A3311" s="3">
        <v>3310</v>
      </c>
      <c r="L3311" s="1" t="s">
        <v>2103</v>
      </c>
      <c r="N3311" s="1" t="s">
        <v>2104</v>
      </c>
      <c r="P3311" s="1" t="s">
        <v>1619</v>
      </c>
      <c r="Q3311" s="3">
        <v>0</v>
      </c>
      <c r="R3311" s="22" t="s">
        <v>3871</v>
      </c>
      <c r="S3311" s="22" t="s">
        <v>5097</v>
      </c>
      <c r="T3311" s="51">
        <v>24</v>
      </c>
      <c r="U3311" s="3" t="s">
        <v>5959</v>
      </c>
      <c r="V3311" s="41" t="str">
        <f>HYPERLINK("http://ictvonline.org/taxonomy/p/taxonomy-history?taxnode_id=20183392","ICTVonline=20183392")</f>
        <v>ICTVonline=20183392</v>
      </c>
    </row>
    <row r="3312" spans="1:22">
      <c r="A3312" s="3">
        <v>3311</v>
      </c>
      <c r="L3312" s="1" t="s">
        <v>2103</v>
      </c>
      <c r="N3312" s="1" t="s">
        <v>2104</v>
      </c>
      <c r="P3312" s="1" t="s">
        <v>1620</v>
      </c>
      <c r="Q3312" s="3">
        <v>0</v>
      </c>
      <c r="R3312" s="22" t="s">
        <v>3871</v>
      </c>
      <c r="S3312" s="22" t="s">
        <v>5097</v>
      </c>
      <c r="T3312" s="51">
        <v>22</v>
      </c>
      <c r="U3312" s="3" t="s">
        <v>5953</v>
      </c>
      <c r="V3312" s="41" t="str">
        <f>HYPERLINK("http://ictvonline.org/taxonomy/p/taxonomy-history?taxnode_id=20183393","ICTVonline=20183393")</f>
        <v>ICTVonline=20183393</v>
      </c>
    </row>
    <row r="3313" spans="1:22">
      <c r="A3313" s="3">
        <v>3312</v>
      </c>
      <c r="L3313" s="1" t="s">
        <v>2103</v>
      </c>
      <c r="N3313" s="1" t="s">
        <v>2104</v>
      </c>
      <c r="P3313" s="1" t="s">
        <v>2452</v>
      </c>
      <c r="Q3313" s="3">
        <v>0</v>
      </c>
      <c r="R3313" s="22" t="s">
        <v>3871</v>
      </c>
      <c r="S3313" s="22" t="s">
        <v>5097</v>
      </c>
      <c r="T3313" s="51">
        <v>28</v>
      </c>
      <c r="U3313" s="3" t="s">
        <v>5952</v>
      </c>
      <c r="V3313" s="41" t="str">
        <f>HYPERLINK("http://ictvonline.org/taxonomy/p/taxonomy-history?taxnode_id=20183394","ICTVonline=20183394")</f>
        <v>ICTVonline=20183394</v>
      </c>
    </row>
    <row r="3314" spans="1:22">
      <c r="A3314" s="3">
        <v>3313</v>
      </c>
      <c r="L3314" s="1" t="s">
        <v>2103</v>
      </c>
      <c r="N3314" s="1" t="s">
        <v>2104</v>
      </c>
      <c r="P3314" s="1" t="s">
        <v>2453</v>
      </c>
      <c r="Q3314" s="3">
        <v>0</v>
      </c>
      <c r="R3314" s="22" t="s">
        <v>3871</v>
      </c>
      <c r="S3314" s="22" t="s">
        <v>5097</v>
      </c>
      <c r="T3314" s="51">
        <v>28</v>
      </c>
      <c r="U3314" s="3" t="s">
        <v>5952</v>
      </c>
      <c r="V3314" s="41" t="str">
        <f>HYPERLINK("http://ictvonline.org/taxonomy/p/taxonomy-history?taxnode_id=20183395","ICTVonline=20183395")</f>
        <v>ICTVonline=20183395</v>
      </c>
    </row>
    <row r="3315" spans="1:22">
      <c r="A3315" s="3">
        <v>3314</v>
      </c>
      <c r="L3315" s="1" t="s">
        <v>2103</v>
      </c>
      <c r="N3315" s="1" t="s">
        <v>2104</v>
      </c>
      <c r="P3315" s="1" t="s">
        <v>1621</v>
      </c>
      <c r="Q3315" s="3">
        <v>0</v>
      </c>
      <c r="R3315" s="22" t="s">
        <v>3871</v>
      </c>
      <c r="S3315" s="22" t="s">
        <v>5097</v>
      </c>
      <c r="T3315" s="51">
        <v>22</v>
      </c>
      <c r="U3315" s="3" t="s">
        <v>5953</v>
      </c>
      <c r="V3315" s="41" t="str">
        <f>HYPERLINK("http://ictvonline.org/taxonomy/p/taxonomy-history?taxnode_id=20183396","ICTVonline=20183396")</f>
        <v>ICTVonline=20183396</v>
      </c>
    </row>
    <row r="3316" spans="1:22">
      <c r="A3316" s="3">
        <v>3315</v>
      </c>
      <c r="L3316" s="1" t="s">
        <v>2103</v>
      </c>
      <c r="N3316" s="1" t="s">
        <v>2104</v>
      </c>
      <c r="P3316" s="1" t="s">
        <v>1622</v>
      </c>
      <c r="Q3316" s="3">
        <v>0</v>
      </c>
      <c r="R3316" s="22" t="s">
        <v>3871</v>
      </c>
      <c r="S3316" s="22" t="s">
        <v>5097</v>
      </c>
      <c r="T3316" s="51">
        <v>23</v>
      </c>
      <c r="U3316" s="3" t="s">
        <v>5872</v>
      </c>
      <c r="V3316" s="41" t="str">
        <f>HYPERLINK("http://ictvonline.org/taxonomy/p/taxonomy-history?taxnode_id=20183397","ICTVonline=20183397")</f>
        <v>ICTVonline=20183397</v>
      </c>
    </row>
    <row r="3317" spans="1:22">
      <c r="A3317" s="3">
        <v>3316</v>
      </c>
      <c r="L3317" s="1" t="s">
        <v>2103</v>
      </c>
      <c r="N3317" s="1" t="s">
        <v>2104</v>
      </c>
      <c r="P3317" s="1" t="s">
        <v>2454</v>
      </c>
      <c r="Q3317" s="3">
        <v>0</v>
      </c>
      <c r="R3317" s="22" t="s">
        <v>3871</v>
      </c>
      <c r="S3317" s="22" t="s">
        <v>5097</v>
      </c>
      <c r="T3317" s="51">
        <v>28</v>
      </c>
      <c r="U3317" s="3" t="s">
        <v>5952</v>
      </c>
      <c r="V3317" s="41" t="str">
        <f>HYPERLINK("http://ictvonline.org/taxonomy/p/taxonomy-history?taxnode_id=20183398","ICTVonline=20183398")</f>
        <v>ICTVonline=20183398</v>
      </c>
    </row>
    <row r="3318" spans="1:22">
      <c r="A3318" s="3">
        <v>3317</v>
      </c>
      <c r="L3318" s="1" t="s">
        <v>2103</v>
      </c>
      <c r="N3318" s="1" t="s">
        <v>2104</v>
      </c>
      <c r="P3318" s="1" t="s">
        <v>2455</v>
      </c>
      <c r="Q3318" s="3">
        <v>0</v>
      </c>
      <c r="R3318" s="22" t="s">
        <v>3871</v>
      </c>
      <c r="S3318" s="22" t="s">
        <v>5097</v>
      </c>
      <c r="T3318" s="51">
        <v>28</v>
      </c>
      <c r="U3318" s="3" t="s">
        <v>5952</v>
      </c>
      <c r="V3318" s="41" t="str">
        <f>HYPERLINK("http://ictvonline.org/taxonomy/p/taxonomy-history?taxnode_id=20183399","ICTVonline=20183399")</f>
        <v>ICTVonline=20183399</v>
      </c>
    </row>
    <row r="3319" spans="1:22">
      <c r="A3319" s="3">
        <v>3318</v>
      </c>
      <c r="L3319" s="1" t="s">
        <v>2103</v>
      </c>
      <c r="N3319" s="1" t="s">
        <v>2104</v>
      </c>
      <c r="P3319" s="1" t="s">
        <v>2456</v>
      </c>
      <c r="Q3319" s="3">
        <v>0</v>
      </c>
      <c r="R3319" s="22" t="s">
        <v>3871</v>
      </c>
      <c r="S3319" s="22" t="s">
        <v>5097</v>
      </c>
      <c r="T3319" s="51">
        <v>28</v>
      </c>
      <c r="U3319" s="3" t="s">
        <v>5952</v>
      </c>
      <c r="V3319" s="41" t="str">
        <f>HYPERLINK("http://ictvonline.org/taxonomy/p/taxonomy-history?taxnode_id=20183400","ICTVonline=20183400")</f>
        <v>ICTVonline=20183400</v>
      </c>
    </row>
    <row r="3320" spans="1:22">
      <c r="A3320" s="3">
        <v>3319</v>
      </c>
      <c r="L3320" s="1" t="s">
        <v>2103</v>
      </c>
      <c r="N3320" s="1" t="s">
        <v>2104</v>
      </c>
      <c r="P3320" s="1" t="s">
        <v>3930</v>
      </c>
      <c r="Q3320" s="3">
        <v>0</v>
      </c>
      <c r="R3320" s="22" t="s">
        <v>3871</v>
      </c>
      <c r="S3320" s="22" t="s">
        <v>5097</v>
      </c>
      <c r="T3320" s="51">
        <v>30</v>
      </c>
      <c r="U3320" s="3" t="s">
        <v>5951</v>
      </c>
      <c r="V3320" s="41" t="str">
        <f>HYPERLINK("http://ictvonline.org/taxonomy/p/taxonomy-history?taxnode_id=20183401","ICTVonline=20183401")</f>
        <v>ICTVonline=20183401</v>
      </c>
    </row>
    <row r="3321" spans="1:22">
      <c r="A3321" s="3">
        <v>3320</v>
      </c>
      <c r="L3321" s="1" t="s">
        <v>2103</v>
      </c>
      <c r="N3321" s="1" t="s">
        <v>2104</v>
      </c>
      <c r="P3321" s="1" t="s">
        <v>3931</v>
      </c>
      <c r="Q3321" s="3">
        <v>0</v>
      </c>
      <c r="R3321" s="22" t="s">
        <v>3871</v>
      </c>
      <c r="S3321" s="22" t="s">
        <v>5097</v>
      </c>
      <c r="T3321" s="51">
        <v>30</v>
      </c>
      <c r="U3321" s="3" t="s">
        <v>5951</v>
      </c>
      <c r="V3321" s="41" t="str">
        <f>HYPERLINK("http://ictvonline.org/taxonomy/p/taxonomy-history?taxnode_id=20183402","ICTVonline=20183402")</f>
        <v>ICTVonline=20183402</v>
      </c>
    </row>
    <row r="3322" spans="1:22">
      <c r="A3322" s="3">
        <v>3321</v>
      </c>
      <c r="L3322" s="1" t="s">
        <v>2103</v>
      </c>
      <c r="N3322" s="1" t="s">
        <v>2104</v>
      </c>
      <c r="P3322" s="1" t="s">
        <v>1826</v>
      </c>
      <c r="Q3322" s="3">
        <v>0</v>
      </c>
      <c r="R3322" s="22" t="s">
        <v>3871</v>
      </c>
      <c r="S3322" s="22" t="s">
        <v>5097</v>
      </c>
      <c r="T3322" s="51">
        <v>23</v>
      </c>
      <c r="U3322" s="3" t="s">
        <v>5872</v>
      </c>
      <c r="V3322" s="41" t="str">
        <f>HYPERLINK("http://ictvonline.org/taxonomy/p/taxonomy-history?taxnode_id=20183403","ICTVonline=20183403")</f>
        <v>ICTVonline=20183403</v>
      </c>
    </row>
    <row r="3323" spans="1:22">
      <c r="A3323" s="3">
        <v>3322</v>
      </c>
      <c r="L3323" s="1" t="s">
        <v>2103</v>
      </c>
      <c r="N3323" s="1" t="s">
        <v>2104</v>
      </c>
      <c r="P3323" s="1" t="s">
        <v>2457</v>
      </c>
      <c r="Q3323" s="3">
        <v>0</v>
      </c>
      <c r="R3323" s="22" t="s">
        <v>3871</v>
      </c>
      <c r="S3323" s="22" t="s">
        <v>5097</v>
      </c>
      <c r="T3323" s="51">
        <v>28</v>
      </c>
      <c r="U3323" s="3" t="s">
        <v>5952</v>
      </c>
      <c r="V3323" s="41" t="str">
        <f>HYPERLINK("http://ictvonline.org/taxonomy/p/taxonomy-history?taxnode_id=20183404","ICTVonline=20183404")</f>
        <v>ICTVonline=20183404</v>
      </c>
    </row>
    <row r="3324" spans="1:22">
      <c r="A3324" s="3">
        <v>3323</v>
      </c>
      <c r="L3324" s="1" t="s">
        <v>2103</v>
      </c>
      <c r="N3324" s="1" t="s">
        <v>2104</v>
      </c>
      <c r="P3324" s="1" t="s">
        <v>6011</v>
      </c>
      <c r="Q3324" s="3">
        <v>0</v>
      </c>
      <c r="R3324" s="22" t="s">
        <v>3871</v>
      </c>
      <c r="S3324" s="22" t="s">
        <v>5097</v>
      </c>
      <c r="T3324" s="51">
        <v>32</v>
      </c>
      <c r="U3324" s="3" t="s">
        <v>5958</v>
      </c>
      <c r="V3324" s="41" t="str">
        <f>HYPERLINK("http://ictvonline.org/taxonomy/p/taxonomy-history?taxnode_id=20185834","ICTVonline=20185834")</f>
        <v>ICTVonline=20185834</v>
      </c>
    </row>
    <row r="3325" spans="1:22">
      <c r="A3325" s="3">
        <v>3324</v>
      </c>
      <c r="L3325" s="1" t="s">
        <v>2103</v>
      </c>
      <c r="N3325" s="1" t="s">
        <v>2104</v>
      </c>
      <c r="P3325" s="1" t="s">
        <v>1827</v>
      </c>
      <c r="Q3325" s="3">
        <v>0</v>
      </c>
      <c r="R3325" s="22" t="s">
        <v>3871</v>
      </c>
      <c r="S3325" s="22" t="s">
        <v>5097</v>
      </c>
      <c r="T3325" s="51">
        <v>22</v>
      </c>
      <c r="U3325" s="3" t="s">
        <v>5953</v>
      </c>
      <c r="V3325" s="41" t="str">
        <f>HYPERLINK("http://ictvonline.org/taxonomy/p/taxonomy-history?taxnode_id=20183405","ICTVonline=20183405")</f>
        <v>ICTVonline=20183405</v>
      </c>
    </row>
    <row r="3326" spans="1:22">
      <c r="A3326" s="3">
        <v>3325</v>
      </c>
      <c r="L3326" s="1" t="s">
        <v>2103</v>
      </c>
      <c r="N3326" s="1" t="s">
        <v>2104</v>
      </c>
      <c r="P3326" s="1" t="s">
        <v>2458</v>
      </c>
      <c r="Q3326" s="3">
        <v>0</v>
      </c>
      <c r="R3326" s="22" t="s">
        <v>3871</v>
      </c>
      <c r="S3326" s="22" t="s">
        <v>5097</v>
      </c>
      <c r="T3326" s="51">
        <v>28</v>
      </c>
      <c r="U3326" s="3" t="s">
        <v>5952</v>
      </c>
      <c r="V3326" s="41" t="str">
        <f>HYPERLINK("http://ictvonline.org/taxonomy/p/taxonomy-history?taxnode_id=20183406","ICTVonline=20183406")</f>
        <v>ICTVonline=20183406</v>
      </c>
    </row>
    <row r="3327" spans="1:22">
      <c r="A3327" s="3">
        <v>3326</v>
      </c>
      <c r="L3327" s="1" t="s">
        <v>2103</v>
      </c>
      <c r="N3327" s="1" t="s">
        <v>2104</v>
      </c>
      <c r="P3327" s="1" t="s">
        <v>1828</v>
      </c>
      <c r="Q3327" s="3">
        <v>0</v>
      </c>
      <c r="R3327" s="22" t="s">
        <v>3871</v>
      </c>
      <c r="S3327" s="22" t="s">
        <v>5097</v>
      </c>
      <c r="T3327" s="51">
        <v>22</v>
      </c>
      <c r="U3327" s="3" t="s">
        <v>5971</v>
      </c>
      <c r="V3327" s="41" t="str">
        <f>HYPERLINK("http://ictvonline.org/taxonomy/p/taxonomy-history?taxnode_id=20183407","ICTVonline=20183407")</f>
        <v>ICTVonline=20183407</v>
      </c>
    </row>
    <row r="3328" spans="1:22">
      <c r="A3328" s="3">
        <v>3327</v>
      </c>
      <c r="L3328" s="1" t="s">
        <v>2103</v>
      </c>
      <c r="N3328" s="1" t="s">
        <v>2104</v>
      </c>
      <c r="P3328" s="1" t="s">
        <v>2459</v>
      </c>
      <c r="Q3328" s="3">
        <v>0</v>
      </c>
      <c r="R3328" s="22" t="s">
        <v>3871</v>
      </c>
      <c r="S3328" s="22" t="s">
        <v>5097</v>
      </c>
      <c r="T3328" s="51">
        <v>28</v>
      </c>
      <c r="U3328" s="3" t="s">
        <v>5952</v>
      </c>
      <c r="V3328" s="41" t="str">
        <f>HYPERLINK("http://ictvonline.org/taxonomy/p/taxonomy-history?taxnode_id=20183408","ICTVonline=20183408")</f>
        <v>ICTVonline=20183408</v>
      </c>
    </row>
    <row r="3329" spans="1:22">
      <c r="A3329" s="3">
        <v>3328</v>
      </c>
      <c r="L3329" s="1" t="s">
        <v>2103</v>
      </c>
      <c r="N3329" s="1" t="s">
        <v>2104</v>
      </c>
      <c r="P3329" s="1" t="s">
        <v>6012</v>
      </c>
      <c r="Q3329" s="3">
        <v>0</v>
      </c>
      <c r="R3329" s="22" t="s">
        <v>3871</v>
      </c>
      <c r="S3329" s="22" t="s">
        <v>5097</v>
      </c>
      <c r="T3329" s="51">
        <v>32</v>
      </c>
      <c r="U3329" s="3" t="s">
        <v>5958</v>
      </c>
      <c r="V3329" s="41" t="str">
        <f>HYPERLINK("http://ictvonline.org/taxonomy/p/taxonomy-history?taxnode_id=20185835","ICTVonline=20185835")</f>
        <v>ICTVonline=20185835</v>
      </c>
    </row>
    <row r="3330" spans="1:22">
      <c r="A3330" s="3">
        <v>3329</v>
      </c>
      <c r="L3330" s="1" t="s">
        <v>2103</v>
      </c>
      <c r="N3330" s="1" t="s">
        <v>2104</v>
      </c>
      <c r="P3330" s="1" t="s">
        <v>3932</v>
      </c>
      <c r="Q3330" s="3">
        <v>0</v>
      </c>
      <c r="R3330" s="22" t="s">
        <v>3871</v>
      </c>
      <c r="S3330" s="22" t="s">
        <v>5097</v>
      </c>
      <c r="T3330" s="51">
        <v>30</v>
      </c>
      <c r="U3330" s="3" t="s">
        <v>5951</v>
      </c>
      <c r="V3330" s="41" t="str">
        <f>HYPERLINK("http://ictvonline.org/taxonomy/p/taxonomy-history?taxnode_id=20183409","ICTVonline=20183409")</f>
        <v>ICTVonline=20183409</v>
      </c>
    </row>
    <row r="3331" spans="1:22">
      <c r="A3331" s="3">
        <v>3330</v>
      </c>
      <c r="L3331" s="1" t="s">
        <v>2103</v>
      </c>
      <c r="N3331" s="1" t="s">
        <v>2104</v>
      </c>
      <c r="P3331" s="1" t="s">
        <v>6013</v>
      </c>
      <c r="Q3331" s="3">
        <v>0</v>
      </c>
      <c r="R3331" s="22" t="s">
        <v>3871</v>
      </c>
      <c r="S3331" s="22" t="s">
        <v>5097</v>
      </c>
      <c r="T3331" s="51">
        <v>32</v>
      </c>
      <c r="U3331" s="3" t="s">
        <v>5958</v>
      </c>
      <c r="V3331" s="41" t="str">
        <f>HYPERLINK("http://ictvonline.org/taxonomy/p/taxonomy-history?taxnode_id=20185836","ICTVonline=20185836")</f>
        <v>ICTVonline=20185836</v>
      </c>
    </row>
    <row r="3332" spans="1:22">
      <c r="A3332" s="3">
        <v>3331</v>
      </c>
      <c r="L3332" s="1" t="s">
        <v>2103</v>
      </c>
      <c r="N3332" s="1" t="s">
        <v>2104</v>
      </c>
      <c r="P3332" s="1" t="s">
        <v>1829</v>
      </c>
      <c r="Q3332" s="3">
        <v>0</v>
      </c>
      <c r="R3332" s="22" t="s">
        <v>3871</v>
      </c>
      <c r="S3332" s="22" t="s">
        <v>5099</v>
      </c>
      <c r="T3332" s="51">
        <v>16</v>
      </c>
      <c r="U3332" s="3" t="s">
        <v>5884</v>
      </c>
      <c r="V3332" s="41" t="str">
        <f>HYPERLINK("http://ictvonline.org/taxonomy/p/taxonomy-history?taxnode_id=20183410","ICTVonline=20183410")</f>
        <v>ICTVonline=20183410</v>
      </c>
    </row>
    <row r="3333" spans="1:22">
      <c r="A3333" s="3">
        <v>3332</v>
      </c>
      <c r="L3333" s="1" t="s">
        <v>2103</v>
      </c>
      <c r="N3333" s="1" t="s">
        <v>2104</v>
      </c>
      <c r="P3333" s="1" t="s">
        <v>1830</v>
      </c>
      <c r="Q3333" s="3">
        <v>0</v>
      </c>
      <c r="R3333" s="22" t="s">
        <v>3871</v>
      </c>
      <c r="S3333" s="22" t="s">
        <v>5097</v>
      </c>
      <c r="T3333" s="51">
        <v>22</v>
      </c>
      <c r="U3333" s="3" t="s">
        <v>5953</v>
      </c>
      <c r="V3333" s="41" t="str">
        <f>HYPERLINK("http://ictvonline.org/taxonomy/p/taxonomy-history?taxnode_id=20183411","ICTVonline=20183411")</f>
        <v>ICTVonline=20183411</v>
      </c>
    </row>
    <row r="3334" spans="1:22">
      <c r="A3334" s="3">
        <v>3333</v>
      </c>
      <c r="L3334" s="1" t="s">
        <v>2103</v>
      </c>
      <c r="N3334" s="1" t="s">
        <v>2104</v>
      </c>
      <c r="P3334" s="1" t="s">
        <v>2460</v>
      </c>
      <c r="Q3334" s="3">
        <v>0</v>
      </c>
      <c r="R3334" s="22" t="s">
        <v>3871</v>
      </c>
      <c r="S3334" s="22" t="s">
        <v>5097</v>
      </c>
      <c r="T3334" s="51">
        <v>28</v>
      </c>
      <c r="U3334" s="3" t="s">
        <v>5952</v>
      </c>
      <c r="V3334" s="41" t="str">
        <f>HYPERLINK("http://ictvonline.org/taxonomy/p/taxonomy-history?taxnode_id=20183412","ICTVonline=20183412")</f>
        <v>ICTVonline=20183412</v>
      </c>
    </row>
    <row r="3335" spans="1:22">
      <c r="A3335" s="3">
        <v>3334</v>
      </c>
      <c r="L3335" s="1" t="s">
        <v>2103</v>
      </c>
      <c r="N3335" s="1" t="s">
        <v>2104</v>
      </c>
      <c r="P3335" s="1" t="s">
        <v>3933</v>
      </c>
      <c r="Q3335" s="3">
        <v>0</v>
      </c>
      <c r="R3335" s="22" t="s">
        <v>3871</v>
      </c>
      <c r="S3335" s="22" t="s">
        <v>5097</v>
      </c>
      <c r="T3335" s="51">
        <v>30</v>
      </c>
      <c r="U3335" s="3" t="s">
        <v>5951</v>
      </c>
      <c r="V3335" s="41" t="str">
        <f>HYPERLINK("http://ictvonline.org/taxonomy/p/taxonomy-history?taxnode_id=20183413","ICTVonline=20183413")</f>
        <v>ICTVonline=20183413</v>
      </c>
    </row>
    <row r="3336" spans="1:22">
      <c r="A3336" s="3">
        <v>3335</v>
      </c>
      <c r="L3336" s="1" t="s">
        <v>2103</v>
      </c>
      <c r="N3336" s="1" t="s">
        <v>2104</v>
      </c>
      <c r="P3336" s="1" t="s">
        <v>6014</v>
      </c>
      <c r="Q3336" s="3">
        <v>0</v>
      </c>
      <c r="R3336" s="22" t="s">
        <v>3871</v>
      </c>
      <c r="S3336" s="22" t="s">
        <v>5097</v>
      </c>
      <c r="T3336" s="51">
        <v>32</v>
      </c>
      <c r="U3336" s="3" t="s">
        <v>5958</v>
      </c>
      <c r="V3336" s="41" t="str">
        <f>HYPERLINK("http://ictvonline.org/taxonomy/p/taxonomy-history?taxnode_id=20185837","ICTVonline=20185837")</f>
        <v>ICTVonline=20185837</v>
      </c>
    </row>
    <row r="3337" spans="1:22">
      <c r="A3337" s="3">
        <v>3336</v>
      </c>
      <c r="L3337" s="1" t="s">
        <v>2103</v>
      </c>
      <c r="N3337" s="1" t="s">
        <v>2104</v>
      </c>
      <c r="P3337" s="1" t="s">
        <v>2461</v>
      </c>
      <c r="Q3337" s="3">
        <v>0</v>
      </c>
      <c r="R3337" s="22" t="s">
        <v>3871</v>
      </c>
      <c r="S3337" s="22" t="s">
        <v>5097</v>
      </c>
      <c r="T3337" s="51">
        <v>28</v>
      </c>
      <c r="U3337" s="3" t="s">
        <v>5952</v>
      </c>
      <c r="V3337" s="41" t="str">
        <f>HYPERLINK("http://ictvonline.org/taxonomy/p/taxonomy-history?taxnode_id=20183414","ICTVonline=20183414")</f>
        <v>ICTVonline=20183414</v>
      </c>
    </row>
    <row r="3338" spans="1:22">
      <c r="A3338" s="3">
        <v>3337</v>
      </c>
      <c r="L3338" s="1" t="s">
        <v>2103</v>
      </c>
      <c r="N3338" s="1" t="s">
        <v>2104</v>
      </c>
      <c r="P3338" s="1" t="s">
        <v>1831</v>
      </c>
      <c r="Q3338" s="3">
        <v>0</v>
      </c>
      <c r="R3338" s="22" t="s">
        <v>3871</v>
      </c>
      <c r="S3338" s="22" t="s">
        <v>5097</v>
      </c>
      <c r="T3338" s="51">
        <v>24</v>
      </c>
      <c r="U3338" s="3" t="s">
        <v>5955</v>
      </c>
      <c r="V3338" s="41" t="str">
        <f>HYPERLINK("http://ictvonline.org/taxonomy/p/taxonomy-history?taxnode_id=20183415","ICTVonline=20183415")</f>
        <v>ICTVonline=20183415</v>
      </c>
    </row>
    <row r="3339" spans="1:22">
      <c r="A3339" s="3">
        <v>3338</v>
      </c>
      <c r="L3339" s="1" t="s">
        <v>2103</v>
      </c>
      <c r="N3339" s="1" t="s">
        <v>2104</v>
      </c>
      <c r="P3339" s="1" t="s">
        <v>1597</v>
      </c>
      <c r="Q3339" s="3">
        <v>0</v>
      </c>
      <c r="R3339" s="22" t="s">
        <v>3871</v>
      </c>
      <c r="S3339" s="22" t="s">
        <v>5108</v>
      </c>
      <c r="T3339" s="51">
        <v>24</v>
      </c>
      <c r="U3339" s="3" t="s">
        <v>5956</v>
      </c>
      <c r="V3339" s="41" t="str">
        <f>HYPERLINK("http://ictvonline.org/taxonomy/p/taxonomy-history?taxnode_id=20183416","ICTVonline=20183416")</f>
        <v>ICTVonline=20183416</v>
      </c>
    </row>
    <row r="3340" spans="1:22">
      <c r="A3340" s="3">
        <v>3339</v>
      </c>
      <c r="L3340" s="1" t="s">
        <v>2103</v>
      </c>
      <c r="N3340" s="1" t="s">
        <v>2104</v>
      </c>
      <c r="P3340" s="1" t="s">
        <v>1598</v>
      </c>
      <c r="Q3340" s="3">
        <v>0</v>
      </c>
      <c r="R3340" s="22" t="s">
        <v>3871</v>
      </c>
      <c r="S3340" s="22" t="s">
        <v>5097</v>
      </c>
      <c r="T3340" s="51">
        <v>22</v>
      </c>
      <c r="U3340" s="3" t="s">
        <v>5953</v>
      </c>
      <c r="V3340" s="41" t="str">
        <f>HYPERLINK("http://ictvonline.org/taxonomy/p/taxonomy-history?taxnode_id=20183417","ICTVonline=20183417")</f>
        <v>ICTVonline=20183417</v>
      </c>
    </row>
    <row r="3341" spans="1:22">
      <c r="A3341" s="3">
        <v>3340</v>
      </c>
      <c r="L3341" s="1" t="s">
        <v>2103</v>
      </c>
      <c r="N3341" s="1" t="s">
        <v>2104</v>
      </c>
      <c r="P3341" s="1" t="s">
        <v>6015</v>
      </c>
      <c r="Q3341" s="3">
        <v>0</v>
      </c>
      <c r="R3341" s="22" t="s">
        <v>3871</v>
      </c>
      <c r="S3341" s="22" t="s">
        <v>5097</v>
      </c>
      <c r="T3341" s="51">
        <v>32</v>
      </c>
      <c r="U3341" s="3" t="s">
        <v>5958</v>
      </c>
      <c r="V3341" s="41" t="str">
        <f>HYPERLINK("http://ictvonline.org/taxonomy/p/taxonomy-history?taxnode_id=20185838","ICTVonline=20185838")</f>
        <v>ICTVonline=20185838</v>
      </c>
    </row>
    <row r="3342" spans="1:22">
      <c r="A3342" s="3">
        <v>3341</v>
      </c>
      <c r="L3342" s="1" t="s">
        <v>2103</v>
      </c>
      <c r="N3342" s="1" t="s">
        <v>2104</v>
      </c>
      <c r="P3342" s="1" t="s">
        <v>2462</v>
      </c>
      <c r="Q3342" s="3">
        <v>0</v>
      </c>
      <c r="R3342" s="22" t="s">
        <v>3871</v>
      </c>
      <c r="S3342" s="22" t="s">
        <v>5097</v>
      </c>
      <c r="T3342" s="51">
        <v>28</v>
      </c>
      <c r="U3342" s="3" t="s">
        <v>5952</v>
      </c>
      <c r="V3342" s="41" t="str">
        <f>HYPERLINK("http://ictvonline.org/taxonomy/p/taxonomy-history?taxnode_id=20183418","ICTVonline=20183418")</f>
        <v>ICTVonline=20183418</v>
      </c>
    </row>
    <row r="3343" spans="1:22">
      <c r="A3343" s="3">
        <v>3342</v>
      </c>
      <c r="L3343" s="1" t="s">
        <v>2103</v>
      </c>
      <c r="N3343" s="1" t="s">
        <v>2104</v>
      </c>
      <c r="P3343" s="1" t="s">
        <v>1941</v>
      </c>
      <c r="Q3343" s="3">
        <v>0</v>
      </c>
      <c r="R3343" s="22" t="s">
        <v>3871</v>
      </c>
      <c r="S3343" s="22" t="s">
        <v>5097</v>
      </c>
      <c r="T3343" s="51">
        <v>22</v>
      </c>
      <c r="U3343" s="3" t="s">
        <v>6016</v>
      </c>
      <c r="V3343" s="41" t="str">
        <f>HYPERLINK("http://ictvonline.org/taxonomy/p/taxonomy-history?taxnode_id=20183419","ICTVonline=20183419")</f>
        <v>ICTVonline=20183419</v>
      </c>
    </row>
    <row r="3344" spans="1:22">
      <c r="A3344" s="3">
        <v>3343</v>
      </c>
      <c r="L3344" s="1" t="s">
        <v>2103</v>
      </c>
      <c r="N3344" s="1" t="s">
        <v>2104</v>
      </c>
      <c r="P3344" s="1" t="s">
        <v>1854</v>
      </c>
      <c r="Q3344" s="3">
        <v>0</v>
      </c>
      <c r="R3344" s="22" t="s">
        <v>3871</v>
      </c>
      <c r="S3344" s="22" t="s">
        <v>5105</v>
      </c>
      <c r="T3344" s="51">
        <v>28</v>
      </c>
      <c r="U3344" s="3" t="s">
        <v>5952</v>
      </c>
      <c r="V3344" s="41" t="str">
        <f>HYPERLINK("http://ictvonline.org/taxonomy/p/taxonomy-history?taxnode_id=20183420","ICTVonline=20183420")</f>
        <v>ICTVonline=20183420</v>
      </c>
    </row>
    <row r="3345" spans="1:22">
      <c r="A3345" s="3">
        <v>3344</v>
      </c>
      <c r="L3345" s="1" t="s">
        <v>2103</v>
      </c>
      <c r="N3345" s="1" t="s">
        <v>2104</v>
      </c>
      <c r="P3345" s="1" t="s">
        <v>2463</v>
      </c>
      <c r="Q3345" s="3">
        <v>0</v>
      </c>
      <c r="R3345" s="22" t="s">
        <v>3871</v>
      </c>
      <c r="S3345" s="22" t="s">
        <v>5097</v>
      </c>
      <c r="T3345" s="51">
        <v>28</v>
      </c>
      <c r="U3345" s="3" t="s">
        <v>5952</v>
      </c>
      <c r="V3345" s="41" t="str">
        <f>HYPERLINK("http://ictvonline.org/taxonomy/p/taxonomy-history?taxnode_id=20183421","ICTVonline=20183421")</f>
        <v>ICTVonline=20183421</v>
      </c>
    </row>
    <row r="3346" spans="1:22">
      <c r="A3346" s="3">
        <v>3345</v>
      </c>
      <c r="L3346" s="1" t="s">
        <v>2103</v>
      </c>
      <c r="N3346" s="1" t="s">
        <v>2104</v>
      </c>
      <c r="P3346" s="1" t="s">
        <v>2464</v>
      </c>
      <c r="Q3346" s="3">
        <v>0</v>
      </c>
      <c r="R3346" s="22" t="s">
        <v>3871</v>
      </c>
      <c r="S3346" s="22" t="s">
        <v>5097</v>
      </c>
      <c r="T3346" s="51">
        <v>28</v>
      </c>
      <c r="U3346" s="3" t="s">
        <v>5952</v>
      </c>
      <c r="V3346" s="41" t="str">
        <f>HYPERLINK("http://ictvonline.org/taxonomy/p/taxonomy-history?taxnode_id=20183422","ICTVonline=20183422")</f>
        <v>ICTVonline=20183422</v>
      </c>
    </row>
    <row r="3347" spans="1:22">
      <c r="A3347" s="3">
        <v>3346</v>
      </c>
      <c r="L3347" s="1" t="s">
        <v>2103</v>
      </c>
      <c r="N3347" s="1" t="s">
        <v>2104</v>
      </c>
      <c r="P3347" s="1" t="s">
        <v>1537</v>
      </c>
      <c r="Q3347" s="3">
        <v>0</v>
      </c>
      <c r="R3347" s="22" t="s">
        <v>3871</v>
      </c>
      <c r="S3347" s="22" t="s">
        <v>5097</v>
      </c>
      <c r="T3347" s="51">
        <v>24</v>
      </c>
      <c r="U3347" s="3" t="s">
        <v>5954</v>
      </c>
      <c r="V3347" s="41" t="str">
        <f>HYPERLINK("http://ictvonline.org/taxonomy/p/taxonomy-history?taxnode_id=20183423","ICTVonline=20183423")</f>
        <v>ICTVonline=20183423</v>
      </c>
    </row>
    <row r="3348" spans="1:22">
      <c r="A3348" s="3">
        <v>3347</v>
      </c>
      <c r="L3348" s="1" t="s">
        <v>2103</v>
      </c>
      <c r="N3348" s="1" t="s">
        <v>2104</v>
      </c>
      <c r="P3348" s="1" t="s">
        <v>465</v>
      </c>
      <c r="Q3348" s="3">
        <v>0</v>
      </c>
      <c r="R3348" s="22" t="s">
        <v>3871</v>
      </c>
      <c r="S3348" s="22" t="s">
        <v>5097</v>
      </c>
      <c r="T3348" s="51">
        <v>24</v>
      </c>
      <c r="U3348" s="3" t="s">
        <v>5959</v>
      </c>
      <c r="V3348" s="41" t="str">
        <f>HYPERLINK("http://ictvonline.org/taxonomy/p/taxonomy-history?taxnode_id=20183424","ICTVonline=20183424")</f>
        <v>ICTVonline=20183424</v>
      </c>
    </row>
    <row r="3349" spans="1:22">
      <c r="A3349" s="3">
        <v>3348</v>
      </c>
      <c r="L3349" s="1" t="s">
        <v>2103</v>
      </c>
      <c r="N3349" s="1" t="s">
        <v>2104</v>
      </c>
      <c r="P3349" s="1" t="s">
        <v>466</v>
      </c>
      <c r="Q3349" s="3">
        <v>0</v>
      </c>
      <c r="R3349" s="22" t="s">
        <v>3871</v>
      </c>
      <c r="S3349" s="22" t="s">
        <v>5097</v>
      </c>
      <c r="T3349" s="51">
        <v>22</v>
      </c>
      <c r="U3349" s="3" t="s">
        <v>5953</v>
      </c>
      <c r="V3349" s="41" t="str">
        <f>HYPERLINK("http://ictvonline.org/taxonomy/p/taxonomy-history?taxnode_id=20183425","ICTVonline=20183425")</f>
        <v>ICTVonline=20183425</v>
      </c>
    </row>
    <row r="3350" spans="1:22">
      <c r="A3350" s="3">
        <v>3349</v>
      </c>
      <c r="L3350" s="1" t="s">
        <v>2103</v>
      </c>
      <c r="N3350" s="1" t="s">
        <v>2104</v>
      </c>
      <c r="P3350" s="1" t="s">
        <v>2465</v>
      </c>
      <c r="Q3350" s="3">
        <v>0</v>
      </c>
      <c r="R3350" s="22" t="s">
        <v>3871</v>
      </c>
      <c r="S3350" s="22" t="s">
        <v>5097</v>
      </c>
      <c r="T3350" s="51">
        <v>28</v>
      </c>
      <c r="U3350" s="3" t="s">
        <v>5952</v>
      </c>
      <c r="V3350" s="41" t="str">
        <f>HYPERLINK("http://ictvonline.org/taxonomy/p/taxonomy-history?taxnode_id=20183426","ICTVonline=20183426")</f>
        <v>ICTVonline=20183426</v>
      </c>
    </row>
    <row r="3351" spans="1:22">
      <c r="A3351" s="3">
        <v>3350</v>
      </c>
      <c r="L3351" s="1" t="s">
        <v>2103</v>
      </c>
      <c r="N3351" s="1" t="s">
        <v>2104</v>
      </c>
      <c r="P3351" s="1" t="s">
        <v>2466</v>
      </c>
      <c r="Q3351" s="3">
        <v>0</v>
      </c>
      <c r="R3351" s="22" t="s">
        <v>3871</v>
      </c>
      <c r="S3351" s="22" t="s">
        <v>5097</v>
      </c>
      <c r="T3351" s="51">
        <v>28</v>
      </c>
      <c r="U3351" s="3" t="s">
        <v>5952</v>
      </c>
      <c r="V3351" s="41" t="str">
        <f>HYPERLINK("http://ictvonline.org/taxonomy/p/taxonomy-history?taxnode_id=20183427","ICTVonline=20183427")</f>
        <v>ICTVonline=20183427</v>
      </c>
    </row>
    <row r="3352" spans="1:22">
      <c r="A3352" s="3">
        <v>3351</v>
      </c>
      <c r="L3352" s="1" t="s">
        <v>2103</v>
      </c>
      <c r="N3352" s="1" t="s">
        <v>2104</v>
      </c>
      <c r="P3352" s="1" t="s">
        <v>448</v>
      </c>
      <c r="Q3352" s="3">
        <v>0</v>
      </c>
      <c r="R3352" s="22" t="s">
        <v>3871</v>
      </c>
      <c r="S3352" s="22" t="s">
        <v>5097</v>
      </c>
      <c r="T3352" s="51">
        <v>24</v>
      </c>
      <c r="U3352" s="3" t="s">
        <v>5955</v>
      </c>
      <c r="V3352" s="41" t="str">
        <f>HYPERLINK("http://ictvonline.org/taxonomy/p/taxonomy-history?taxnode_id=20183428","ICTVonline=20183428")</f>
        <v>ICTVonline=20183428</v>
      </c>
    </row>
    <row r="3353" spans="1:22">
      <c r="A3353" s="3">
        <v>3352</v>
      </c>
      <c r="L3353" s="1" t="s">
        <v>2103</v>
      </c>
      <c r="N3353" s="1" t="s">
        <v>2104</v>
      </c>
      <c r="P3353" s="1" t="s">
        <v>2467</v>
      </c>
      <c r="Q3353" s="3">
        <v>0</v>
      </c>
      <c r="R3353" s="22" t="s">
        <v>3871</v>
      </c>
      <c r="S3353" s="22" t="s">
        <v>5097</v>
      </c>
      <c r="T3353" s="51">
        <v>28</v>
      </c>
      <c r="U3353" s="3" t="s">
        <v>5952</v>
      </c>
      <c r="V3353" s="41" t="str">
        <f>HYPERLINK("http://ictvonline.org/taxonomy/p/taxonomy-history?taxnode_id=20183429","ICTVonline=20183429")</f>
        <v>ICTVonline=20183429</v>
      </c>
    </row>
    <row r="3354" spans="1:22">
      <c r="A3354" s="3">
        <v>3353</v>
      </c>
      <c r="L3354" s="1" t="s">
        <v>2103</v>
      </c>
      <c r="N3354" s="1" t="s">
        <v>2104</v>
      </c>
      <c r="P3354" s="1" t="s">
        <v>302</v>
      </c>
      <c r="Q3354" s="3">
        <v>0</v>
      </c>
      <c r="R3354" s="22" t="s">
        <v>3871</v>
      </c>
      <c r="S3354" s="22" t="s">
        <v>5097</v>
      </c>
      <c r="T3354" s="51">
        <v>24</v>
      </c>
      <c r="U3354" s="3" t="s">
        <v>5954</v>
      </c>
      <c r="V3354" s="41" t="str">
        <f>HYPERLINK("http://ictvonline.org/taxonomy/p/taxonomy-history?taxnode_id=20183430","ICTVonline=20183430")</f>
        <v>ICTVonline=20183430</v>
      </c>
    </row>
    <row r="3355" spans="1:22">
      <c r="A3355" s="3">
        <v>3354</v>
      </c>
      <c r="L3355" s="1" t="s">
        <v>2103</v>
      </c>
      <c r="N3355" s="1" t="s">
        <v>2104</v>
      </c>
      <c r="P3355" s="1" t="s">
        <v>306</v>
      </c>
      <c r="Q3355" s="3">
        <v>0</v>
      </c>
      <c r="R3355" s="22" t="s">
        <v>3871</v>
      </c>
      <c r="S3355" s="22" t="s">
        <v>5097</v>
      </c>
      <c r="T3355" s="51">
        <v>24</v>
      </c>
      <c r="U3355" s="3" t="s">
        <v>5954</v>
      </c>
      <c r="V3355" s="41" t="str">
        <f>HYPERLINK("http://ictvonline.org/taxonomy/p/taxonomy-history?taxnode_id=20183431","ICTVonline=20183431")</f>
        <v>ICTVonline=20183431</v>
      </c>
    </row>
    <row r="3356" spans="1:22">
      <c r="A3356" s="3">
        <v>3355</v>
      </c>
      <c r="L3356" s="1" t="s">
        <v>2103</v>
      </c>
      <c r="N3356" s="1" t="s">
        <v>2104</v>
      </c>
      <c r="P3356" s="1" t="s">
        <v>865</v>
      </c>
      <c r="Q3356" s="3">
        <v>0</v>
      </c>
      <c r="R3356" s="22" t="s">
        <v>3871</v>
      </c>
      <c r="S3356" s="22" t="s">
        <v>5108</v>
      </c>
      <c r="T3356" s="51">
        <v>24</v>
      </c>
      <c r="U3356" s="3" t="s">
        <v>5956</v>
      </c>
      <c r="V3356" s="41" t="str">
        <f>HYPERLINK("http://ictvonline.org/taxonomy/p/taxonomy-history?taxnode_id=20183432","ICTVonline=20183432")</f>
        <v>ICTVonline=20183432</v>
      </c>
    </row>
    <row r="3357" spans="1:22">
      <c r="A3357" s="3">
        <v>3356</v>
      </c>
      <c r="L3357" s="1" t="s">
        <v>2103</v>
      </c>
      <c r="N3357" s="1" t="s">
        <v>2104</v>
      </c>
      <c r="P3357" s="1" t="s">
        <v>1538</v>
      </c>
      <c r="Q3357" s="3">
        <v>0</v>
      </c>
      <c r="R3357" s="22" t="s">
        <v>3871</v>
      </c>
      <c r="S3357" s="22" t="s">
        <v>5097</v>
      </c>
      <c r="T3357" s="51">
        <v>24</v>
      </c>
      <c r="U3357" s="3" t="s">
        <v>5955</v>
      </c>
      <c r="V3357" s="41" t="str">
        <f>HYPERLINK("http://ictvonline.org/taxonomy/p/taxonomy-history?taxnode_id=20183433","ICTVonline=20183433")</f>
        <v>ICTVonline=20183433</v>
      </c>
    </row>
    <row r="3358" spans="1:22">
      <c r="A3358" s="3">
        <v>3357</v>
      </c>
      <c r="L3358" s="1" t="s">
        <v>2103</v>
      </c>
      <c r="N3358" s="1" t="s">
        <v>2104</v>
      </c>
      <c r="P3358" s="1" t="s">
        <v>1539</v>
      </c>
      <c r="Q3358" s="3">
        <v>0</v>
      </c>
      <c r="R3358" s="22" t="s">
        <v>3871</v>
      </c>
      <c r="S3358" s="22" t="s">
        <v>5097</v>
      </c>
      <c r="T3358" s="51">
        <v>22</v>
      </c>
      <c r="U3358" s="3" t="s">
        <v>5953</v>
      </c>
      <c r="V3358" s="41" t="str">
        <f>HYPERLINK("http://ictvonline.org/taxonomy/p/taxonomy-history?taxnode_id=20183434","ICTVonline=20183434")</f>
        <v>ICTVonline=20183434</v>
      </c>
    </row>
    <row r="3359" spans="1:22">
      <c r="A3359" s="3">
        <v>3358</v>
      </c>
      <c r="L3359" s="1" t="s">
        <v>2103</v>
      </c>
      <c r="N3359" s="1" t="s">
        <v>2104</v>
      </c>
      <c r="P3359" s="1" t="s">
        <v>3934</v>
      </c>
      <c r="Q3359" s="3">
        <v>0</v>
      </c>
      <c r="R3359" s="22" t="s">
        <v>3871</v>
      </c>
      <c r="S3359" s="22" t="s">
        <v>5097</v>
      </c>
      <c r="T3359" s="51">
        <v>30</v>
      </c>
      <c r="U3359" s="3" t="s">
        <v>5951</v>
      </c>
      <c r="V3359" s="41" t="str">
        <f>HYPERLINK("http://ictvonline.org/taxonomy/p/taxonomy-history?taxnode_id=20183435","ICTVonline=20183435")</f>
        <v>ICTVonline=20183435</v>
      </c>
    </row>
    <row r="3360" spans="1:22">
      <c r="A3360" s="3">
        <v>3359</v>
      </c>
      <c r="L3360" s="1" t="s">
        <v>2103</v>
      </c>
      <c r="N3360" s="1" t="s">
        <v>2104</v>
      </c>
      <c r="P3360" s="1" t="s">
        <v>1540</v>
      </c>
      <c r="Q3360" s="3">
        <v>0</v>
      </c>
      <c r="R3360" s="22" t="s">
        <v>3871</v>
      </c>
      <c r="S3360" s="22" t="s">
        <v>5097</v>
      </c>
      <c r="T3360" s="51">
        <v>24</v>
      </c>
      <c r="U3360" s="3" t="s">
        <v>5954</v>
      </c>
      <c r="V3360" s="41" t="str">
        <f>HYPERLINK("http://ictvonline.org/taxonomy/p/taxonomy-history?taxnode_id=20183436","ICTVonline=20183436")</f>
        <v>ICTVonline=20183436</v>
      </c>
    </row>
    <row r="3361" spans="1:22">
      <c r="A3361" s="3">
        <v>3360</v>
      </c>
      <c r="L3361" s="1" t="s">
        <v>2103</v>
      </c>
      <c r="N3361" s="1" t="s">
        <v>2104</v>
      </c>
      <c r="P3361" s="1" t="s">
        <v>1541</v>
      </c>
      <c r="Q3361" s="3">
        <v>0</v>
      </c>
      <c r="R3361" s="22" t="s">
        <v>3871</v>
      </c>
      <c r="S3361" s="22" t="s">
        <v>5097</v>
      </c>
      <c r="T3361" s="51">
        <v>22</v>
      </c>
      <c r="U3361" s="3" t="s">
        <v>5953</v>
      </c>
      <c r="V3361" s="41" t="str">
        <f>HYPERLINK("http://ictvonline.org/taxonomy/p/taxonomy-history?taxnode_id=20183437","ICTVonline=20183437")</f>
        <v>ICTVonline=20183437</v>
      </c>
    </row>
    <row r="3362" spans="1:22">
      <c r="A3362" s="3">
        <v>3361</v>
      </c>
      <c r="L3362" s="1" t="s">
        <v>2103</v>
      </c>
      <c r="N3362" s="1" t="s">
        <v>2104</v>
      </c>
      <c r="P3362" s="1" t="s">
        <v>1542</v>
      </c>
      <c r="Q3362" s="3">
        <v>0</v>
      </c>
      <c r="R3362" s="22" t="s">
        <v>3871</v>
      </c>
      <c r="S3362" s="22" t="s">
        <v>5097</v>
      </c>
      <c r="T3362" s="51">
        <v>24</v>
      </c>
      <c r="U3362" s="3" t="s">
        <v>5954</v>
      </c>
      <c r="V3362" s="41" t="str">
        <f>HYPERLINK("http://ictvonline.org/taxonomy/p/taxonomy-history?taxnode_id=20183438","ICTVonline=20183438")</f>
        <v>ICTVonline=20183438</v>
      </c>
    </row>
    <row r="3363" spans="1:22">
      <c r="A3363" s="3">
        <v>3362</v>
      </c>
      <c r="L3363" s="1" t="s">
        <v>2103</v>
      </c>
      <c r="N3363" s="1" t="s">
        <v>2104</v>
      </c>
      <c r="P3363" s="1" t="s">
        <v>2468</v>
      </c>
      <c r="Q3363" s="3">
        <v>0</v>
      </c>
      <c r="R3363" s="22" t="s">
        <v>3871</v>
      </c>
      <c r="S3363" s="22" t="s">
        <v>5097</v>
      </c>
      <c r="T3363" s="51">
        <v>28</v>
      </c>
      <c r="U3363" s="3" t="s">
        <v>5952</v>
      </c>
      <c r="V3363" s="41" t="str">
        <f>HYPERLINK("http://ictvonline.org/taxonomy/p/taxonomy-history?taxnode_id=20183439","ICTVonline=20183439")</f>
        <v>ICTVonline=20183439</v>
      </c>
    </row>
    <row r="3364" spans="1:22">
      <c r="A3364" s="3">
        <v>3363</v>
      </c>
      <c r="L3364" s="1" t="s">
        <v>2103</v>
      </c>
      <c r="N3364" s="1" t="s">
        <v>2104</v>
      </c>
      <c r="P3364" s="1" t="s">
        <v>2469</v>
      </c>
      <c r="Q3364" s="3">
        <v>0</v>
      </c>
      <c r="R3364" s="22" t="s">
        <v>3871</v>
      </c>
      <c r="S3364" s="22" t="s">
        <v>5097</v>
      </c>
      <c r="T3364" s="51">
        <v>28</v>
      </c>
      <c r="U3364" s="3" t="s">
        <v>5952</v>
      </c>
      <c r="V3364" s="41" t="str">
        <f>HYPERLINK("http://ictvonline.org/taxonomy/p/taxonomy-history?taxnode_id=20183440","ICTVonline=20183440")</f>
        <v>ICTVonline=20183440</v>
      </c>
    </row>
    <row r="3365" spans="1:22">
      <c r="A3365" s="3">
        <v>3364</v>
      </c>
      <c r="L3365" s="1" t="s">
        <v>2103</v>
      </c>
      <c r="N3365" s="1" t="s">
        <v>2104</v>
      </c>
      <c r="P3365" s="1" t="s">
        <v>2470</v>
      </c>
      <c r="Q3365" s="3">
        <v>0</v>
      </c>
      <c r="R3365" s="22" t="s">
        <v>3871</v>
      </c>
      <c r="S3365" s="22" t="s">
        <v>5097</v>
      </c>
      <c r="T3365" s="51">
        <v>28</v>
      </c>
      <c r="U3365" s="3" t="s">
        <v>5952</v>
      </c>
      <c r="V3365" s="41" t="str">
        <f>HYPERLINK("http://ictvonline.org/taxonomy/p/taxonomy-history?taxnode_id=20183441","ICTVonline=20183441")</f>
        <v>ICTVonline=20183441</v>
      </c>
    </row>
    <row r="3366" spans="1:22">
      <c r="A3366" s="3">
        <v>3365</v>
      </c>
      <c r="L3366" s="1" t="s">
        <v>2103</v>
      </c>
      <c r="N3366" s="1" t="s">
        <v>2104</v>
      </c>
      <c r="P3366" s="1" t="s">
        <v>1543</v>
      </c>
      <c r="Q3366" s="3">
        <v>0</v>
      </c>
      <c r="R3366" s="22" t="s">
        <v>3871</v>
      </c>
      <c r="S3366" s="22" t="s">
        <v>5100</v>
      </c>
      <c r="T3366" s="51">
        <v>23</v>
      </c>
      <c r="U3366" s="3" t="s">
        <v>5872</v>
      </c>
      <c r="V3366" s="41" t="str">
        <f>HYPERLINK("http://ictvonline.org/taxonomy/p/taxonomy-history?taxnode_id=20183442","ICTVonline=20183442")</f>
        <v>ICTVonline=20183442</v>
      </c>
    </row>
    <row r="3367" spans="1:22">
      <c r="A3367" s="3">
        <v>3366</v>
      </c>
      <c r="L3367" s="1" t="s">
        <v>2103</v>
      </c>
      <c r="N3367" s="1" t="s">
        <v>2104</v>
      </c>
      <c r="P3367" s="1" t="s">
        <v>3935</v>
      </c>
      <c r="Q3367" s="3">
        <v>0</v>
      </c>
      <c r="R3367" s="22" t="s">
        <v>3871</v>
      </c>
      <c r="S3367" s="22" t="s">
        <v>5097</v>
      </c>
      <c r="T3367" s="51">
        <v>30</v>
      </c>
      <c r="U3367" s="3" t="s">
        <v>5951</v>
      </c>
      <c r="V3367" s="41" t="str">
        <f>HYPERLINK("http://ictvonline.org/taxonomy/p/taxonomy-history?taxnode_id=20183443","ICTVonline=20183443")</f>
        <v>ICTVonline=20183443</v>
      </c>
    </row>
    <row r="3368" spans="1:22">
      <c r="A3368" s="3">
        <v>3367</v>
      </c>
      <c r="L3368" s="1" t="s">
        <v>2103</v>
      </c>
      <c r="N3368" s="1" t="s">
        <v>2104</v>
      </c>
      <c r="P3368" s="1" t="s">
        <v>3936</v>
      </c>
      <c r="Q3368" s="3">
        <v>0</v>
      </c>
      <c r="R3368" s="22" t="s">
        <v>3871</v>
      </c>
      <c r="S3368" s="22" t="s">
        <v>5097</v>
      </c>
      <c r="T3368" s="51">
        <v>30</v>
      </c>
      <c r="U3368" s="3" t="s">
        <v>5951</v>
      </c>
      <c r="V3368" s="41" t="str">
        <f>HYPERLINK("http://ictvonline.org/taxonomy/p/taxonomy-history?taxnode_id=20183444","ICTVonline=20183444")</f>
        <v>ICTVonline=20183444</v>
      </c>
    </row>
    <row r="3369" spans="1:22">
      <c r="A3369" s="3">
        <v>3368</v>
      </c>
      <c r="L3369" s="1" t="s">
        <v>2103</v>
      </c>
      <c r="N3369" s="1" t="s">
        <v>2104</v>
      </c>
      <c r="P3369" s="1" t="s">
        <v>2471</v>
      </c>
      <c r="Q3369" s="3">
        <v>0</v>
      </c>
      <c r="R3369" s="22" t="s">
        <v>3871</v>
      </c>
      <c r="S3369" s="22" t="s">
        <v>5097</v>
      </c>
      <c r="T3369" s="51">
        <v>28</v>
      </c>
      <c r="U3369" s="3" t="s">
        <v>5952</v>
      </c>
      <c r="V3369" s="41" t="str">
        <f>HYPERLINK("http://ictvonline.org/taxonomy/p/taxonomy-history?taxnode_id=20183445","ICTVonline=20183445")</f>
        <v>ICTVonline=20183445</v>
      </c>
    </row>
    <row r="3370" spans="1:22">
      <c r="A3370" s="3">
        <v>3369</v>
      </c>
      <c r="L3370" s="1" t="s">
        <v>2103</v>
      </c>
      <c r="N3370" s="1" t="s">
        <v>2104</v>
      </c>
      <c r="P3370" s="1" t="s">
        <v>2472</v>
      </c>
      <c r="Q3370" s="3">
        <v>0</v>
      </c>
      <c r="R3370" s="22" t="s">
        <v>3871</v>
      </c>
      <c r="S3370" s="22" t="s">
        <v>5097</v>
      </c>
      <c r="T3370" s="51">
        <v>28</v>
      </c>
      <c r="U3370" s="3" t="s">
        <v>5952</v>
      </c>
      <c r="V3370" s="41" t="str">
        <f>HYPERLINK("http://ictvonline.org/taxonomy/p/taxonomy-history?taxnode_id=20183446","ICTVonline=20183446")</f>
        <v>ICTVonline=20183446</v>
      </c>
    </row>
    <row r="3371" spans="1:22">
      <c r="A3371" s="3">
        <v>3370</v>
      </c>
      <c r="L3371" s="1" t="s">
        <v>2103</v>
      </c>
      <c r="N3371" s="1" t="s">
        <v>2104</v>
      </c>
      <c r="P3371" s="1" t="s">
        <v>3937</v>
      </c>
      <c r="Q3371" s="3">
        <v>0</v>
      </c>
      <c r="R3371" s="22" t="s">
        <v>3871</v>
      </c>
      <c r="S3371" s="22" t="s">
        <v>5097</v>
      </c>
      <c r="T3371" s="51">
        <v>30</v>
      </c>
      <c r="U3371" s="3" t="s">
        <v>5951</v>
      </c>
      <c r="V3371" s="41" t="str">
        <f>HYPERLINK("http://ictvonline.org/taxonomy/p/taxonomy-history?taxnode_id=20183447","ICTVonline=20183447")</f>
        <v>ICTVonline=20183447</v>
      </c>
    </row>
    <row r="3372" spans="1:22">
      <c r="A3372" s="3">
        <v>3371</v>
      </c>
      <c r="L3372" s="1" t="s">
        <v>2103</v>
      </c>
      <c r="N3372" s="1" t="s">
        <v>2104</v>
      </c>
      <c r="P3372" s="1" t="s">
        <v>3938</v>
      </c>
      <c r="Q3372" s="3">
        <v>0</v>
      </c>
      <c r="R3372" s="22" t="s">
        <v>3871</v>
      </c>
      <c r="S3372" s="22" t="s">
        <v>5097</v>
      </c>
      <c r="T3372" s="51">
        <v>30</v>
      </c>
      <c r="U3372" s="3" t="s">
        <v>5951</v>
      </c>
      <c r="V3372" s="41" t="str">
        <f>HYPERLINK("http://ictvonline.org/taxonomy/p/taxonomy-history?taxnode_id=20183448","ICTVonline=20183448")</f>
        <v>ICTVonline=20183448</v>
      </c>
    </row>
    <row r="3373" spans="1:22">
      <c r="A3373" s="3">
        <v>3372</v>
      </c>
      <c r="L3373" s="1" t="s">
        <v>2103</v>
      </c>
      <c r="N3373" s="1" t="s">
        <v>2104</v>
      </c>
      <c r="P3373" s="1" t="s">
        <v>1544</v>
      </c>
      <c r="Q3373" s="3">
        <v>0</v>
      </c>
      <c r="R3373" s="22" t="s">
        <v>3871</v>
      </c>
      <c r="S3373" s="22" t="s">
        <v>5097</v>
      </c>
      <c r="T3373" s="51">
        <v>22</v>
      </c>
      <c r="U3373" s="3" t="s">
        <v>5971</v>
      </c>
      <c r="V3373" s="41" t="str">
        <f>HYPERLINK("http://ictvonline.org/taxonomy/p/taxonomy-history?taxnode_id=20183449","ICTVonline=20183449")</f>
        <v>ICTVonline=20183449</v>
      </c>
    </row>
    <row r="3374" spans="1:22">
      <c r="A3374" s="3">
        <v>3373</v>
      </c>
      <c r="L3374" s="1" t="s">
        <v>2103</v>
      </c>
      <c r="N3374" s="1" t="s">
        <v>2104</v>
      </c>
      <c r="P3374" s="1" t="s">
        <v>1545</v>
      </c>
      <c r="Q3374" s="3">
        <v>0</v>
      </c>
      <c r="R3374" s="22" t="s">
        <v>3871</v>
      </c>
      <c r="S3374" s="22" t="s">
        <v>5097</v>
      </c>
      <c r="T3374" s="51">
        <v>24</v>
      </c>
      <c r="U3374" s="3" t="s">
        <v>5955</v>
      </c>
      <c r="V3374" s="41" t="str">
        <f>HYPERLINK("http://ictvonline.org/taxonomy/p/taxonomy-history?taxnode_id=20183450","ICTVonline=20183450")</f>
        <v>ICTVonline=20183450</v>
      </c>
    </row>
    <row r="3375" spans="1:22">
      <c r="A3375" s="3">
        <v>3374</v>
      </c>
      <c r="L3375" s="1" t="s">
        <v>2103</v>
      </c>
      <c r="N3375" s="1" t="s">
        <v>2104</v>
      </c>
      <c r="P3375" s="1" t="s">
        <v>3939</v>
      </c>
      <c r="Q3375" s="3">
        <v>0</v>
      </c>
      <c r="R3375" s="22" t="s">
        <v>3871</v>
      </c>
      <c r="S3375" s="22" t="s">
        <v>5097</v>
      </c>
      <c r="T3375" s="51">
        <v>30</v>
      </c>
      <c r="U3375" s="3" t="s">
        <v>5951</v>
      </c>
      <c r="V3375" s="41" t="str">
        <f>HYPERLINK("http://ictvonline.org/taxonomy/p/taxonomy-history?taxnode_id=20183451","ICTVonline=20183451")</f>
        <v>ICTVonline=20183451</v>
      </c>
    </row>
    <row r="3376" spans="1:22">
      <c r="A3376" s="3">
        <v>3375</v>
      </c>
      <c r="L3376" s="1" t="s">
        <v>2103</v>
      </c>
      <c r="N3376" s="1" t="s">
        <v>2104</v>
      </c>
      <c r="P3376" s="1" t="s">
        <v>1546</v>
      </c>
      <c r="Q3376" s="3">
        <v>0</v>
      </c>
      <c r="R3376" s="22" t="s">
        <v>3871</v>
      </c>
      <c r="S3376" s="22" t="s">
        <v>5097</v>
      </c>
      <c r="T3376" s="51">
        <v>24</v>
      </c>
      <c r="U3376" s="3" t="s">
        <v>5955</v>
      </c>
      <c r="V3376" s="41" t="str">
        <f>HYPERLINK("http://ictvonline.org/taxonomy/p/taxonomy-history?taxnode_id=20183452","ICTVonline=20183452")</f>
        <v>ICTVonline=20183452</v>
      </c>
    </row>
    <row r="3377" spans="1:22">
      <c r="A3377" s="3">
        <v>3376</v>
      </c>
      <c r="L3377" s="1" t="s">
        <v>2103</v>
      </c>
      <c r="N3377" s="1" t="s">
        <v>2104</v>
      </c>
      <c r="P3377" s="1" t="s">
        <v>1547</v>
      </c>
      <c r="Q3377" s="3">
        <v>0</v>
      </c>
      <c r="R3377" s="22" t="s">
        <v>3871</v>
      </c>
      <c r="S3377" s="22" t="s">
        <v>5097</v>
      </c>
      <c r="T3377" s="51">
        <v>24</v>
      </c>
      <c r="U3377" s="3" t="s">
        <v>5955</v>
      </c>
      <c r="V3377" s="41" t="str">
        <f>HYPERLINK("http://ictvonline.org/taxonomy/p/taxonomy-history?taxnode_id=20183453","ICTVonline=20183453")</f>
        <v>ICTVonline=20183453</v>
      </c>
    </row>
    <row r="3378" spans="1:22">
      <c r="A3378" s="3">
        <v>3377</v>
      </c>
      <c r="L3378" s="1" t="s">
        <v>2103</v>
      </c>
      <c r="N3378" s="1" t="s">
        <v>2104</v>
      </c>
      <c r="P3378" s="1" t="s">
        <v>1548</v>
      </c>
      <c r="Q3378" s="3">
        <v>0</v>
      </c>
      <c r="R3378" s="22" t="s">
        <v>3871</v>
      </c>
      <c r="S3378" s="22" t="s">
        <v>5097</v>
      </c>
      <c r="T3378" s="51">
        <v>22</v>
      </c>
      <c r="U3378" s="3" t="s">
        <v>5953</v>
      </c>
      <c r="V3378" s="41" t="str">
        <f>HYPERLINK("http://ictvonline.org/taxonomy/p/taxonomy-history?taxnode_id=20183454","ICTVonline=20183454")</f>
        <v>ICTVonline=20183454</v>
      </c>
    </row>
    <row r="3379" spans="1:22">
      <c r="A3379" s="3">
        <v>3378</v>
      </c>
      <c r="L3379" s="1" t="s">
        <v>2103</v>
      </c>
      <c r="N3379" s="1" t="s">
        <v>2104</v>
      </c>
      <c r="P3379" s="1" t="s">
        <v>1549</v>
      </c>
      <c r="Q3379" s="3">
        <v>0</v>
      </c>
      <c r="R3379" s="22" t="s">
        <v>3871</v>
      </c>
      <c r="S3379" s="22" t="s">
        <v>5097</v>
      </c>
      <c r="T3379" s="51">
        <v>23</v>
      </c>
      <c r="U3379" s="3" t="s">
        <v>5872</v>
      </c>
      <c r="V3379" s="41" t="str">
        <f>HYPERLINK("http://ictvonline.org/taxonomy/p/taxonomy-history?taxnode_id=20183455","ICTVonline=20183455")</f>
        <v>ICTVonline=20183455</v>
      </c>
    </row>
    <row r="3380" spans="1:22">
      <c r="A3380" s="3">
        <v>3379</v>
      </c>
      <c r="L3380" s="1" t="s">
        <v>2103</v>
      </c>
      <c r="N3380" s="1" t="s">
        <v>2104</v>
      </c>
      <c r="P3380" s="1" t="s">
        <v>3940</v>
      </c>
      <c r="Q3380" s="3">
        <v>0</v>
      </c>
      <c r="R3380" s="22" t="s">
        <v>3871</v>
      </c>
      <c r="S3380" s="22" t="s">
        <v>5097</v>
      </c>
      <c r="T3380" s="51">
        <v>30</v>
      </c>
      <c r="U3380" s="3" t="s">
        <v>5951</v>
      </c>
      <c r="V3380" s="41" t="str">
        <f>HYPERLINK("http://ictvonline.org/taxonomy/p/taxonomy-history?taxnode_id=20183456","ICTVonline=20183456")</f>
        <v>ICTVonline=20183456</v>
      </c>
    </row>
    <row r="3381" spans="1:22">
      <c r="A3381" s="3">
        <v>3380</v>
      </c>
      <c r="L3381" s="1" t="s">
        <v>2103</v>
      </c>
      <c r="N3381" s="1" t="s">
        <v>2104</v>
      </c>
      <c r="P3381" s="1" t="s">
        <v>1550</v>
      </c>
      <c r="Q3381" s="3">
        <v>0</v>
      </c>
      <c r="R3381" s="22" t="s">
        <v>3871</v>
      </c>
      <c r="S3381" s="22" t="s">
        <v>5100</v>
      </c>
      <c r="T3381" s="51">
        <v>23</v>
      </c>
      <c r="U3381" s="3" t="s">
        <v>5872</v>
      </c>
      <c r="V3381" s="41" t="str">
        <f>HYPERLINK("http://ictvonline.org/taxonomy/p/taxonomy-history?taxnode_id=20183457","ICTVonline=20183457")</f>
        <v>ICTVonline=20183457</v>
      </c>
    </row>
    <row r="3382" spans="1:22">
      <c r="A3382" s="3">
        <v>3381</v>
      </c>
      <c r="L3382" s="1" t="s">
        <v>2103</v>
      </c>
      <c r="N3382" s="1" t="s">
        <v>2104</v>
      </c>
      <c r="P3382" s="1" t="s">
        <v>2473</v>
      </c>
      <c r="Q3382" s="3">
        <v>0</v>
      </c>
      <c r="R3382" s="22" t="s">
        <v>3871</v>
      </c>
      <c r="S3382" s="22" t="s">
        <v>5097</v>
      </c>
      <c r="T3382" s="51">
        <v>28</v>
      </c>
      <c r="U3382" s="3" t="s">
        <v>5952</v>
      </c>
      <c r="V3382" s="41" t="str">
        <f>HYPERLINK("http://ictvonline.org/taxonomy/p/taxonomy-history?taxnode_id=20183458","ICTVonline=20183458")</f>
        <v>ICTVonline=20183458</v>
      </c>
    </row>
    <row r="3383" spans="1:22">
      <c r="A3383" s="3">
        <v>3382</v>
      </c>
      <c r="L3383" s="1" t="s">
        <v>2103</v>
      </c>
      <c r="N3383" s="1" t="s">
        <v>2104</v>
      </c>
      <c r="P3383" s="1" t="s">
        <v>1551</v>
      </c>
      <c r="Q3383" s="3">
        <v>0</v>
      </c>
      <c r="R3383" s="22" t="s">
        <v>3871</v>
      </c>
      <c r="S3383" s="22" t="s">
        <v>5097</v>
      </c>
      <c r="T3383" s="51">
        <v>24</v>
      </c>
      <c r="U3383" s="3" t="s">
        <v>5959</v>
      </c>
      <c r="V3383" s="41" t="str">
        <f>HYPERLINK("http://ictvonline.org/taxonomy/p/taxonomy-history?taxnode_id=20183459","ICTVonline=20183459")</f>
        <v>ICTVonline=20183459</v>
      </c>
    </row>
    <row r="3384" spans="1:22">
      <c r="A3384" s="3">
        <v>3383</v>
      </c>
      <c r="L3384" s="1" t="s">
        <v>2103</v>
      </c>
      <c r="N3384" s="1" t="s">
        <v>2104</v>
      </c>
      <c r="P3384" s="1" t="s">
        <v>1552</v>
      </c>
      <c r="Q3384" s="3">
        <v>0</v>
      </c>
      <c r="R3384" s="22" t="s">
        <v>3871</v>
      </c>
      <c r="S3384" s="22" t="s">
        <v>5097</v>
      </c>
      <c r="T3384" s="51">
        <v>22</v>
      </c>
      <c r="U3384" s="3" t="s">
        <v>5953</v>
      </c>
      <c r="V3384" s="41" t="str">
        <f>HYPERLINK("http://ictvonline.org/taxonomy/p/taxonomy-history?taxnode_id=20183460","ICTVonline=20183460")</f>
        <v>ICTVonline=20183460</v>
      </c>
    </row>
    <row r="3385" spans="1:22">
      <c r="A3385" s="3">
        <v>3384</v>
      </c>
      <c r="L3385" s="1" t="s">
        <v>2103</v>
      </c>
      <c r="N3385" s="1" t="s">
        <v>2104</v>
      </c>
      <c r="P3385" s="1" t="s">
        <v>1553</v>
      </c>
      <c r="Q3385" s="3">
        <v>0</v>
      </c>
      <c r="R3385" s="22" t="s">
        <v>3871</v>
      </c>
      <c r="S3385" s="22" t="s">
        <v>5108</v>
      </c>
      <c r="T3385" s="51">
        <v>24</v>
      </c>
      <c r="U3385" s="3" t="s">
        <v>5956</v>
      </c>
      <c r="V3385" s="41" t="str">
        <f>HYPERLINK("http://ictvonline.org/taxonomy/p/taxonomy-history?taxnode_id=20183461","ICTVonline=20183461")</f>
        <v>ICTVonline=20183461</v>
      </c>
    </row>
    <row r="3386" spans="1:22">
      <c r="A3386" s="3">
        <v>3385</v>
      </c>
      <c r="L3386" s="1" t="s">
        <v>2103</v>
      </c>
      <c r="N3386" s="1" t="s">
        <v>2104</v>
      </c>
      <c r="P3386" s="1" t="s">
        <v>2474</v>
      </c>
      <c r="Q3386" s="3">
        <v>0</v>
      </c>
      <c r="R3386" s="22" t="s">
        <v>3871</v>
      </c>
      <c r="S3386" s="22" t="s">
        <v>5097</v>
      </c>
      <c r="T3386" s="51">
        <v>28</v>
      </c>
      <c r="U3386" s="3" t="s">
        <v>5952</v>
      </c>
      <c r="V3386" s="41" t="str">
        <f>HYPERLINK("http://ictvonline.org/taxonomy/p/taxonomy-history?taxnode_id=20183462","ICTVonline=20183462")</f>
        <v>ICTVonline=20183462</v>
      </c>
    </row>
    <row r="3387" spans="1:22">
      <c r="A3387" s="3">
        <v>3386</v>
      </c>
      <c r="L3387" s="1" t="s">
        <v>2103</v>
      </c>
      <c r="N3387" s="1" t="s">
        <v>2104</v>
      </c>
      <c r="P3387" s="1" t="s">
        <v>2475</v>
      </c>
      <c r="Q3387" s="3">
        <v>0</v>
      </c>
      <c r="R3387" s="22" t="s">
        <v>3871</v>
      </c>
      <c r="S3387" s="22" t="s">
        <v>5097</v>
      </c>
      <c r="T3387" s="51">
        <v>28</v>
      </c>
      <c r="U3387" s="3" t="s">
        <v>5952</v>
      </c>
      <c r="V3387" s="41" t="str">
        <f>HYPERLINK("http://ictvonline.org/taxonomy/p/taxonomy-history?taxnode_id=20183463","ICTVonline=20183463")</f>
        <v>ICTVonline=20183463</v>
      </c>
    </row>
    <row r="3388" spans="1:22">
      <c r="A3388" s="3">
        <v>3387</v>
      </c>
      <c r="L3388" s="1" t="s">
        <v>2103</v>
      </c>
      <c r="N3388" s="1" t="s">
        <v>2104</v>
      </c>
      <c r="P3388" s="1" t="s">
        <v>2476</v>
      </c>
      <c r="Q3388" s="3">
        <v>0</v>
      </c>
      <c r="R3388" s="22" t="s">
        <v>3871</v>
      </c>
      <c r="S3388" s="22" t="s">
        <v>5097</v>
      </c>
      <c r="T3388" s="51">
        <v>28</v>
      </c>
      <c r="U3388" s="3" t="s">
        <v>5952</v>
      </c>
      <c r="V3388" s="41" t="str">
        <f>HYPERLINK("http://ictvonline.org/taxonomy/p/taxonomy-history?taxnode_id=20183464","ICTVonline=20183464")</f>
        <v>ICTVonline=20183464</v>
      </c>
    </row>
    <row r="3389" spans="1:22">
      <c r="A3389" s="3">
        <v>3388</v>
      </c>
      <c r="L3389" s="1" t="s">
        <v>2103</v>
      </c>
      <c r="N3389" s="1" t="s">
        <v>2104</v>
      </c>
      <c r="P3389" s="1" t="s">
        <v>1554</v>
      </c>
      <c r="Q3389" s="3">
        <v>0</v>
      </c>
      <c r="R3389" s="22" t="s">
        <v>3871</v>
      </c>
      <c r="S3389" s="22" t="s">
        <v>5097</v>
      </c>
      <c r="T3389" s="51">
        <v>24</v>
      </c>
      <c r="U3389" s="3" t="s">
        <v>5954</v>
      </c>
      <c r="V3389" s="41" t="str">
        <f>HYPERLINK("http://ictvonline.org/taxonomy/p/taxonomy-history?taxnode_id=20183465","ICTVonline=20183465")</f>
        <v>ICTVonline=20183465</v>
      </c>
    </row>
    <row r="3390" spans="1:22">
      <c r="A3390" s="3">
        <v>3389</v>
      </c>
      <c r="L3390" s="1" t="s">
        <v>2103</v>
      </c>
      <c r="N3390" s="1" t="s">
        <v>2104</v>
      </c>
      <c r="P3390" s="1" t="s">
        <v>1555</v>
      </c>
      <c r="Q3390" s="3">
        <v>0</v>
      </c>
      <c r="R3390" s="22" t="s">
        <v>3871</v>
      </c>
      <c r="S3390" s="22" t="s">
        <v>5097</v>
      </c>
      <c r="T3390" s="51">
        <v>22</v>
      </c>
      <c r="U3390" s="3" t="s">
        <v>5953</v>
      </c>
      <c r="V3390" s="41" t="str">
        <f>HYPERLINK("http://ictvonline.org/taxonomy/p/taxonomy-history?taxnode_id=20183466","ICTVonline=20183466")</f>
        <v>ICTVonline=20183466</v>
      </c>
    </row>
    <row r="3391" spans="1:22">
      <c r="A3391" s="3">
        <v>3390</v>
      </c>
      <c r="L3391" s="1" t="s">
        <v>2103</v>
      </c>
      <c r="N3391" s="1" t="s">
        <v>2104</v>
      </c>
      <c r="P3391" s="1" t="s">
        <v>2477</v>
      </c>
      <c r="Q3391" s="3">
        <v>0</v>
      </c>
      <c r="R3391" s="22" t="s">
        <v>3871</v>
      </c>
      <c r="S3391" s="22" t="s">
        <v>5097</v>
      </c>
      <c r="T3391" s="51">
        <v>28</v>
      </c>
      <c r="U3391" s="3" t="s">
        <v>5952</v>
      </c>
      <c r="V3391" s="41" t="str">
        <f>HYPERLINK("http://ictvonline.org/taxonomy/p/taxonomy-history?taxnode_id=20183467","ICTVonline=20183467")</f>
        <v>ICTVonline=20183467</v>
      </c>
    </row>
    <row r="3392" spans="1:22">
      <c r="A3392" s="3">
        <v>3391</v>
      </c>
      <c r="L3392" s="1" t="s">
        <v>2103</v>
      </c>
      <c r="N3392" s="1" t="s">
        <v>2104</v>
      </c>
      <c r="P3392" s="1" t="s">
        <v>1873</v>
      </c>
      <c r="Q3392" s="3">
        <v>0</v>
      </c>
      <c r="R3392" s="22" t="s">
        <v>3871</v>
      </c>
      <c r="S3392" s="22" t="s">
        <v>5100</v>
      </c>
      <c r="T3392" s="51">
        <v>23</v>
      </c>
      <c r="U3392" s="3" t="s">
        <v>5872</v>
      </c>
      <c r="V3392" s="41" t="str">
        <f>HYPERLINK("http://ictvonline.org/taxonomy/p/taxonomy-history?taxnode_id=20183468","ICTVonline=20183468")</f>
        <v>ICTVonline=20183468</v>
      </c>
    </row>
    <row r="3393" spans="1:22">
      <c r="A3393" s="3">
        <v>3392</v>
      </c>
      <c r="L3393" s="1" t="s">
        <v>2103</v>
      </c>
      <c r="N3393" s="1" t="s">
        <v>2104</v>
      </c>
      <c r="P3393" s="1" t="s">
        <v>1874</v>
      </c>
      <c r="Q3393" s="3">
        <v>0</v>
      </c>
      <c r="R3393" s="22" t="s">
        <v>3871</v>
      </c>
      <c r="S3393" s="22" t="s">
        <v>5099</v>
      </c>
      <c r="T3393" s="51">
        <v>16</v>
      </c>
      <c r="U3393" s="3" t="s">
        <v>5884</v>
      </c>
      <c r="V3393" s="41" t="str">
        <f>HYPERLINK("http://ictvonline.org/taxonomy/p/taxonomy-history?taxnode_id=20183469","ICTVonline=20183469")</f>
        <v>ICTVonline=20183469</v>
      </c>
    </row>
    <row r="3394" spans="1:22">
      <c r="A3394" s="3">
        <v>3393</v>
      </c>
      <c r="L3394" s="1" t="s">
        <v>2103</v>
      </c>
      <c r="N3394" s="1" t="s">
        <v>2104</v>
      </c>
      <c r="P3394" s="1" t="s">
        <v>6017</v>
      </c>
      <c r="Q3394" s="3">
        <v>0</v>
      </c>
      <c r="R3394" s="22" t="s">
        <v>3871</v>
      </c>
      <c r="S3394" s="22" t="s">
        <v>5097</v>
      </c>
      <c r="T3394" s="51">
        <v>32</v>
      </c>
      <c r="U3394" s="3" t="s">
        <v>5958</v>
      </c>
      <c r="V3394" s="41" t="str">
        <f>HYPERLINK("http://ictvonline.org/taxonomy/p/taxonomy-history?taxnode_id=20185839","ICTVonline=20185839")</f>
        <v>ICTVonline=20185839</v>
      </c>
    </row>
    <row r="3395" spans="1:22">
      <c r="A3395" s="3">
        <v>3394</v>
      </c>
      <c r="L3395" s="1" t="s">
        <v>2103</v>
      </c>
      <c r="N3395" s="1" t="s">
        <v>2104</v>
      </c>
      <c r="P3395" s="1" t="s">
        <v>1875</v>
      </c>
      <c r="Q3395" s="3">
        <v>0</v>
      </c>
      <c r="R3395" s="22" t="s">
        <v>3871</v>
      </c>
      <c r="S3395" s="22" t="s">
        <v>5097</v>
      </c>
      <c r="T3395" s="51">
        <v>22</v>
      </c>
      <c r="U3395" s="3" t="s">
        <v>5953</v>
      </c>
      <c r="V3395" s="41" t="str">
        <f>HYPERLINK("http://ictvonline.org/taxonomy/p/taxonomy-history?taxnode_id=20183470","ICTVonline=20183470")</f>
        <v>ICTVonline=20183470</v>
      </c>
    </row>
    <row r="3396" spans="1:22">
      <c r="A3396" s="3">
        <v>3395</v>
      </c>
      <c r="L3396" s="1" t="s">
        <v>2103</v>
      </c>
      <c r="N3396" s="1" t="s">
        <v>2104</v>
      </c>
      <c r="P3396" s="1" t="s">
        <v>2478</v>
      </c>
      <c r="Q3396" s="3">
        <v>0</v>
      </c>
      <c r="R3396" s="22" t="s">
        <v>3871</v>
      </c>
      <c r="S3396" s="22" t="s">
        <v>5097</v>
      </c>
      <c r="T3396" s="51">
        <v>28</v>
      </c>
      <c r="U3396" s="3" t="s">
        <v>5952</v>
      </c>
      <c r="V3396" s="41" t="str">
        <f>HYPERLINK("http://ictvonline.org/taxonomy/p/taxonomy-history?taxnode_id=20183471","ICTVonline=20183471")</f>
        <v>ICTVonline=20183471</v>
      </c>
    </row>
    <row r="3397" spans="1:22">
      <c r="A3397" s="3">
        <v>3396</v>
      </c>
      <c r="L3397" s="1" t="s">
        <v>2103</v>
      </c>
      <c r="N3397" s="1" t="s">
        <v>2104</v>
      </c>
      <c r="P3397" s="1" t="s">
        <v>1876</v>
      </c>
      <c r="Q3397" s="3">
        <v>0</v>
      </c>
      <c r="R3397" s="22" t="s">
        <v>3871</v>
      </c>
      <c r="S3397" s="22" t="s">
        <v>5097</v>
      </c>
      <c r="T3397" s="51">
        <v>17</v>
      </c>
      <c r="U3397" s="3" t="s">
        <v>5823</v>
      </c>
      <c r="V3397" s="41" t="str">
        <f>HYPERLINK("http://ictvonline.org/taxonomy/p/taxonomy-history?taxnode_id=20183472","ICTVonline=20183472")</f>
        <v>ICTVonline=20183472</v>
      </c>
    </row>
    <row r="3398" spans="1:22">
      <c r="A3398" s="3">
        <v>3397</v>
      </c>
      <c r="L3398" s="1" t="s">
        <v>2103</v>
      </c>
      <c r="N3398" s="1" t="s">
        <v>2104</v>
      </c>
      <c r="P3398" s="1" t="s">
        <v>1877</v>
      </c>
      <c r="Q3398" s="3">
        <v>0</v>
      </c>
      <c r="R3398" s="22" t="s">
        <v>3871</v>
      </c>
      <c r="S3398" s="22" t="s">
        <v>5097</v>
      </c>
      <c r="T3398" s="51">
        <v>22</v>
      </c>
      <c r="U3398" s="3" t="s">
        <v>5953</v>
      </c>
      <c r="V3398" s="41" t="str">
        <f>HYPERLINK("http://ictvonline.org/taxonomy/p/taxonomy-history?taxnode_id=20183473","ICTVonline=20183473")</f>
        <v>ICTVonline=20183473</v>
      </c>
    </row>
    <row r="3399" spans="1:22">
      <c r="A3399" s="3">
        <v>3398</v>
      </c>
      <c r="L3399" s="1" t="s">
        <v>2103</v>
      </c>
      <c r="N3399" s="1" t="s">
        <v>2104</v>
      </c>
      <c r="P3399" s="1" t="s">
        <v>1878</v>
      </c>
      <c r="Q3399" s="3">
        <v>0</v>
      </c>
      <c r="R3399" s="22" t="s">
        <v>3871</v>
      </c>
      <c r="S3399" s="22" t="s">
        <v>5097</v>
      </c>
      <c r="T3399" s="51">
        <v>24</v>
      </c>
      <c r="U3399" s="3" t="s">
        <v>5954</v>
      </c>
      <c r="V3399" s="41" t="str">
        <f>HYPERLINK("http://ictvonline.org/taxonomy/p/taxonomy-history?taxnode_id=20183474","ICTVonline=20183474")</f>
        <v>ICTVonline=20183474</v>
      </c>
    </row>
    <row r="3400" spans="1:22">
      <c r="A3400" s="3">
        <v>3399</v>
      </c>
      <c r="L3400" s="1" t="s">
        <v>2103</v>
      </c>
      <c r="N3400" s="1" t="s">
        <v>2104</v>
      </c>
      <c r="P3400" s="1" t="s">
        <v>1879</v>
      </c>
      <c r="Q3400" s="3">
        <v>0</v>
      </c>
      <c r="R3400" s="22" t="s">
        <v>3871</v>
      </c>
      <c r="S3400" s="22" t="s">
        <v>5100</v>
      </c>
      <c r="T3400" s="51">
        <v>23</v>
      </c>
      <c r="U3400" s="3" t="s">
        <v>5872</v>
      </c>
      <c r="V3400" s="41" t="str">
        <f>HYPERLINK("http://ictvonline.org/taxonomy/p/taxonomy-history?taxnode_id=20183475","ICTVonline=20183475")</f>
        <v>ICTVonline=20183475</v>
      </c>
    </row>
    <row r="3401" spans="1:22">
      <c r="A3401" s="3">
        <v>3400</v>
      </c>
      <c r="L3401" s="1" t="s">
        <v>2103</v>
      </c>
      <c r="N3401" s="1" t="s">
        <v>2104</v>
      </c>
      <c r="P3401" s="1" t="s">
        <v>1880</v>
      </c>
      <c r="Q3401" s="3">
        <v>0</v>
      </c>
      <c r="R3401" s="22" t="s">
        <v>3871</v>
      </c>
      <c r="S3401" s="22" t="s">
        <v>5097</v>
      </c>
      <c r="T3401" s="51">
        <v>24</v>
      </c>
      <c r="U3401" s="3" t="s">
        <v>5954</v>
      </c>
      <c r="V3401" s="41" t="str">
        <f>HYPERLINK("http://ictvonline.org/taxonomy/p/taxonomy-history?taxnode_id=20183476","ICTVonline=20183476")</f>
        <v>ICTVonline=20183476</v>
      </c>
    </row>
    <row r="3402" spans="1:22">
      <c r="A3402" s="3">
        <v>3401</v>
      </c>
      <c r="L3402" s="1" t="s">
        <v>2103</v>
      </c>
      <c r="N3402" s="1" t="s">
        <v>2104</v>
      </c>
      <c r="P3402" s="1" t="s">
        <v>871</v>
      </c>
      <c r="Q3402" s="3">
        <v>0</v>
      </c>
      <c r="R3402" s="22" t="s">
        <v>3871</v>
      </c>
      <c r="S3402" s="22" t="s">
        <v>5097</v>
      </c>
      <c r="T3402" s="51">
        <v>24</v>
      </c>
      <c r="U3402" s="3" t="s">
        <v>5955</v>
      </c>
      <c r="V3402" s="41" t="str">
        <f>HYPERLINK("http://ictvonline.org/taxonomy/p/taxonomy-history?taxnode_id=20183477","ICTVonline=20183477")</f>
        <v>ICTVonline=20183477</v>
      </c>
    </row>
    <row r="3403" spans="1:22">
      <c r="A3403" s="3">
        <v>3402</v>
      </c>
      <c r="L3403" s="1" t="s">
        <v>2103</v>
      </c>
      <c r="N3403" s="1" t="s">
        <v>2104</v>
      </c>
      <c r="P3403" s="1" t="s">
        <v>872</v>
      </c>
      <c r="Q3403" s="3">
        <v>0</v>
      </c>
      <c r="R3403" s="22" t="s">
        <v>3871</v>
      </c>
      <c r="S3403" s="22" t="s">
        <v>5097</v>
      </c>
      <c r="T3403" s="51">
        <v>23</v>
      </c>
      <c r="U3403" s="3" t="s">
        <v>5872</v>
      </c>
      <c r="V3403" s="41" t="str">
        <f>HYPERLINK("http://ictvonline.org/taxonomy/p/taxonomy-history?taxnode_id=20183478","ICTVonline=20183478")</f>
        <v>ICTVonline=20183478</v>
      </c>
    </row>
    <row r="3404" spans="1:22">
      <c r="A3404" s="3">
        <v>3403</v>
      </c>
      <c r="L3404" s="1" t="s">
        <v>2103</v>
      </c>
      <c r="N3404" s="1" t="s">
        <v>2104</v>
      </c>
      <c r="P3404" s="1" t="s">
        <v>1881</v>
      </c>
      <c r="Q3404" s="3">
        <v>0</v>
      </c>
      <c r="R3404" s="22" t="s">
        <v>3871</v>
      </c>
      <c r="S3404" s="22" t="s">
        <v>5097</v>
      </c>
      <c r="T3404" s="51">
        <v>23</v>
      </c>
      <c r="U3404" s="3" t="s">
        <v>5872</v>
      </c>
      <c r="V3404" s="41" t="str">
        <f>HYPERLINK("http://ictvonline.org/taxonomy/p/taxonomy-history?taxnode_id=20183479","ICTVonline=20183479")</f>
        <v>ICTVonline=20183479</v>
      </c>
    </row>
    <row r="3405" spans="1:22">
      <c r="A3405" s="3">
        <v>3404</v>
      </c>
      <c r="L3405" s="1" t="s">
        <v>2103</v>
      </c>
      <c r="N3405" s="1" t="s">
        <v>2104</v>
      </c>
      <c r="P3405" s="1" t="s">
        <v>1950</v>
      </c>
      <c r="Q3405" s="3">
        <v>0</v>
      </c>
      <c r="R3405" s="22" t="s">
        <v>3871</v>
      </c>
      <c r="S3405" s="22" t="s">
        <v>5097</v>
      </c>
      <c r="T3405" s="51">
        <v>24</v>
      </c>
      <c r="U3405" s="3" t="s">
        <v>5954</v>
      </c>
      <c r="V3405" s="41" t="str">
        <f>HYPERLINK("http://ictvonline.org/taxonomy/p/taxonomy-history?taxnode_id=20183480","ICTVonline=20183480")</f>
        <v>ICTVonline=20183480</v>
      </c>
    </row>
    <row r="3406" spans="1:22">
      <c r="A3406" s="3">
        <v>3405</v>
      </c>
      <c r="L3406" s="1" t="s">
        <v>2103</v>
      </c>
      <c r="N3406" s="1" t="s">
        <v>2104</v>
      </c>
      <c r="P3406" s="1" t="s">
        <v>815</v>
      </c>
      <c r="Q3406" s="3">
        <v>0</v>
      </c>
      <c r="R3406" s="22" t="s">
        <v>3871</v>
      </c>
      <c r="S3406" s="22" t="s">
        <v>5100</v>
      </c>
      <c r="T3406" s="51">
        <v>23</v>
      </c>
      <c r="U3406" s="3" t="s">
        <v>5872</v>
      </c>
      <c r="V3406" s="41" t="str">
        <f>HYPERLINK("http://ictvonline.org/taxonomy/p/taxonomy-history?taxnode_id=20183481","ICTVonline=20183481")</f>
        <v>ICTVonline=20183481</v>
      </c>
    </row>
    <row r="3407" spans="1:22">
      <c r="A3407" s="3">
        <v>3406</v>
      </c>
      <c r="L3407" s="1" t="s">
        <v>2103</v>
      </c>
      <c r="N3407" s="1" t="s">
        <v>2104</v>
      </c>
      <c r="P3407" s="1" t="s">
        <v>6018</v>
      </c>
      <c r="Q3407" s="3">
        <v>0</v>
      </c>
      <c r="R3407" s="22" t="s">
        <v>3871</v>
      </c>
      <c r="S3407" s="22" t="s">
        <v>5097</v>
      </c>
      <c r="T3407" s="51">
        <v>32</v>
      </c>
      <c r="U3407" s="3" t="s">
        <v>5958</v>
      </c>
      <c r="V3407" s="41" t="str">
        <f>HYPERLINK("http://ictvonline.org/taxonomy/p/taxonomy-history?taxnode_id=20185840","ICTVonline=20185840")</f>
        <v>ICTVonline=20185840</v>
      </c>
    </row>
    <row r="3408" spans="1:22">
      <c r="A3408" s="3">
        <v>3407</v>
      </c>
      <c r="L3408" s="1" t="s">
        <v>2103</v>
      </c>
      <c r="N3408" s="1" t="s">
        <v>2104</v>
      </c>
      <c r="P3408" s="1" t="s">
        <v>816</v>
      </c>
      <c r="Q3408" s="3">
        <v>0</v>
      </c>
      <c r="R3408" s="22" t="s">
        <v>3871</v>
      </c>
      <c r="S3408" s="22" t="s">
        <v>5100</v>
      </c>
      <c r="T3408" s="51">
        <v>23</v>
      </c>
      <c r="U3408" s="3" t="s">
        <v>5872</v>
      </c>
      <c r="V3408" s="41" t="str">
        <f>HYPERLINK("http://ictvonline.org/taxonomy/p/taxonomy-history?taxnode_id=20183482","ICTVonline=20183482")</f>
        <v>ICTVonline=20183482</v>
      </c>
    </row>
    <row r="3409" spans="1:22">
      <c r="A3409" s="3">
        <v>3408</v>
      </c>
      <c r="L3409" s="1" t="s">
        <v>2103</v>
      </c>
      <c r="N3409" s="1" t="s">
        <v>2104</v>
      </c>
      <c r="P3409" s="1" t="s">
        <v>817</v>
      </c>
      <c r="Q3409" s="3">
        <v>0</v>
      </c>
      <c r="R3409" s="22" t="s">
        <v>3871</v>
      </c>
      <c r="S3409" s="22" t="s">
        <v>5097</v>
      </c>
      <c r="T3409" s="51">
        <v>24</v>
      </c>
      <c r="U3409" s="3" t="s">
        <v>5955</v>
      </c>
      <c r="V3409" s="41" t="str">
        <f>HYPERLINK("http://ictvonline.org/taxonomy/p/taxonomy-history?taxnode_id=20183483","ICTVonline=20183483")</f>
        <v>ICTVonline=20183483</v>
      </c>
    </row>
    <row r="3410" spans="1:22">
      <c r="A3410" s="3">
        <v>3409</v>
      </c>
      <c r="L3410" s="1" t="s">
        <v>2103</v>
      </c>
      <c r="N3410" s="1" t="s">
        <v>2104</v>
      </c>
      <c r="P3410" s="1" t="s">
        <v>1843</v>
      </c>
      <c r="Q3410" s="3">
        <v>0</v>
      </c>
      <c r="R3410" s="22" t="s">
        <v>3871</v>
      </c>
      <c r="S3410" s="22" t="s">
        <v>5105</v>
      </c>
      <c r="T3410" s="51">
        <v>23</v>
      </c>
      <c r="U3410" s="3" t="s">
        <v>5872</v>
      </c>
      <c r="V3410" s="41" t="str">
        <f>HYPERLINK("http://ictvonline.org/taxonomy/p/taxonomy-history?taxnode_id=20183484","ICTVonline=20183484")</f>
        <v>ICTVonline=20183484</v>
      </c>
    </row>
    <row r="3411" spans="1:22">
      <c r="A3411" s="3">
        <v>3410</v>
      </c>
      <c r="L3411" s="1" t="s">
        <v>2103</v>
      </c>
      <c r="N3411" s="1" t="s">
        <v>2104</v>
      </c>
      <c r="P3411" s="1" t="s">
        <v>6019</v>
      </c>
      <c r="Q3411" s="3">
        <v>0</v>
      </c>
      <c r="R3411" s="22" t="s">
        <v>3871</v>
      </c>
      <c r="S3411" s="22" t="s">
        <v>5097</v>
      </c>
      <c r="T3411" s="51">
        <v>32</v>
      </c>
      <c r="U3411" s="3" t="s">
        <v>5958</v>
      </c>
      <c r="V3411" s="41" t="str">
        <f>HYPERLINK("http://ictvonline.org/taxonomy/p/taxonomy-history?taxnode_id=20185841","ICTVonline=20185841")</f>
        <v>ICTVonline=20185841</v>
      </c>
    </row>
    <row r="3412" spans="1:22">
      <c r="A3412" s="3">
        <v>3411</v>
      </c>
      <c r="L3412" s="1" t="s">
        <v>2103</v>
      </c>
      <c r="N3412" s="1" t="s">
        <v>2104</v>
      </c>
      <c r="P3412" s="1" t="s">
        <v>2479</v>
      </c>
      <c r="Q3412" s="3">
        <v>0</v>
      </c>
      <c r="R3412" s="22" t="s">
        <v>3871</v>
      </c>
      <c r="S3412" s="22" t="s">
        <v>5097</v>
      </c>
      <c r="T3412" s="51">
        <v>28</v>
      </c>
      <c r="U3412" s="3" t="s">
        <v>5952</v>
      </c>
      <c r="V3412" s="41" t="str">
        <f>HYPERLINK("http://ictvonline.org/taxonomy/p/taxonomy-history?taxnode_id=20183485","ICTVonline=20183485")</f>
        <v>ICTVonline=20183485</v>
      </c>
    </row>
    <row r="3413" spans="1:22">
      <c r="A3413" s="3">
        <v>3412</v>
      </c>
      <c r="L3413" s="1" t="s">
        <v>2103</v>
      </c>
      <c r="N3413" s="1" t="s">
        <v>2104</v>
      </c>
      <c r="P3413" s="1" t="s">
        <v>1050</v>
      </c>
      <c r="Q3413" s="3">
        <v>0</v>
      </c>
      <c r="R3413" s="22" t="s">
        <v>3871</v>
      </c>
      <c r="S3413" s="22" t="s">
        <v>5097</v>
      </c>
      <c r="T3413" s="51">
        <v>24</v>
      </c>
      <c r="U3413" s="3" t="s">
        <v>5954</v>
      </c>
      <c r="V3413" s="41" t="str">
        <f>HYPERLINK("http://ictvonline.org/taxonomy/p/taxonomy-history?taxnode_id=20183486","ICTVonline=20183486")</f>
        <v>ICTVonline=20183486</v>
      </c>
    </row>
    <row r="3414" spans="1:22">
      <c r="A3414" s="3">
        <v>3413</v>
      </c>
      <c r="L3414" s="1" t="s">
        <v>2103</v>
      </c>
      <c r="N3414" s="1" t="s">
        <v>2104</v>
      </c>
      <c r="P3414" s="1" t="s">
        <v>2480</v>
      </c>
      <c r="Q3414" s="3">
        <v>0</v>
      </c>
      <c r="R3414" s="22" t="s">
        <v>3871</v>
      </c>
      <c r="S3414" s="22" t="s">
        <v>5097</v>
      </c>
      <c r="T3414" s="51">
        <v>28</v>
      </c>
      <c r="U3414" s="3" t="s">
        <v>5952</v>
      </c>
      <c r="V3414" s="41" t="str">
        <f>HYPERLINK("http://ictvonline.org/taxonomy/p/taxonomy-history?taxnode_id=20183487","ICTVonline=20183487")</f>
        <v>ICTVonline=20183487</v>
      </c>
    </row>
    <row r="3415" spans="1:22">
      <c r="A3415" s="3">
        <v>3414</v>
      </c>
      <c r="L3415" s="1" t="s">
        <v>2103</v>
      </c>
      <c r="N3415" s="1" t="s">
        <v>2104</v>
      </c>
      <c r="P3415" s="1" t="s">
        <v>1051</v>
      </c>
      <c r="Q3415" s="3">
        <v>0</v>
      </c>
      <c r="R3415" s="22" t="s">
        <v>3871</v>
      </c>
      <c r="S3415" s="22" t="s">
        <v>5097</v>
      </c>
      <c r="T3415" s="51">
        <v>24</v>
      </c>
      <c r="U3415" s="3" t="s">
        <v>5959</v>
      </c>
      <c r="V3415" s="41" t="str">
        <f>HYPERLINK("http://ictvonline.org/taxonomy/p/taxonomy-history?taxnode_id=20183488","ICTVonline=20183488")</f>
        <v>ICTVonline=20183488</v>
      </c>
    </row>
    <row r="3416" spans="1:22">
      <c r="A3416" s="3">
        <v>3415</v>
      </c>
      <c r="L3416" s="1" t="s">
        <v>2103</v>
      </c>
      <c r="N3416" s="1" t="s">
        <v>2104</v>
      </c>
      <c r="P3416" s="1" t="s">
        <v>1052</v>
      </c>
      <c r="Q3416" s="3">
        <v>0</v>
      </c>
      <c r="R3416" s="22" t="s">
        <v>3871</v>
      </c>
      <c r="S3416" s="22" t="s">
        <v>5097</v>
      </c>
      <c r="T3416" s="51">
        <v>24</v>
      </c>
      <c r="U3416" s="3" t="s">
        <v>5955</v>
      </c>
      <c r="V3416" s="41" t="str">
        <f>HYPERLINK("http://ictvonline.org/taxonomy/p/taxonomy-history?taxnode_id=20183489","ICTVonline=20183489")</f>
        <v>ICTVonline=20183489</v>
      </c>
    </row>
    <row r="3417" spans="1:22">
      <c r="A3417" s="3">
        <v>3416</v>
      </c>
      <c r="L3417" s="1" t="s">
        <v>2103</v>
      </c>
      <c r="N3417" s="1" t="s">
        <v>2104</v>
      </c>
      <c r="P3417" s="1" t="s">
        <v>6020</v>
      </c>
      <c r="Q3417" s="3">
        <v>0</v>
      </c>
      <c r="R3417" s="22" t="s">
        <v>3871</v>
      </c>
      <c r="S3417" s="22" t="s">
        <v>5097</v>
      </c>
      <c r="T3417" s="51">
        <v>32</v>
      </c>
      <c r="U3417" s="3" t="s">
        <v>5958</v>
      </c>
      <c r="V3417" s="41" t="str">
        <f>HYPERLINK("http://ictvonline.org/taxonomy/p/taxonomy-history?taxnode_id=20185842","ICTVonline=20185842")</f>
        <v>ICTVonline=20185842</v>
      </c>
    </row>
    <row r="3418" spans="1:22">
      <c r="A3418" s="3">
        <v>3417</v>
      </c>
      <c r="L3418" s="1" t="s">
        <v>2103</v>
      </c>
      <c r="N3418" s="1" t="s">
        <v>2104</v>
      </c>
      <c r="P3418" s="1" t="s">
        <v>6021</v>
      </c>
      <c r="Q3418" s="3">
        <v>0</v>
      </c>
      <c r="R3418" s="22" t="s">
        <v>3871</v>
      </c>
      <c r="S3418" s="22" t="s">
        <v>5097</v>
      </c>
      <c r="T3418" s="51">
        <v>32</v>
      </c>
      <c r="U3418" s="3" t="s">
        <v>5958</v>
      </c>
      <c r="V3418" s="41" t="str">
        <f>HYPERLINK("http://ictvonline.org/taxonomy/p/taxonomy-history?taxnode_id=20185843","ICTVonline=20185843")</f>
        <v>ICTVonline=20185843</v>
      </c>
    </row>
    <row r="3419" spans="1:22">
      <c r="A3419" s="3">
        <v>3418</v>
      </c>
      <c r="L3419" s="1" t="s">
        <v>2103</v>
      </c>
      <c r="N3419" s="1" t="s">
        <v>2104</v>
      </c>
      <c r="P3419" s="1" t="s">
        <v>3941</v>
      </c>
      <c r="Q3419" s="3">
        <v>0</v>
      </c>
      <c r="R3419" s="22" t="s">
        <v>3871</v>
      </c>
      <c r="S3419" s="22" t="s">
        <v>5097</v>
      </c>
      <c r="T3419" s="51">
        <v>30</v>
      </c>
      <c r="U3419" s="3" t="s">
        <v>5951</v>
      </c>
      <c r="V3419" s="41" t="str">
        <f>HYPERLINK("http://ictvonline.org/taxonomy/p/taxonomy-history?taxnode_id=20183490","ICTVonline=20183490")</f>
        <v>ICTVonline=20183490</v>
      </c>
    </row>
    <row r="3420" spans="1:22">
      <c r="A3420" s="3">
        <v>3419</v>
      </c>
      <c r="L3420" s="1" t="s">
        <v>2103</v>
      </c>
      <c r="N3420" s="1" t="s">
        <v>2104</v>
      </c>
      <c r="P3420" s="1" t="s">
        <v>6022</v>
      </c>
      <c r="Q3420" s="3">
        <v>0</v>
      </c>
      <c r="R3420" s="22" t="s">
        <v>3871</v>
      </c>
      <c r="S3420" s="22" t="s">
        <v>5097</v>
      </c>
      <c r="T3420" s="51">
        <v>32</v>
      </c>
      <c r="U3420" s="3" t="s">
        <v>5958</v>
      </c>
      <c r="V3420" s="41" t="str">
        <f>HYPERLINK("http://ictvonline.org/taxonomy/p/taxonomy-history?taxnode_id=20185844","ICTVonline=20185844")</f>
        <v>ICTVonline=20185844</v>
      </c>
    </row>
    <row r="3421" spans="1:22">
      <c r="A3421" s="3">
        <v>3420</v>
      </c>
      <c r="L3421" s="1" t="s">
        <v>2103</v>
      </c>
      <c r="N3421" s="1" t="s">
        <v>2104</v>
      </c>
      <c r="P3421" s="1" t="s">
        <v>1135</v>
      </c>
      <c r="Q3421" s="3">
        <v>0</v>
      </c>
      <c r="R3421" s="22" t="s">
        <v>3871</v>
      </c>
      <c r="S3421" s="22" t="s">
        <v>5097</v>
      </c>
      <c r="T3421" s="51">
        <v>24</v>
      </c>
      <c r="U3421" s="3" t="s">
        <v>5959</v>
      </c>
      <c r="V3421" s="41" t="str">
        <f>HYPERLINK("http://ictvonline.org/taxonomy/p/taxonomy-history?taxnode_id=20183491","ICTVonline=20183491")</f>
        <v>ICTVonline=20183491</v>
      </c>
    </row>
    <row r="3422" spans="1:22">
      <c r="A3422" s="3">
        <v>3421</v>
      </c>
      <c r="L3422" s="1" t="s">
        <v>2103</v>
      </c>
      <c r="N3422" s="1" t="s">
        <v>2104</v>
      </c>
      <c r="P3422" s="1" t="s">
        <v>3942</v>
      </c>
      <c r="Q3422" s="3">
        <v>0</v>
      </c>
      <c r="R3422" s="22" t="s">
        <v>3871</v>
      </c>
      <c r="S3422" s="22" t="s">
        <v>5097</v>
      </c>
      <c r="T3422" s="51">
        <v>30</v>
      </c>
      <c r="U3422" s="3" t="s">
        <v>5951</v>
      </c>
      <c r="V3422" s="41" t="str">
        <f>HYPERLINK("http://ictvonline.org/taxonomy/p/taxonomy-history?taxnode_id=20183492","ICTVonline=20183492")</f>
        <v>ICTVonline=20183492</v>
      </c>
    </row>
    <row r="3423" spans="1:22">
      <c r="A3423" s="3">
        <v>3422</v>
      </c>
      <c r="L3423" s="1" t="s">
        <v>2103</v>
      </c>
      <c r="N3423" s="1" t="s">
        <v>2104</v>
      </c>
      <c r="P3423" s="1" t="s">
        <v>6023</v>
      </c>
      <c r="Q3423" s="3">
        <v>0</v>
      </c>
      <c r="R3423" s="22" t="s">
        <v>3871</v>
      </c>
      <c r="S3423" s="22" t="s">
        <v>5097</v>
      </c>
      <c r="T3423" s="51">
        <v>32</v>
      </c>
      <c r="U3423" s="3" t="s">
        <v>5958</v>
      </c>
      <c r="V3423" s="41" t="str">
        <f>HYPERLINK("http://ictvonline.org/taxonomy/p/taxonomy-history?taxnode_id=20185845","ICTVonline=20185845")</f>
        <v>ICTVonline=20185845</v>
      </c>
    </row>
    <row r="3424" spans="1:22">
      <c r="A3424" s="3">
        <v>3423</v>
      </c>
      <c r="L3424" s="1" t="s">
        <v>2103</v>
      </c>
      <c r="N3424" s="1" t="s">
        <v>2104</v>
      </c>
      <c r="P3424" s="1" t="s">
        <v>1136</v>
      </c>
      <c r="Q3424" s="3">
        <v>0</v>
      </c>
      <c r="R3424" s="22" t="s">
        <v>3871</v>
      </c>
      <c r="S3424" s="22" t="s">
        <v>5099</v>
      </c>
      <c r="T3424" s="51">
        <v>16</v>
      </c>
      <c r="U3424" s="3" t="s">
        <v>5884</v>
      </c>
      <c r="V3424" s="41" t="str">
        <f>HYPERLINK("http://ictvonline.org/taxonomy/p/taxonomy-history?taxnode_id=20183493","ICTVonline=20183493")</f>
        <v>ICTVonline=20183493</v>
      </c>
    </row>
    <row r="3425" spans="1:22">
      <c r="A3425" s="3">
        <v>3424</v>
      </c>
      <c r="L3425" s="1" t="s">
        <v>2103</v>
      </c>
      <c r="N3425" s="1" t="s">
        <v>2104</v>
      </c>
      <c r="P3425" s="1" t="s">
        <v>2481</v>
      </c>
      <c r="Q3425" s="3">
        <v>0</v>
      </c>
      <c r="R3425" s="22" t="s">
        <v>3871</v>
      </c>
      <c r="S3425" s="22" t="s">
        <v>5097</v>
      </c>
      <c r="T3425" s="51">
        <v>28</v>
      </c>
      <c r="U3425" s="3" t="s">
        <v>5952</v>
      </c>
      <c r="V3425" s="41" t="str">
        <f>HYPERLINK("http://ictvonline.org/taxonomy/p/taxonomy-history?taxnode_id=20183494","ICTVonline=20183494")</f>
        <v>ICTVonline=20183494</v>
      </c>
    </row>
    <row r="3426" spans="1:22">
      <c r="A3426" s="3">
        <v>3425</v>
      </c>
      <c r="L3426" s="1" t="s">
        <v>2103</v>
      </c>
      <c r="N3426" s="1" t="s">
        <v>2104</v>
      </c>
      <c r="P3426" s="1" t="s">
        <v>2482</v>
      </c>
      <c r="Q3426" s="3">
        <v>0</v>
      </c>
      <c r="R3426" s="22" t="s">
        <v>3871</v>
      </c>
      <c r="S3426" s="22" t="s">
        <v>5097</v>
      </c>
      <c r="T3426" s="51">
        <v>28</v>
      </c>
      <c r="U3426" s="3" t="s">
        <v>5952</v>
      </c>
      <c r="V3426" s="41" t="str">
        <f>HYPERLINK("http://ictvonline.org/taxonomy/p/taxonomy-history?taxnode_id=20183495","ICTVonline=20183495")</f>
        <v>ICTVonline=20183495</v>
      </c>
    </row>
    <row r="3427" spans="1:22">
      <c r="A3427" s="3">
        <v>3426</v>
      </c>
      <c r="L3427" s="1" t="s">
        <v>2103</v>
      </c>
      <c r="N3427" s="1" t="s">
        <v>2104</v>
      </c>
      <c r="P3427" s="1" t="s">
        <v>6024</v>
      </c>
      <c r="Q3427" s="3">
        <v>0</v>
      </c>
      <c r="R3427" s="22" t="s">
        <v>3871</v>
      </c>
      <c r="S3427" s="22" t="s">
        <v>5097</v>
      </c>
      <c r="T3427" s="51">
        <v>32</v>
      </c>
      <c r="U3427" s="3" t="s">
        <v>5958</v>
      </c>
      <c r="V3427" s="41" t="str">
        <f>HYPERLINK("http://ictvonline.org/taxonomy/p/taxonomy-history?taxnode_id=20185846","ICTVonline=20185846")</f>
        <v>ICTVonline=20185846</v>
      </c>
    </row>
    <row r="3428" spans="1:22">
      <c r="A3428" s="3">
        <v>3427</v>
      </c>
      <c r="L3428" s="1" t="s">
        <v>2103</v>
      </c>
      <c r="N3428" s="1" t="s">
        <v>2104</v>
      </c>
      <c r="P3428" s="1" t="s">
        <v>6025</v>
      </c>
      <c r="Q3428" s="3">
        <v>0</v>
      </c>
      <c r="R3428" s="22" t="s">
        <v>3871</v>
      </c>
      <c r="S3428" s="22" t="s">
        <v>5097</v>
      </c>
      <c r="T3428" s="51">
        <v>32</v>
      </c>
      <c r="U3428" s="3" t="s">
        <v>5958</v>
      </c>
      <c r="V3428" s="41" t="str">
        <f>HYPERLINK("http://ictvonline.org/taxonomy/p/taxonomy-history?taxnode_id=20185847","ICTVonline=20185847")</f>
        <v>ICTVonline=20185847</v>
      </c>
    </row>
    <row r="3429" spans="1:22">
      <c r="A3429" s="3">
        <v>3428</v>
      </c>
      <c r="L3429" s="1" t="s">
        <v>2103</v>
      </c>
      <c r="N3429" s="1" t="s">
        <v>2104</v>
      </c>
      <c r="P3429" s="1" t="s">
        <v>6026</v>
      </c>
      <c r="Q3429" s="3">
        <v>0</v>
      </c>
      <c r="R3429" s="22" t="s">
        <v>3871</v>
      </c>
      <c r="S3429" s="22" t="s">
        <v>5097</v>
      </c>
      <c r="T3429" s="51">
        <v>32</v>
      </c>
      <c r="U3429" s="3" t="s">
        <v>5958</v>
      </c>
      <c r="V3429" s="41" t="str">
        <f>HYPERLINK("http://ictvonline.org/taxonomy/p/taxonomy-history?taxnode_id=20185848","ICTVonline=20185848")</f>
        <v>ICTVonline=20185848</v>
      </c>
    </row>
    <row r="3430" spans="1:22">
      <c r="A3430" s="3">
        <v>3429</v>
      </c>
      <c r="L3430" s="1" t="s">
        <v>2103</v>
      </c>
      <c r="N3430" s="1" t="s">
        <v>2104</v>
      </c>
      <c r="P3430" s="1" t="s">
        <v>6027</v>
      </c>
      <c r="Q3430" s="3">
        <v>0</v>
      </c>
      <c r="R3430" s="22" t="s">
        <v>3871</v>
      </c>
      <c r="S3430" s="22" t="s">
        <v>5097</v>
      </c>
      <c r="T3430" s="51">
        <v>32</v>
      </c>
      <c r="U3430" s="3" t="s">
        <v>5958</v>
      </c>
      <c r="V3430" s="41" t="str">
        <f>HYPERLINK("http://ictvonline.org/taxonomy/p/taxonomy-history?taxnode_id=20185849","ICTVonline=20185849")</f>
        <v>ICTVonline=20185849</v>
      </c>
    </row>
    <row r="3431" spans="1:22">
      <c r="A3431" s="3">
        <v>3430</v>
      </c>
      <c r="L3431" s="1" t="s">
        <v>2103</v>
      </c>
      <c r="N3431" s="1" t="s">
        <v>2104</v>
      </c>
      <c r="P3431" s="1" t="s">
        <v>6028</v>
      </c>
      <c r="Q3431" s="3">
        <v>0</v>
      </c>
      <c r="R3431" s="22" t="s">
        <v>3871</v>
      </c>
      <c r="S3431" s="22" t="s">
        <v>5097</v>
      </c>
      <c r="T3431" s="51">
        <v>32</v>
      </c>
      <c r="U3431" s="3" t="s">
        <v>5958</v>
      </c>
      <c r="V3431" s="41" t="str">
        <f>HYPERLINK("http://ictvonline.org/taxonomy/p/taxonomy-history?taxnode_id=20185850","ICTVonline=20185850")</f>
        <v>ICTVonline=20185850</v>
      </c>
    </row>
    <row r="3432" spans="1:22">
      <c r="A3432" s="3">
        <v>3431</v>
      </c>
      <c r="L3432" s="1" t="s">
        <v>2103</v>
      </c>
      <c r="N3432" s="1" t="s">
        <v>2104</v>
      </c>
      <c r="P3432" s="1" t="s">
        <v>6029</v>
      </c>
      <c r="Q3432" s="3">
        <v>0</v>
      </c>
      <c r="R3432" s="22" t="s">
        <v>3871</v>
      </c>
      <c r="S3432" s="22" t="s">
        <v>5097</v>
      </c>
      <c r="T3432" s="51">
        <v>32</v>
      </c>
      <c r="U3432" s="3" t="s">
        <v>5958</v>
      </c>
      <c r="V3432" s="41" t="str">
        <f>HYPERLINK("http://ictvonline.org/taxonomy/p/taxonomy-history?taxnode_id=20185851","ICTVonline=20185851")</f>
        <v>ICTVonline=20185851</v>
      </c>
    </row>
    <row r="3433" spans="1:22">
      <c r="A3433" s="3">
        <v>3432</v>
      </c>
      <c r="L3433" s="1" t="s">
        <v>2103</v>
      </c>
      <c r="N3433" s="1" t="s">
        <v>2104</v>
      </c>
      <c r="P3433" s="1" t="s">
        <v>2483</v>
      </c>
      <c r="Q3433" s="3">
        <v>0</v>
      </c>
      <c r="R3433" s="22" t="s">
        <v>3871</v>
      </c>
      <c r="S3433" s="22" t="s">
        <v>5097</v>
      </c>
      <c r="T3433" s="51">
        <v>28</v>
      </c>
      <c r="U3433" s="3" t="s">
        <v>5952</v>
      </c>
      <c r="V3433" s="41" t="str">
        <f>HYPERLINK("http://ictvonline.org/taxonomy/p/taxonomy-history?taxnode_id=20183496","ICTVonline=20183496")</f>
        <v>ICTVonline=20183496</v>
      </c>
    </row>
    <row r="3434" spans="1:22">
      <c r="A3434" s="3">
        <v>3433</v>
      </c>
      <c r="L3434" s="1" t="s">
        <v>2103</v>
      </c>
      <c r="N3434" s="1" t="s">
        <v>2104</v>
      </c>
      <c r="P3434" s="1" t="s">
        <v>6030</v>
      </c>
      <c r="Q3434" s="3">
        <v>0</v>
      </c>
      <c r="R3434" s="22" t="s">
        <v>3871</v>
      </c>
      <c r="S3434" s="22" t="s">
        <v>5097</v>
      </c>
      <c r="T3434" s="51">
        <v>32</v>
      </c>
      <c r="U3434" s="3" t="s">
        <v>5958</v>
      </c>
      <c r="V3434" s="41" t="str">
        <f>HYPERLINK("http://ictvonline.org/taxonomy/p/taxonomy-history?taxnode_id=20185852","ICTVonline=20185852")</f>
        <v>ICTVonline=20185852</v>
      </c>
    </row>
    <row r="3435" spans="1:22">
      <c r="A3435" s="3">
        <v>3434</v>
      </c>
      <c r="L3435" s="1" t="s">
        <v>2103</v>
      </c>
      <c r="N3435" s="1" t="s">
        <v>4871</v>
      </c>
      <c r="P3435" s="1" t="s">
        <v>4872</v>
      </c>
      <c r="Q3435" s="3">
        <v>0</v>
      </c>
      <c r="R3435" s="22" t="s">
        <v>3871</v>
      </c>
      <c r="S3435" s="22" t="s">
        <v>5097</v>
      </c>
      <c r="T3435" s="51">
        <v>31</v>
      </c>
      <c r="U3435" s="3" t="s">
        <v>6031</v>
      </c>
      <c r="V3435" s="41" t="str">
        <f>HYPERLINK("http://ictvonline.org/taxonomy/p/taxonomy-history?taxnode_id=20183498","ICTVonline=20183498")</f>
        <v>ICTVonline=20183498</v>
      </c>
    </row>
    <row r="3436" spans="1:22">
      <c r="A3436" s="3">
        <v>3435</v>
      </c>
      <c r="L3436" s="1" t="s">
        <v>2103</v>
      </c>
      <c r="N3436" s="1" t="s">
        <v>4871</v>
      </c>
      <c r="P3436" s="1" t="s">
        <v>4873</v>
      </c>
      <c r="Q3436" s="3">
        <v>1</v>
      </c>
      <c r="R3436" s="22" t="s">
        <v>3871</v>
      </c>
      <c r="S3436" s="22" t="s">
        <v>5097</v>
      </c>
      <c r="T3436" s="51">
        <v>31</v>
      </c>
      <c r="U3436" s="3" t="s">
        <v>6031</v>
      </c>
      <c r="V3436" s="41" t="str">
        <f>HYPERLINK("http://ictvonline.org/taxonomy/p/taxonomy-history?taxnode_id=20183499","ICTVonline=20183499")</f>
        <v>ICTVonline=20183499</v>
      </c>
    </row>
    <row r="3437" spans="1:22">
      <c r="A3437" s="3">
        <v>3436</v>
      </c>
      <c r="L3437" s="1" t="s">
        <v>2103</v>
      </c>
      <c r="N3437" s="1" t="s">
        <v>4871</v>
      </c>
      <c r="P3437" s="1" t="s">
        <v>4874</v>
      </c>
      <c r="Q3437" s="3">
        <v>0</v>
      </c>
      <c r="R3437" s="22" t="s">
        <v>3871</v>
      </c>
      <c r="S3437" s="22" t="s">
        <v>5097</v>
      </c>
      <c r="T3437" s="51">
        <v>31</v>
      </c>
      <c r="U3437" s="3" t="s">
        <v>6031</v>
      </c>
      <c r="V3437" s="41" t="str">
        <f>HYPERLINK("http://ictvonline.org/taxonomy/p/taxonomy-history?taxnode_id=20183500","ICTVonline=20183500")</f>
        <v>ICTVonline=20183500</v>
      </c>
    </row>
    <row r="3438" spans="1:22">
      <c r="A3438" s="3">
        <v>3437</v>
      </c>
      <c r="L3438" s="1" t="s">
        <v>2103</v>
      </c>
      <c r="N3438" s="1" t="s">
        <v>4871</v>
      </c>
      <c r="P3438" s="1" t="s">
        <v>4875</v>
      </c>
      <c r="Q3438" s="3">
        <v>0</v>
      </c>
      <c r="R3438" s="22" t="s">
        <v>3871</v>
      </c>
      <c r="S3438" s="22" t="s">
        <v>5097</v>
      </c>
      <c r="T3438" s="51">
        <v>31</v>
      </c>
      <c r="U3438" s="3" t="s">
        <v>6031</v>
      </c>
      <c r="V3438" s="41" t="str">
        <f>HYPERLINK("http://ictvonline.org/taxonomy/p/taxonomy-history?taxnode_id=20183501","ICTVonline=20183501")</f>
        <v>ICTVonline=20183501</v>
      </c>
    </row>
    <row r="3439" spans="1:22">
      <c r="A3439" s="3">
        <v>3438</v>
      </c>
      <c r="L3439" s="1" t="s">
        <v>2103</v>
      </c>
      <c r="N3439" s="1" t="s">
        <v>1137</v>
      </c>
      <c r="P3439" s="1" t="s">
        <v>1138</v>
      </c>
      <c r="Q3439" s="3">
        <v>1</v>
      </c>
      <c r="R3439" s="22" t="s">
        <v>3871</v>
      </c>
      <c r="S3439" s="22" t="s">
        <v>5109</v>
      </c>
      <c r="T3439" s="51">
        <v>18</v>
      </c>
      <c r="U3439" s="3" t="s">
        <v>5486</v>
      </c>
      <c r="V3439" s="41" t="str">
        <f>HYPERLINK("http://ictvonline.org/taxonomy/p/taxonomy-history?taxnode_id=20183503","ICTVonline=20183503")</f>
        <v>ICTVonline=20183503</v>
      </c>
    </row>
    <row r="3440" spans="1:22">
      <c r="A3440" s="3">
        <v>3439</v>
      </c>
      <c r="L3440" s="1" t="s">
        <v>2103</v>
      </c>
      <c r="N3440" s="1" t="s">
        <v>1137</v>
      </c>
      <c r="P3440" s="1" t="s">
        <v>675</v>
      </c>
      <c r="Q3440" s="3">
        <v>0</v>
      </c>
      <c r="R3440" s="22" t="s">
        <v>3871</v>
      </c>
      <c r="S3440" s="22" t="s">
        <v>5097</v>
      </c>
      <c r="T3440" s="51">
        <v>18</v>
      </c>
      <c r="U3440" s="3" t="s">
        <v>5486</v>
      </c>
      <c r="V3440" s="41" t="str">
        <f>HYPERLINK("http://ictvonline.org/taxonomy/p/taxonomy-history?taxnode_id=20183504","ICTVonline=20183504")</f>
        <v>ICTVonline=20183504</v>
      </c>
    </row>
    <row r="3441" spans="1:22">
      <c r="A3441" s="3">
        <v>3440</v>
      </c>
      <c r="L3441" s="1" t="s">
        <v>2103</v>
      </c>
      <c r="N3441" s="1" t="s">
        <v>1137</v>
      </c>
      <c r="P3441" s="1" t="s">
        <v>2257</v>
      </c>
      <c r="Q3441" s="3">
        <v>0</v>
      </c>
      <c r="R3441" s="22" t="s">
        <v>3871</v>
      </c>
      <c r="S3441" s="22" t="s">
        <v>5097</v>
      </c>
      <c r="T3441" s="51">
        <v>27</v>
      </c>
      <c r="U3441" s="3" t="s">
        <v>5950</v>
      </c>
      <c r="V3441" s="41" t="str">
        <f>HYPERLINK("http://ictvonline.org/taxonomy/p/taxonomy-history?taxnode_id=20183505","ICTVonline=20183505")</f>
        <v>ICTVonline=20183505</v>
      </c>
    </row>
    <row r="3442" spans="1:22">
      <c r="A3442" s="3">
        <v>3441</v>
      </c>
      <c r="L3442" s="1" t="s">
        <v>2103</v>
      </c>
      <c r="N3442" s="1" t="s">
        <v>2258</v>
      </c>
      <c r="P3442" s="1" t="s">
        <v>2259</v>
      </c>
      <c r="Q3442" s="3">
        <v>1</v>
      </c>
      <c r="R3442" s="22" t="s">
        <v>3871</v>
      </c>
      <c r="S3442" s="22" t="s">
        <v>5102</v>
      </c>
      <c r="T3442" s="51">
        <v>27</v>
      </c>
      <c r="U3442" s="3" t="s">
        <v>5950</v>
      </c>
      <c r="V3442" s="41" t="str">
        <f>HYPERLINK("http://ictvonline.org/taxonomy/p/taxonomy-history?taxnode_id=20183507","ICTVonline=20183507")</f>
        <v>ICTVonline=20183507</v>
      </c>
    </row>
    <row r="3443" spans="1:22">
      <c r="A3443" s="3">
        <v>3442</v>
      </c>
      <c r="L3443" s="1" t="s">
        <v>2103</v>
      </c>
      <c r="N3443" s="1" t="s">
        <v>4876</v>
      </c>
      <c r="P3443" s="1" t="s">
        <v>4877</v>
      </c>
      <c r="Q3443" s="3">
        <v>1</v>
      </c>
      <c r="R3443" s="22" t="s">
        <v>3871</v>
      </c>
      <c r="S3443" s="22" t="s">
        <v>5097</v>
      </c>
      <c r="T3443" s="51">
        <v>31</v>
      </c>
      <c r="U3443" s="3" t="s">
        <v>6031</v>
      </c>
      <c r="V3443" s="41" t="str">
        <f>HYPERLINK("http://ictvonline.org/taxonomy/p/taxonomy-history?taxnode_id=20183509","ICTVonline=20183509")</f>
        <v>ICTVonline=20183509</v>
      </c>
    </row>
    <row r="3444" spans="1:22">
      <c r="A3444" s="3">
        <v>3443</v>
      </c>
      <c r="L3444" s="1" t="s">
        <v>2103</v>
      </c>
      <c r="N3444" s="1" t="s">
        <v>676</v>
      </c>
      <c r="P3444" s="1" t="s">
        <v>3943</v>
      </c>
      <c r="Q3444" s="3">
        <v>0</v>
      </c>
      <c r="R3444" s="22" t="s">
        <v>3871</v>
      </c>
      <c r="S3444" s="22" t="s">
        <v>5097</v>
      </c>
      <c r="T3444" s="51">
        <v>30</v>
      </c>
      <c r="U3444" s="3" t="s">
        <v>6032</v>
      </c>
      <c r="V3444" s="41" t="str">
        <f>HYPERLINK("http://ictvonline.org/taxonomy/p/taxonomy-history?taxnode_id=20183511","ICTVonline=20183511")</f>
        <v>ICTVonline=20183511</v>
      </c>
    </row>
    <row r="3445" spans="1:22">
      <c r="A3445" s="3">
        <v>3444</v>
      </c>
      <c r="L3445" s="1" t="s">
        <v>2103</v>
      </c>
      <c r="N3445" s="1" t="s">
        <v>676</v>
      </c>
      <c r="P3445" s="1" t="s">
        <v>2260</v>
      </c>
      <c r="Q3445" s="3">
        <v>0</v>
      </c>
      <c r="R3445" s="22" t="s">
        <v>3871</v>
      </c>
      <c r="S3445" s="22" t="s">
        <v>5097</v>
      </c>
      <c r="T3445" s="51">
        <v>27</v>
      </c>
      <c r="U3445" s="3" t="s">
        <v>6033</v>
      </c>
      <c r="V3445" s="41" t="str">
        <f>HYPERLINK("http://ictvonline.org/taxonomy/p/taxonomy-history?taxnode_id=20183512","ICTVonline=20183512")</f>
        <v>ICTVonline=20183512</v>
      </c>
    </row>
    <row r="3446" spans="1:22">
      <c r="A3446" s="3">
        <v>3445</v>
      </c>
      <c r="L3446" s="1" t="s">
        <v>2103</v>
      </c>
      <c r="N3446" s="1" t="s">
        <v>676</v>
      </c>
      <c r="P3446" s="1" t="s">
        <v>2261</v>
      </c>
      <c r="Q3446" s="3">
        <v>0</v>
      </c>
      <c r="R3446" s="22" t="s">
        <v>3871</v>
      </c>
      <c r="S3446" s="22" t="s">
        <v>5097</v>
      </c>
      <c r="T3446" s="51">
        <v>27</v>
      </c>
      <c r="U3446" s="3" t="s">
        <v>6033</v>
      </c>
      <c r="V3446" s="41" t="str">
        <f>HYPERLINK("http://ictvonline.org/taxonomy/p/taxonomy-history?taxnode_id=20183513","ICTVonline=20183513")</f>
        <v>ICTVonline=20183513</v>
      </c>
    </row>
    <row r="3447" spans="1:22">
      <c r="A3447" s="3">
        <v>3446</v>
      </c>
      <c r="L3447" s="1" t="s">
        <v>2103</v>
      </c>
      <c r="N3447" s="1" t="s">
        <v>676</v>
      </c>
      <c r="P3447" s="1" t="s">
        <v>2262</v>
      </c>
      <c r="Q3447" s="3">
        <v>0</v>
      </c>
      <c r="R3447" s="22" t="s">
        <v>3871</v>
      </c>
      <c r="S3447" s="22" t="s">
        <v>5097</v>
      </c>
      <c r="T3447" s="51">
        <v>27</v>
      </c>
      <c r="U3447" s="3" t="s">
        <v>6033</v>
      </c>
      <c r="V3447" s="41" t="str">
        <f>HYPERLINK("http://ictvonline.org/taxonomy/p/taxonomy-history?taxnode_id=20183514","ICTVonline=20183514")</f>
        <v>ICTVonline=20183514</v>
      </c>
    </row>
    <row r="3448" spans="1:22">
      <c r="A3448" s="3">
        <v>3447</v>
      </c>
      <c r="L3448" s="1" t="s">
        <v>2103</v>
      </c>
      <c r="N3448" s="1" t="s">
        <v>676</v>
      </c>
      <c r="P3448" s="1" t="s">
        <v>2263</v>
      </c>
      <c r="Q3448" s="3">
        <v>0</v>
      </c>
      <c r="R3448" s="22" t="s">
        <v>3871</v>
      </c>
      <c r="S3448" s="22" t="s">
        <v>5097</v>
      </c>
      <c r="T3448" s="51">
        <v>27</v>
      </c>
      <c r="U3448" s="3" t="s">
        <v>6033</v>
      </c>
      <c r="V3448" s="41" t="str">
        <f>HYPERLINK("http://ictvonline.org/taxonomy/p/taxonomy-history?taxnode_id=20183515","ICTVonline=20183515")</f>
        <v>ICTVonline=20183515</v>
      </c>
    </row>
    <row r="3449" spans="1:22">
      <c r="A3449" s="3">
        <v>3448</v>
      </c>
      <c r="L3449" s="1" t="s">
        <v>2103</v>
      </c>
      <c r="N3449" s="1" t="s">
        <v>676</v>
      </c>
      <c r="P3449" s="1" t="s">
        <v>2264</v>
      </c>
      <c r="Q3449" s="3">
        <v>0</v>
      </c>
      <c r="R3449" s="22" t="s">
        <v>3871</v>
      </c>
      <c r="S3449" s="22" t="s">
        <v>5097</v>
      </c>
      <c r="T3449" s="51">
        <v>27</v>
      </c>
      <c r="U3449" s="3" t="s">
        <v>6033</v>
      </c>
      <c r="V3449" s="41" t="str">
        <f>HYPERLINK("http://ictvonline.org/taxonomy/p/taxonomy-history?taxnode_id=20183516","ICTVonline=20183516")</f>
        <v>ICTVonline=20183516</v>
      </c>
    </row>
    <row r="3450" spans="1:22">
      <c r="A3450" s="3">
        <v>3449</v>
      </c>
      <c r="L3450" s="1" t="s">
        <v>2103</v>
      </c>
      <c r="N3450" s="1" t="s">
        <v>676</v>
      </c>
      <c r="P3450" s="1" t="s">
        <v>6034</v>
      </c>
      <c r="Q3450" s="3">
        <v>0</v>
      </c>
      <c r="R3450" s="22" t="s">
        <v>3871</v>
      </c>
      <c r="S3450" s="22" t="s">
        <v>5097</v>
      </c>
      <c r="T3450" s="51">
        <v>32</v>
      </c>
      <c r="U3450" s="3" t="s">
        <v>6035</v>
      </c>
      <c r="V3450" s="41" t="str">
        <f>HYPERLINK("http://ictvonline.org/taxonomy/p/taxonomy-history?taxnode_id=20185853","ICTVonline=20185853")</f>
        <v>ICTVonline=20185853</v>
      </c>
    </row>
    <row r="3451" spans="1:22">
      <c r="A3451" s="3">
        <v>3450</v>
      </c>
      <c r="L3451" s="1" t="s">
        <v>2103</v>
      </c>
      <c r="N3451" s="1" t="s">
        <v>676</v>
      </c>
      <c r="P3451" s="1" t="s">
        <v>2265</v>
      </c>
      <c r="Q3451" s="3">
        <v>0</v>
      </c>
      <c r="R3451" s="22" t="s">
        <v>3871</v>
      </c>
      <c r="S3451" s="22" t="s">
        <v>5097</v>
      </c>
      <c r="T3451" s="51">
        <v>27</v>
      </c>
      <c r="U3451" s="3" t="s">
        <v>6033</v>
      </c>
      <c r="V3451" s="41" t="str">
        <f>HYPERLINK("http://ictvonline.org/taxonomy/p/taxonomy-history?taxnode_id=20183517","ICTVonline=20183517")</f>
        <v>ICTVonline=20183517</v>
      </c>
    </row>
    <row r="3452" spans="1:22">
      <c r="A3452" s="3">
        <v>3451</v>
      </c>
      <c r="L3452" s="1" t="s">
        <v>2103</v>
      </c>
      <c r="N3452" s="1" t="s">
        <v>676</v>
      </c>
      <c r="P3452" s="1" t="s">
        <v>1496</v>
      </c>
      <c r="Q3452" s="3">
        <v>0</v>
      </c>
      <c r="R3452" s="22" t="s">
        <v>3871</v>
      </c>
      <c r="S3452" s="22" t="s">
        <v>5099</v>
      </c>
      <c r="T3452" s="51">
        <v>16</v>
      </c>
      <c r="U3452" s="3" t="s">
        <v>5884</v>
      </c>
      <c r="V3452" s="41" t="str">
        <f>HYPERLINK("http://ictvonline.org/taxonomy/p/taxonomy-history?taxnode_id=20183518","ICTVonline=20183518")</f>
        <v>ICTVonline=20183518</v>
      </c>
    </row>
    <row r="3453" spans="1:22">
      <c r="A3453" s="3">
        <v>3452</v>
      </c>
      <c r="L3453" s="1" t="s">
        <v>2103</v>
      </c>
      <c r="N3453" s="1" t="s">
        <v>676</v>
      </c>
      <c r="P3453" s="1" t="s">
        <v>2266</v>
      </c>
      <c r="Q3453" s="3">
        <v>0</v>
      </c>
      <c r="R3453" s="22" t="s">
        <v>3871</v>
      </c>
      <c r="S3453" s="22" t="s">
        <v>5097</v>
      </c>
      <c r="T3453" s="51">
        <v>27</v>
      </c>
      <c r="U3453" s="3" t="s">
        <v>6033</v>
      </c>
      <c r="V3453" s="41" t="str">
        <f>HYPERLINK("http://ictvonline.org/taxonomy/p/taxonomy-history?taxnode_id=20183519","ICTVonline=20183519")</f>
        <v>ICTVonline=20183519</v>
      </c>
    </row>
    <row r="3454" spans="1:22">
      <c r="A3454" s="3">
        <v>3453</v>
      </c>
      <c r="L3454" s="1" t="s">
        <v>2103</v>
      </c>
      <c r="N3454" s="1" t="s">
        <v>676</v>
      </c>
      <c r="P3454" s="1" t="s">
        <v>2267</v>
      </c>
      <c r="Q3454" s="3">
        <v>0</v>
      </c>
      <c r="R3454" s="22" t="s">
        <v>3871</v>
      </c>
      <c r="S3454" s="22" t="s">
        <v>5097</v>
      </c>
      <c r="T3454" s="51">
        <v>27</v>
      </c>
      <c r="U3454" s="3" t="s">
        <v>6033</v>
      </c>
      <c r="V3454" s="41" t="str">
        <f>HYPERLINK("http://ictvonline.org/taxonomy/p/taxonomy-history?taxnode_id=20183520","ICTVonline=20183520")</f>
        <v>ICTVonline=20183520</v>
      </c>
    </row>
    <row r="3455" spans="1:22">
      <c r="A3455" s="3">
        <v>3454</v>
      </c>
      <c r="L3455" s="1" t="s">
        <v>2103</v>
      </c>
      <c r="N3455" s="1" t="s">
        <v>676</v>
      </c>
      <c r="P3455" s="1" t="s">
        <v>1497</v>
      </c>
      <c r="Q3455" s="3">
        <v>0</v>
      </c>
      <c r="R3455" s="22" t="s">
        <v>3871</v>
      </c>
      <c r="S3455" s="22" t="s">
        <v>5099</v>
      </c>
      <c r="T3455" s="51">
        <v>16</v>
      </c>
      <c r="U3455" s="3" t="s">
        <v>5884</v>
      </c>
      <c r="V3455" s="41" t="str">
        <f>HYPERLINK("http://ictvonline.org/taxonomy/p/taxonomy-history?taxnode_id=20183521","ICTVonline=20183521")</f>
        <v>ICTVonline=20183521</v>
      </c>
    </row>
    <row r="3456" spans="1:22">
      <c r="A3456" s="3">
        <v>3455</v>
      </c>
      <c r="L3456" s="1" t="s">
        <v>2103</v>
      </c>
      <c r="N3456" s="1" t="s">
        <v>676</v>
      </c>
      <c r="P3456" s="1" t="s">
        <v>6036</v>
      </c>
      <c r="Q3456" s="3">
        <v>0</v>
      </c>
      <c r="R3456" s="22" t="s">
        <v>3871</v>
      </c>
      <c r="S3456" s="22" t="s">
        <v>5097</v>
      </c>
      <c r="T3456" s="51">
        <v>32</v>
      </c>
      <c r="U3456" s="3" t="s">
        <v>6035</v>
      </c>
      <c r="V3456" s="41" t="str">
        <f>HYPERLINK("http://ictvonline.org/taxonomy/p/taxonomy-history?taxnode_id=20185854","ICTVonline=20185854")</f>
        <v>ICTVonline=20185854</v>
      </c>
    </row>
    <row r="3457" spans="1:22">
      <c r="A3457" s="3">
        <v>3456</v>
      </c>
      <c r="L3457" s="1" t="s">
        <v>2103</v>
      </c>
      <c r="N3457" s="1" t="s">
        <v>676</v>
      </c>
      <c r="P3457" s="1" t="s">
        <v>2268</v>
      </c>
      <c r="Q3457" s="3">
        <v>0</v>
      </c>
      <c r="R3457" s="22" t="s">
        <v>3871</v>
      </c>
      <c r="S3457" s="22" t="s">
        <v>5097</v>
      </c>
      <c r="T3457" s="51">
        <v>27</v>
      </c>
      <c r="U3457" s="3" t="s">
        <v>6033</v>
      </c>
      <c r="V3457" s="41" t="str">
        <f>HYPERLINK("http://ictvonline.org/taxonomy/p/taxonomy-history?taxnode_id=20183522","ICTVonline=20183522")</f>
        <v>ICTVonline=20183522</v>
      </c>
    </row>
    <row r="3458" spans="1:22">
      <c r="A3458" s="3">
        <v>3457</v>
      </c>
      <c r="L3458" s="1" t="s">
        <v>2103</v>
      </c>
      <c r="N3458" s="1" t="s">
        <v>676</v>
      </c>
      <c r="P3458" s="1" t="s">
        <v>565</v>
      </c>
      <c r="Q3458" s="3">
        <v>0</v>
      </c>
      <c r="R3458" s="22" t="s">
        <v>3871</v>
      </c>
      <c r="S3458" s="22" t="s">
        <v>5097</v>
      </c>
      <c r="T3458" s="51">
        <v>25</v>
      </c>
      <c r="U3458" s="3" t="s">
        <v>6037</v>
      </c>
      <c r="V3458" s="41" t="str">
        <f>HYPERLINK("http://ictvonline.org/taxonomy/p/taxonomy-history?taxnode_id=20183523","ICTVonline=20183523")</f>
        <v>ICTVonline=20183523</v>
      </c>
    </row>
    <row r="3459" spans="1:22">
      <c r="A3459" s="3">
        <v>3458</v>
      </c>
      <c r="L3459" s="1" t="s">
        <v>2103</v>
      </c>
      <c r="N3459" s="1" t="s">
        <v>676</v>
      </c>
      <c r="P3459" s="1" t="s">
        <v>2269</v>
      </c>
      <c r="Q3459" s="3">
        <v>0</v>
      </c>
      <c r="R3459" s="22" t="s">
        <v>3871</v>
      </c>
      <c r="S3459" s="22" t="s">
        <v>5097</v>
      </c>
      <c r="T3459" s="51">
        <v>27</v>
      </c>
      <c r="U3459" s="3" t="s">
        <v>6033</v>
      </c>
      <c r="V3459" s="41" t="str">
        <f>HYPERLINK("http://ictvonline.org/taxonomy/p/taxonomy-history?taxnode_id=20183524","ICTVonline=20183524")</f>
        <v>ICTVonline=20183524</v>
      </c>
    </row>
    <row r="3460" spans="1:22">
      <c r="A3460" s="3">
        <v>3459</v>
      </c>
      <c r="L3460" s="1" t="s">
        <v>2103</v>
      </c>
      <c r="N3460" s="1" t="s">
        <v>676</v>
      </c>
      <c r="P3460" s="1" t="s">
        <v>1498</v>
      </c>
      <c r="Q3460" s="3">
        <v>1</v>
      </c>
      <c r="R3460" s="22" t="s">
        <v>3871</v>
      </c>
      <c r="S3460" s="22" t="s">
        <v>5099</v>
      </c>
      <c r="T3460" s="51">
        <v>16</v>
      </c>
      <c r="U3460" s="3" t="s">
        <v>5884</v>
      </c>
      <c r="V3460" s="41" t="str">
        <f>HYPERLINK("http://ictvonline.org/taxonomy/p/taxonomy-history?taxnode_id=20183525","ICTVonline=20183525")</f>
        <v>ICTVonline=20183525</v>
      </c>
    </row>
    <row r="3461" spans="1:22">
      <c r="A3461" s="3">
        <v>3460</v>
      </c>
      <c r="L3461" s="1" t="s">
        <v>2103</v>
      </c>
      <c r="N3461" s="1" t="s">
        <v>676</v>
      </c>
      <c r="P3461" s="1" t="s">
        <v>372</v>
      </c>
      <c r="Q3461" s="3">
        <v>0</v>
      </c>
      <c r="R3461" s="22" t="s">
        <v>3871</v>
      </c>
      <c r="S3461" s="22" t="s">
        <v>5099</v>
      </c>
      <c r="T3461" s="51">
        <v>16</v>
      </c>
      <c r="U3461" s="3" t="s">
        <v>5884</v>
      </c>
      <c r="V3461" s="41" t="str">
        <f>HYPERLINK("http://ictvonline.org/taxonomy/p/taxonomy-history?taxnode_id=20183526","ICTVonline=20183526")</f>
        <v>ICTVonline=20183526</v>
      </c>
    </row>
    <row r="3462" spans="1:22">
      <c r="A3462" s="3">
        <v>3461</v>
      </c>
      <c r="L3462" s="1" t="s">
        <v>2103</v>
      </c>
      <c r="N3462" s="1" t="s">
        <v>676</v>
      </c>
      <c r="P3462" s="1" t="s">
        <v>2270</v>
      </c>
      <c r="Q3462" s="3">
        <v>0</v>
      </c>
      <c r="R3462" s="22" t="s">
        <v>3871</v>
      </c>
      <c r="S3462" s="22" t="s">
        <v>5097</v>
      </c>
      <c r="T3462" s="51">
        <v>27</v>
      </c>
      <c r="U3462" s="3" t="s">
        <v>6033</v>
      </c>
      <c r="V3462" s="41" t="str">
        <f>HYPERLINK("http://ictvonline.org/taxonomy/p/taxonomy-history?taxnode_id=20183527","ICTVonline=20183527")</f>
        <v>ICTVonline=20183527</v>
      </c>
    </row>
    <row r="3463" spans="1:22">
      <c r="A3463" s="3">
        <v>3462</v>
      </c>
      <c r="L3463" s="1" t="s">
        <v>2103</v>
      </c>
      <c r="N3463" s="1" t="s">
        <v>676</v>
      </c>
      <c r="P3463" s="1" t="s">
        <v>373</v>
      </c>
      <c r="Q3463" s="3">
        <v>0</v>
      </c>
      <c r="R3463" s="22" t="s">
        <v>3871</v>
      </c>
      <c r="S3463" s="22" t="s">
        <v>5099</v>
      </c>
      <c r="T3463" s="51">
        <v>16</v>
      </c>
      <c r="U3463" s="3" t="s">
        <v>5884</v>
      </c>
      <c r="V3463" s="41" t="str">
        <f>HYPERLINK("http://ictvonline.org/taxonomy/p/taxonomy-history?taxnode_id=20183528","ICTVonline=20183528")</f>
        <v>ICTVonline=20183528</v>
      </c>
    </row>
    <row r="3464" spans="1:22">
      <c r="A3464" s="3">
        <v>3463</v>
      </c>
      <c r="L3464" s="1" t="s">
        <v>2103</v>
      </c>
      <c r="N3464" s="1" t="s">
        <v>676</v>
      </c>
      <c r="P3464" s="1" t="s">
        <v>2271</v>
      </c>
      <c r="Q3464" s="3">
        <v>0</v>
      </c>
      <c r="R3464" s="22" t="s">
        <v>3871</v>
      </c>
      <c r="S3464" s="22" t="s">
        <v>5097</v>
      </c>
      <c r="T3464" s="51">
        <v>27</v>
      </c>
      <c r="U3464" s="3" t="s">
        <v>6033</v>
      </c>
      <c r="V3464" s="41" t="str">
        <f>HYPERLINK("http://ictvonline.org/taxonomy/p/taxonomy-history?taxnode_id=20183529","ICTVonline=20183529")</f>
        <v>ICTVonline=20183529</v>
      </c>
    </row>
    <row r="3465" spans="1:22">
      <c r="A3465" s="3">
        <v>3464</v>
      </c>
      <c r="L3465" s="1" t="s">
        <v>2103</v>
      </c>
      <c r="N3465" s="1" t="s">
        <v>676</v>
      </c>
      <c r="P3465" s="1" t="s">
        <v>2272</v>
      </c>
      <c r="Q3465" s="3">
        <v>0</v>
      </c>
      <c r="R3465" s="22" t="s">
        <v>3871</v>
      </c>
      <c r="S3465" s="22" t="s">
        <v>5097</v>
      </c>
      <c r="T3465" s="51">
        <v>27</v>
      </c>
      <c r="U3465" s="3" t="s">
        <v>6033</v>
      </c>
      <c r="V3465" s="41" t="str">
        <f>HYPERLINK("http://ictvonline.org/taxonomy/p/taxonomy-history?taxnode_id=20183530","ICTVonline=20183530")</f>
        <v>ICTVonline=20183530</v>
      </c>
    </row>
    <row r="3466" spans="1:22">
      <c r="A3466" s="3">
        <v>3465</v>
      </c>
      <c r="L3466" s="1" t="s">
        <v>2103</v>
      </c>
      <c r="N3466" s="1" t="s">
        <v>676</v>
      </c>
      <c r="P3466" s="1" t="s">
        <v>2273</v>
      </c>
      <c r="Q3466" s="3">
        <v>0</v>
      </c>
      <c r="R3466" s="22" t="s">
        <v>3871</v>
      </c>
      <c r="S3466" s="22" t="s">
        <v>5097</v>
      </c>
      <c r="T3466" s="51">
        <v>27</v>
      </c>
      <c r="U3466" s="3" t="s">
        <v>6033</v>
      </c>
      <c r="V3466" s="41" t="str">
        <f>HYPERLINK("http://ictvonline.org/taxonomy/p/taxonomy-history?taxnode_id=20183531","ICTVonline=20183531")</f>
        <v>ICTVonline=20183531</v>
      </c>
    </row>
    <row r="3467" spans="1:22">
      <c r="A3467" s="3">
        <v>3466</v>
      </c>
      <c r="L3467" s="1" t="s">
        <v>2103</v>
      </c>
      <c r="N3467" s="1" t="s">
        <v>676</v>
      </c>
      <c r="P3467" s="1" t="s">
        <v>6038</v>
      </c>
      <c r="Q3467" s="3">
        <v>0</v>
      </c>
      <c r="R3467" s="22" t="s">
        <v>3871</v>
      </c>
      <c r="S3467" s="22" t="s">
        <v>5097</v>
      </c>
      <c r="T3467" s="51">
        <v>27</v>
      </c>
      <c r="U3467" s="3" t="s">
        <v>6033</v>
      </c>
      <c r="V3467" s="41" t="str">
        <f>HYPERLINK("http://ictvonline.org/taxonomy/p/taxonomy-history?taxnode_id=20183532","ICTVonline=20183532")</f>
        <v>ICTVonline=20183532</v>
      </c>
    </row>
    <row r="3468" spans="1:22">
      <c r="A3468" s="3">
        <v>3467</v>
      </c>
      <c r="L3468" s="1" t="s">
        <v>2103</v>
      </c>
      <c r="N3468" s="1" t="s">
        <v>676</v>
      </c>
      <c r="P3468" s="1" t="s">
        <v>6039</v>
      </c>
      <c r="Q3468" s="3">
        <v>0</v>
      </c>
      <c r="R3468" s="22" t="s">
        <v>3871</v>
      </c>
      <c r="S3468" s="22" t="s">
        <v>5097</v>
      </c>
      <c r="T3468" s="51">
        <v>27</v>
      </c>
      <c r="U3468" s="3" t="s">
        <v>6033</v>
      </c>
      <c r="V3468" s="41" t="str">
        <f>HYPERLINK("http://ictvonline.org/taxonomy/p/taxonomy-history?taxnode_id=20183533","ICTVonline=20183533")</f>
        <v>ICTVonline=20183533</v>
      </c>
    </row>
    <row r="3469" spans="1:22">
      <c r="A3469" s="3">
        <v>3468</v>
      </c>
      <c r="L3469" s="1" t="s">
        <v>2103</v>
      </c>
      <c r="N3469" s="1" t="s">
        <v>676</v>
      </c>
      <c r="P3469" s="1" t="s">
        <v>6040</v>
      </c>
      <c r="Q3469" s="3">
        <v>0</v>
      </c>
      <c r="R3469" s="22" t="s">
        <v>3871</v>
      </c>
      <c r="S3469" s="22" t="s">
        <v>5097</v>
      </c>
      <c r="T3469" s="51">
        <v>32</v>
      </c>
      <c r="U3469" s="3" t="s">
        <v>6035</v>
      </c>
      <c r="V3469" s="41" t="str">
        <f>HYPERLINK("http://ictvonline.org/taxonomy/p/taxonomy-history?taxnode_id=20185855","ICTVonline=20185855")</f>
        <v>ICTVonline=20185855</v>
      </c>
    </row>
    <row r="3470" spans="1:22">
      <c r="A3470" s="3">
        <v>3469</v>
      </c>
      <c r="L3470" s="1" t="s">
        <v>2103</v>
      </c>
      <c r="N3470" s="1" t="s">
        <v>676</v>
      </c>
      <c r="P3470" s="1" t="s">
        <v>374</v>
      </c>
      <c r="Q3470" s="3">
        <v>0</v>
      </c>
      <c r="R3470" s="22" t="s">
        <v>3871</v>
      </c>
      <c r="S3470" s="22" t="s">
        <v>5097</v>
      </c>
      <c r="T3470" s="51">
        <v>20</v>
      </c>
      <c r="U3470" s="3" t="s">
        <v>5490</v>
      </c>
      <c r="V3470" s="41" t="str">
        <f>HYPERLINK("http://ictvonline.org/taxonomy/p/taxonomy-history?taxnode_id=20183534","ICTVonline=20183534")</f>
        <v>ICTVonline=20183534</v>
      </c>
    </row>
    <row r="3471" spans="1:22">
      <c r="A3471" s="3">
        <v>3470</v>
      </c>
      <c r="L3471" s="1" t="s">
        <v>2103</v>
      </c>
      <c r="N3471" s="1" t="s">
        <v>676</v>
      </c>
      <c r="P3471" s="1" t="s">
        <v>375</v>
      </c>
      <c r="Q3471" s="3">
        <v>0</v>
      </c>
      <c r="R3471" s="22" t="s">
        <v>3871</v>
      </c>
      <c r="S3471" s="22" t="s">
        <v>5097</v>
      </c>
      <c r="T3471" s="51">
        <v>20</v>
      </c>
      <c r="U3471" s="3" t="s">
        <v>5490</v>
      </c>
      <c r="V3471" s="41" t="str">
        <f>HYPERLINK("http://ictvonline.org/taxonomy/p/taxonomy-history?taxnode_id=20183535","ICTVonline=20183535")</f>
        <v>ICTVonline=20183535</v>
      </c>
    </row>
    <row r="3472" spans="1:22">
      <c r="A3472" s="3">
        <v>3471</v>
      </c>
      <c r="L3472" s="1" t="s">
        <v>2103</v>
      </c>
      <c r="N3472" s="1" t="s">
        <v>676</v>
      </c>
      <c r="P3472" s="1" t="s">
        <v>376</v>
      </c>
      <c r="Q3472" s="3">
        <v>0</v>
      </c>
      <c r="R3472" s="22" t="s">
        <v>3871</v>
      </c>
      <c r="S3472" s="22" t="s">
        <v>5099</v>
      </c>
      <c r="T3472" s="51">
        <v>16</v>
      </c>
      <c r="U3472" s="3" t="s">
        <v>5884</v>
      </c>
      <c r="V3472" s="41" t="str">
        <f>HYPERLINK("http://ictvonline.org/taxonomy/p/taxonomy-history?taxnode_id=20183536","ICTVonline=20183536")</f>
        <v>ICTVonline=20183536</v>
      </c>
    </row>
    <row r="3473" spans="1:22">
      <c r="A3473" s="3">
        <v>3472</v>
      </c>
      <c r="L3473" s="1" t="s">
        <v>2103</v>
      </c>
      <c r="N3473" s="1" t="s">
        <v>676</v>
      </c>
      <c r="P3473" s="1" t="s">
        <v>6041</v>
      </c>
      <c r="Q3473" s="3">
        <v>0</v>
      </c>
      <c r="R3473" s="22" t="s">
        <v>3871</v>
      </c>
      <c r="S3473" s="22" t="s">
        <v>5097</v>
      </c>
      <c r="T3473" s="51">
        <v>32</v>
      </c>
      <c r="U3473" s="3" t="s">
        <v>6035</v>
      </c>
      <c r="V3473" s="41" t="str">
        <f>HYPERLINK("http://ictvonline.org/taxonomy/p/taxonomy-history?taxnode_id=20185856","ICTVonline=20185856")</f>
        <v>ICTVonline=20185856</v>
      </c>
    </row>
    <row r="3474" spans="1:22">
      <c r="A3474" s="3">
        <v>3473</v>
      </c>
      <c r="L3474" s="1" t="s">
        <v>2103</v>
      </c>
      <c r="N3474" s="1" t="s">
        <v>676</v>
      </c>
      <c r="P3474" s="1" t="s">
        <v>3944</v>
      </c>
      <c r="Q3474" s="3">
        <v>0</v>
      </c>
      <c r="R3474" s="22" t="s">
        <v>3871</v>
      </c>
      <c r="S3474" s="22" t="s">
        <v>5097</v>
      </c>
      <c r="T3474" s="51">
        <v>30</v>
      </c>
      <c r="U3474" s="3" t="s">
        <v>6032</v>
      </c>
      <c r="V3474" s="41" t="str">
        <f>HYPERLINK("http://ictvonline.org/taxonomy/p/taxonomy-history?taxnode_id=20183537","ICTVonline=20183537")</f>
        <v>ICTVonline=20183537</v>
      </c>
    </row>
    <row r="3475" spans="1:22">
      <c r="A3475" s="3">
        <v>3474</v>
      </c>
      <c r="L3475" s="1" t="s">
        <v>2103</v>
      </c>
      <c r="N3475" s="1" t="s">
        <v>676</v>
      </c>
      <c r="P3475" s="1" t="s">
        <v>6042</v>
      </c>
      <c r="Q3475" s="3">
        <v>0</v>
      </c>
      <c r="R3475" s="22" t="s">
        <v>3871</v>
      </c>
      <c r="S3475" s="22" t="s">
        <v>5097</v>
      </c>
      <c r="T3475" s="51">
        <v>32</v>
      </c>
      <c r="U3475" s="3" t="s">
        <v>6035</v>
      </c>
      <c r="V3475" s="41" t="str">
        <f>HYPERLINK("http://ictvonline.org/taxonomy/p/taxonomy-history?taxnode_id=20185857","ICTVonline=20185857")</f>
        <v>ICTVonline=20185857</v>
      </c>
    </row>
    <row r="3476" spans="1:22">
      <c r="A3476" s="3">
        <v>3475</v>
      </c>
      <c r="L3476" s="1" t="s">
        <v>2103</v>
      </c>
      <c r="N3476" s="1" t="s">
        <v>676</v>
      </c>
      <c r="P3476" s="1" t="s">
        <v>3945</v>
      </c>
      <c r="Q3476" s="3">
        <v>0</v>
      </c>
      <c r="R3476" s="22" t="s">
        <v>3871</v>
      </c>
      <c r="S3476" s="22" t="s">
        <v>5097</v>
      </c>
      <c r="T3476" s="51">
        <v>30</v>
      </c>
      <c r="U3476" s="3" t="s">
        <v>6032</v>
      </c>
      <c r="V3476" s="41" t="str">
        <f>HYPERLINK("http://ictvonline.org/taxonomy/p/taxonomy-history?taxnode_id=20183538","ICTVonline=20183538")</f>
        <v>ICTVonline=20183538</v>
      </c>
    </row>
    <row r="3477" spans="1:22">
      <c r="A3477" s="3">
        <v>3476</v>
      </c>
      <c r="L3477" s="1" t="s">
        <v>2103</v>
      </c>
      <c r="N3477" s="1" t="s">
        <v>676</v>
      </c>
      <c r="P3477" s="1" t="s">
        <v>377</v>
      </c>
      <c r="Q3477" s="3">
        <v>0</v>
      </c>
      <c r="R3477" s="22" t="s">
        <v>3871</v>
      </c>
      <c r="S3477" s="22" t="s">
        <v>5099</v>
      </c>
      <c r="T3477" s="51">
        <v>16</v>
      </c>
      <c r="U3477" s="3" t="s">
        <v>5884</v>
      </c>
      <c r="V3477" s="41" t="str">
        <f>HYPERLINK("http://ictvonline.org/taxonomy/p/taxonomy-history?taxnode_id=20183539","ICTVonline=20183539")</f>
        <v>ICTVonline=20183539</v>
      </c>
    </row>
    <row r="3478" spans="1:22">
      <c r="A3478" s="3">
        <v>3477</v>
      </c>
      <c r="L3478" s="1" t="s">
        <v>2103</v>
      </c>
      <c r="N3478" s="1" t="s">
        <v>676</v>
      </c>
      <c r="P3478" s="1" t="s">
        <v>566</v>
      </c>
      <c r="Q3478" s="3">
        <v>0</v>
      </c>
      <c r="R3478" s="22" t="s">
        <v>3871</v>
      </c>
      <c r="S3478" s="22" t="s">
        <v>5097</v>
      </c>
      <c r="T3478" s="51">
        <v>25</v>
      </c>
      <c r="U3478" s="3" t="s">
        <v>6037</v>
      </c>
      <c r="V3478" s="41" t="str">
        <f>HYPERLINK("http://ictvonline.org/taxonomy/p/taxonomy-history?taxnode_id=20183540","ICTVonline=20183540")</f>
        <v>ICTVonline=20183540</v>
      </c>
    </row>
    <row r="3479" spans="1:22">
      <c r="A3479" s="3">
        <v>3478</v>
      </c>
      <c r="L3479" s="1" t="s">
        <v>2103</v>
      </c>
      <c r="N3479" s="1" t="s">
        <v>676</v>
      </c>
      <c r="P3479" s="1" t="s">
        <v>2274</v>
      </c>
      <c r="Q3479" s="3">
        <v>0</v>
      </c>
      <c r="R3479" s="22" t="s">
        <v>3871</v>
      </c>
      <c r="S3479" s="22" t="s">
        <v>5097</v>
      </c>
      <c r="T3479" s="51">
        <v>27</v>
      </c>
      <c r="U3479" s="3" t="s">
        <v>6033</v>
      </c>
      <c r="V3479" s="41" t="str">
        <f>HYPERLINK("http://ictvonline.org/taxonomy/p/taxonomy-history?taxnode_id=20183541","ICTVonline=20183541")</f>
        <v>ICTVonline=20183541</v>
      </c>
    </row>
    <row r="3480" spans="1:22">
      <c r="A3480" s="3">
        <v>3479</v>
      </c>
      <c r="L3480" s="1" t="s">
        <v>2103</v>
      </c>
      <c r="N3480" s="1" t="s">
        <v>676</v>
      </c>
      <c r="P3480" s="1" t="s">
        <v>378</v>
      </c>
      <c r="Q3480" s="3">
        <v>0</v>
      </c>
      <c r="R3480" s="22" t="s">
        <v>3871</v>
      </c>
      <c r="S3480" s="22" t="s">
        <v>5099</v>
      </c>
      <c r="T3480" s="51">
        <v>16</v>
      </c>
      <c r="U3480" s="3" t="s">
        <v>5884</v>
      </c>
      <c r="V3480" s="41" t="str">
        <f>HYPERLINK("http://ictvonline.org/taxonomy/p/taxonomy-history?taxnode_id=20183542","ICTVonline=20183542")</f>
        <v>ICTVonline=20183542</v>
      </c>
    </row>
    <row r="3481" spans="1:22">
      <c r="A3481" s="3">
        <v>3480</v>
      </c>
      <c r="L3481" s="1" t="s">
        <v>2103</v>
      </c>
      <c r="N3481" s="1" t="s">
        <v>379</v>
      </c>
      <c r="P3481" s="1" t="s">
        <v>380</v>
      </c>
      <c r="Q3481" s="3">
        <v>1</v>
      </c>
      <c r="R3481" s="22" t="s">
        <v>3871</v>
      </c>
      <c r="S3481" s="22" t="s">
        <v>5103</v>
      </c>
      <c r="T3481" s="51">
        <v>19</v>
      </c>
      <c r="U3481" s="3" t="s">
        <v>6043</v>
      </c>
      <c r="V3481" s="41" t="str">
        <f>HYPERLINK("http://ictvonline.org/taxonomy/p/taxonomy-history?taxnode_id=20183544","ICTVonline=20183544")</f>
        <v>ICTVonline=20183544</v>
      </c>
    </row>
    <row r="3482" spans="1:22">
      <c r="A3482" s="3">
        <v>3481</v>
      </c>
      <c r="L3482" s="1" t="s">
        <v>2103</v>
      </c>
      <c r="N3482" s="1" t="s">
        <v>2275</v>
      </c>
      <c r="P3482" s="1" t="s">
        <v>2276</v>
      </c>
      <c r="Q3482" s="3">
        <v>1</v>
      </c>
      <c r="R3482" s="22" t="s">
        <v>3871</v>
      </c>
      <c r="S3482" s="22" t="s">
        <v>5102</v>
      </c>
      <c r="T3482" s="51">
        <v>27</v>
      </c>
      <c r="U3482" s="3" t="s">
        <v>5950</v>
      </c>
      <c r="V3482" s="41" t="str">
        <f>HYPERLINK("http://ictvonline.org/taxonomy/p/taxonomy-history?taxnode_id=20183546","ICTVonline=20183546")</f>
        <v>ICTVonline=20183546</v>
      </c>
    </row>
    <row r="3483" spans="1:22">
      <c r="A3483" s="3">
        <v>3482</v>
      </c>
      <c r="L3483" s="1" t="s">
        <v>2103</v>
      </c>
      <c r="N3483" s="1" t="s">
        <v>2275</v>
      </c>
      <c r="P3483" s="1" t="s">
        <v>6044</v>
      </c>
      <c r="Q3483" s="3">
        <v>0</v>
      </c>
      <c r="R3483" s="22" t="s">
        <v>3871</v>
      </c>
      <c r="S3483" s="22" t="s">
        <v>5097</v>
      </c>
      <c r="T3483" s="51">
        <v>32</v>
      </c>
      <c r="U3483" s="3" t="s">
        <v>6045</v>
      </c>
      <c r="V3483" s="41" t="str">
        <f>HYPERLINK("http://ictvonline.org/taxonomy/p/taxonomy-history?taxnode_id=20185858","ICTVonline=20185858")</f>
        <v>ICTVonline=20185858</v>
      </c>
    </row>
    <row r="3484" spans="1:22">
      <c r="A3484" s="3">
        <v>3483</v>
      </c>
      <c r="L3484" s="1" t="s">
        <v>2103</v>
      </c>
      <c r="P3484" s="1" t="s">
        <v>4878</v>
      </c>
      <c r="Q3484" s="3">
        <v>0</v>
      </c>
      <c r="R3484" s="22" t="s">
        <v>3871</v>
      </c>
      <c r="S3484" s="22" t="s">
        <v>5097</v>
      </c>
      <c r="T3484" s="51">
        <v>31</v>
      </c>
      <c r="U3484" s="3" t="s">
        <v>6031</v>
      </c>
      <c r="V3484" s="41" t="str">
        <f>HYPERLINK("http://ictvonline.org/taxonomy/p/taxonomy-history?taxnode_id=20183548","ICTVonline=20183548")</f>
        <v>ICTVonline=20183548</v>
      </c>
    </row>
    <row r="3485" spans="1:22">
      <c r="A3485" s="3">
        <v>3484</v>
      </c>
      <c r="L3485" s="1" t="s">
        <v>2103</v>
      </c>
      <c r="P3485" s="1" t="s">
        <v>4879</v>
      </c>
      <c r="Q3485" s="3">
        <v>0</v>
      </c>
      <c r="R3485" s="22" t="s">
        <v>3871</v>
      </c>
      <c r="S3485" s="22" t="s">
        <v>5097</v>
      </c>
      <c r="T3485" s="51">
        <v>31</v>
      </c>
      <c r="U3485" s="3" t="s">
        <v>6031</v>
      </c>
      <c r="V3485" s="41" t="str">
        <f>HYPERLINK("http://ictvonline.org/taxonomy/p/taxonomy-history?taxnode_id=20183549","ICTVonline=20183549")</f>
        <v>ICTVonline=20183549</v>
      </c>
    </row>
    <row r="3486" spans="1:22">
      <c r="A3486" s="3">
        <v>3485</v>
      </c>
      <c r="L3486" s="1" t="s">
        <v>3946</v>
      </c>
      <c r="N3486" s="1" t="s">
        <v>3947</v>
      </c>
      <c r="P3486" s="1" t="s">
        <v>4880</v>
      </c>
      <c r="Q3486" s="3">
        <v>0</v>
      </c>
      <c r="R3486" s="22" t="s">
        <v>2767</v>
      </c>
      <c r="S3486" s="22" t="s">
        <v>5097</v>
      </c>
      <c r="T3486" s="51">
        <v>31</v>
      </c>
      <c r="U3486" s="3" t="s">
        <v>6046</v>
      </c>
      <c r="V3486" s="41" t="str">
        <f>HYPERLINK("http://ictvonline.org/taxonomy/p/taxonomy-history?taxnode_id=20183553","ICTVonline=20183553")</f>
        <v>ICTVonline=20183553</v>
      </c>
    </row>
    <row r="3487" spans="1:22">
      <c r="A3487" s="3">
        <v>3486</v>
      </c>
      <c r="L3487" s="1" t="s">
        <v>3946</v>
      </c>
      <c r="N3487" s="1" t="s">
        <v>3947</v>
      </c>
      <c r="P3487" s="1" t="s">
        <v>4881</v>
      </c>
      <c r="Q3487" s="3">
        <v>0</v>
      </c>
      <c r="R3487" s="22" t="s">
        <v>2767</v>
      </c>
      <c r="S3487" s="22" t="s">
        <v>5097</v>
      </c>
      <c r="T3487" s="51">
        <v>31</v>
      </c>
      <c r="U3487" s="3" t="s">
        <v>6046</v>
      </c>
      <c r="V3487" s="41" t="str">
        <f>HYPERLINK("http://ictvonline.org/taxonomy/p/taxonomy-history?taxnode_id=20183554","ICTVonline=20183554")</f>
        <v>ICTVonline=20183554</v>
      </c>
    </row>
    <row r="3488" spans="1:22">
      <c r="A3488" s="3">
        <v>3487</v>
      </c>
      <c r="L3488" s="1" t="s">
        <v>3946</v>
      </c>
      <c r="N3488" s="1" t="s">
        <v>3947</v>
      </c>
      <c r="P3488" s="1" t="s">
        <v>4882</v>
      </c>
      <c r="Q3488" s="3">
        <v>0</v>
      </c>
      <c r="R3488" s="22" t="s">
        <v>2767</v>
      </c>
      <c r="S3488" s="22" t="s">
        <v>5097</v>
      </c>
      <c r="T3488" s="51">
        <v>31</v>
      </c>
      <c r="U3488" s="3" t="s">
        <v>6046</v>
      </c>
      <c r="V3488" s="41" t="str">
        <f>HYPERLINK("http://ictvonline.org/taxonomy/p/taxonomy-history?taxnode_id=20183555","ICTVonline=20183555")</f>
        <v>ICTVonline=20183555</v>
      </c>
    </row>
    <row r="3489" spans="1:22">
      <c r="A3489" s="3">
        <v>3488</v>
      </c>
      <c r="L3489" s="1" t="s">
        <v>3946</v>
      </c>
      <c r="N3489" s="1" t="s">
        <v>3947</v>
      </c>
      <c r="P3489" s="1" t="s">
        <v>4883</v>
      </c>
      <c r="Q3489" s="3">
        <v>0</v>
      </c>
      <c r="R3489" s="22" t="s">
        <v>2767</v>
      </c>
      <c r="S3489" s="22" t="s">
        <v>5097</v>
      </c>
      <c r="T3489" s="51">
        <v>31</v>
      </c>
      <c r="U3489" s="3" t="s">
        <v>6046</v>
      </c>
      <c r="V3489" s="41" t="str">
        <f>HYPERLINK("http://ictvonline.org/taxonomy/p/taxonomy-history?taxnode_id=20183556","ICTVonline=20183556")</f>
        <v>ICTVonline=20183556</v>
      </c>
    </row>
    <row r="3490" spans="1:22">
      <c r="A3490" s="3">
        <v>3489</v>
      </c>
      <c r="L3490" s="1" t="s">
        <v>3946</v>
      </c>
      <c r="N3490" s="1" t="s">
        <v>3947</v>
      </c>
      <c r="P3490" s="1" t="s">
        <v>4884</v>
      </c>
      <c r="Q3490" s="3">
        <v>0</v>
      </c>
      <c r="R3490" s="22" t="s">
        <v>2767</v>
      </c>
      <c r="S3490" s="22" t="s">
        <v>5097</v>
      </c>
      <c r="T3490" s="51">
        <v>31</v>
      </c>
      <c r="U3490" s="3" t="s">
        <v>6046</v>
      </c>
      <c r="V3490" s="41" t="str">
        <f>HYPERLINK("http://ictvonline.org/taxonomy/p/taxonomy-history?taxnode_id=20183557","ICTVonline=20183557")</f>
        <v>ICTVonline=20183557</v>
      </c>
    </row>
    <row r="3491" spans="1:22">
      <c r="A3491" s="3">
        <v>3490</v>
      </c>
      <c r="L3491" s="1" t="s">
        <v>3946</v>
      </c>
      <c r="N3491" s="1" t="s">
        <v>3947</v>
      </c>
      <c r="P3491" s="1" t="s">
        <v>4885</v>
      </c>
      <c r="Q3491" s="3">
        <v>0</v>
      </c>
      <c r="R3491" s="22" t="s">
        <v>2767</v>
      </c>
      <c r="S3491" s="22" t="s">
        <v>5097</v>
      </c>
      <c r="T3491" s="51">
        <v>31</v>
      </c>
      <c r="U3491" s="3" t="s">
        <v>6046</v>
      </c>
      <c r="V3491" s="41" t="str">
        <f>HYPERLINK("http://ictvonline.org/taxonomy/p/taxonomy-history?taxnode_id=20183558","ICTVonline=20183558")</f>
        <v>ICTVonline=20183558</v>
      </c>
    </row>
    <row r="3492" spans="1:22">
      <c r="A3492" s="3">
        <v>3491</v>
      </c>
      <c r="L3492" s="1" t="s">
        <v>3946</v>
      </c>
      <c r="N3492" s="1" t="s">
        <v>3947</v>
      </c>
      <c r="P3492" s="1" t="s">
        <v>4886</v>
      </c>
      <c r="Q3492" s="3">
        <v>0</v>
      </c>
      <c r="R3492" s="22" t="s">
        <v>2767</v>
      </c>
      <c r="S3492" s="22" t="s">
        <v>5097</v>
      </c>
      <c r="T3492" s="51">
        <v>31</v>
      </c>
      <c r="U3492" s="3" t="s">
        <v>6046</v>
      </c>
      <c r="V3492" s="41" t="str">
        <f>HYPERLINK("http://ictvonline.org/taxonomy/p/taxonomy-history?taxnode_id=20183559","ICTVonline=20183559")</f>
        <v>ICTVonline=20183559</v>
      </c>
    </row>
    <row r="3493" spans="1:22">
      <c r="A3493" s="3">
        <v>3492</v>
      </c>
      <c r="L3493" s="1" t="s">
        <v>3946</v>
      </c>
      <c r="N3493" s="1" t="s">
        <v>3947</v>
      </c>
      <c r="P3493" s="1" t="s">
        <v>4887</v>
      </c>
      <c r="Q3493" s="3">
        <v>0</v>
      </c>
      <c r="R3493" s="22" t="s">
        <v>2767</v>
      </c>
      <c r="S3493" s="22" t="s">
        <v>5097</v>
      </c>
      <c r="T3493" s="51">
        <v>31</v>
      </c>
      <c r="U3493" s="3" t="s">
        <v>6046</v>
      </c>
      <c r="V3493" s="41" t="str">
        <f>HYPERLINK("http://ictvonline.org/taxonomy/p/taxonomy-history?taxnode_id=20183560","ICTVonline=20183560")</f>
        <v>ICTVonline=20183560</v>
      </c>
    </row>
    <row r="3494" spans="1:22">
      <c r="A3494" s="3">
        <v>3493</v>
      </c>
      <c r="L3494" s="1" t="s">
        <v>3946</v>
      </c>
      <c r="N3494" s="1" t="s">
        <v>3947</v>
      </c>
      <c r="P3494" s="1" t="s">
        <v>4888</v>
      </c>
      <c r="Q3494" s="3">
        <v>0</v>
      </c>
      <c r="R3494" s="22" t="s">
        <v>2767</v>
      </c>
      <c r="S3494" s="22" t="s">
        <v>5097</v>
      </c>
      <c r="T3494" s="51">
        <v>31</v>
      </c>
      <c r="U3494" s="3" t="s">
        <v>6046</v>
      </c>
      <c r="V3494" s="41" t="str">
        <f>HYPERLINK("http://ictvonline.org/taxonomy/p/taxonomy-history?taxnode_id=20183561","ICTVonline=20183561")</f>
        <v>ICTVonline=20183561</v>
      </c>
    </row>
    <row r="3495" spans="1:22">
      <c r="A3495" s="3">
        <v>3494</v>
      </c>
      <c r="L3495" s="1" t="s">
        <v>3946</v>
      </c>
      <c r="N3495" s="1" t="s">
        <v>3947</v>
      </c>
      <c r="P3495" s="1" t="s">
        <v>4889</v>
      </c>
      <c r="Q3495" s="3">
        <v>0</v>
      </c>
      <c r="R3495" s="22" t="s">
        <v>2767</v>
      </c>
      <c r="S3495" s="22" t="s">
        <v>5097</v>
      </c>
      <c r="T3495" s="51">
        <v>31</v>
      </c>
      <c r="U3495" s="3" t="s">
        <v>6046</v>
      </c>
      <c r="V3495" s="41" t="str">
        <f>HYPERLINK("http://ictvonline.org/taxonomy/p/taxonomy-history?taxnode_id=20183562","ICTVonline=20183562")</f>
        <v>ICTVonline=20183562</v>
      </c>
    </row>
    <row r="3496" spans="1:22">
      <c r="A3496" s="3">
        <v>3495</v>
      </c>
      <c r="L3496" s="1" t="s">
        <v>3946</v>
      </c>
      <c r="N3496" s="1" t="s">
        <v>3947</v>
      </c>
      <c r="P3496" s="1" t="s">
        <v>4890</v>
      </c>
      <c r="Q3496" s="3">
        <v>0</v>
      </c>
      <c r="R3496" s="22" t="s">
        <v>2767</v>
      </c>
      <c r="S3496" s="22" t="s">
        <v>5097</v>
      </c>
      <c r="T3496" s="51">
        <v>31</v>
      </c>
      <c r="U3496" s="3" t="s">
        <v>6046</v>
      </c>
      <c r="V3496" s="41" t="str">
        <f>HYPERLINK("http://ictvonline.org/taxonomy/p/taxonomy-history?taxnode_id=20183563","ICTVonline=20183563")</f>
        <v>ICTVonline=20183563</v>
      </c>
    </row>
    <row r="3497" spans="1:22">
      <c r="A3497" s="3">
        <v>3496</v>
      </c>
      <c r="L3497" s="1" t="s">
        <v>3946</v>
      </c>
      <c r="N3497" s="1" t="s">
        <v>3947</v>
      </c>
      <c r="P3497" s="1" t="s">
        <v>4891</v>
      </c>
      <c r="Q3497" s="3">
        <v>0</v>
      </c>
      <c r="R3497" s="22" t="s">
        <v>2767</v>
      </c>
      <c r="S3497" s="22" t="s">
        <v>5097</v>
      </c>
      <c r="T3497" s="51">
        <v>31</v>
      </c>
      <c r="U3497" s="3" t="s">
        <v>6046</v>
      </c>
      <c r="V3497" s="41" t="str">
        <f>HYPERLINK("http://ictvonline.org/taxonomy/p/taxonomy-history?taxnode_id=20183564","ICTVonline=20183564")</f>
        <v>ICTVonline=20183564</v>
      </c>
    </row>
    <row r="3498" spans="1:22">
      <c r="A3498" s="3">
        <v>3497</v>
      </c>
      <c r="L3498" s="1" t="s">
        <v>3946</v>
      </c>
      <c r="N3498" s="1" t="s">
        <v>3947</v>
      </c>
      <c r="P3498" s="1" t="s">
        <v>4892</v>
      </c>
      <c r="Q3498" s="3">
        <v>0</v>
      </c>
      <c r="R3498" s="22" t="s">
        <v>2767</v>
      </c>
      <c r="S3498" s="22" t="s">
        <v>5097</v>
      </c>
      <c r="T3498" s="51">
        <v>31</v>
      </c>
      <c r="U3498" s="3" t="s">
        <v>6046</v>
      </c>
      <c r="V3498" s="41" t="str">
        <f>HYPERLINK("http://ictvonline.org/taxonomy/p/taxonomy-history?taxnode_id=20183565","ICTVonline=20183565")</f>
        <v>ICTVonline=20183565</v>
      </c>
    </row>
    <row r="3499" spans="1:22">
      <c r="A3499" s="3">
        <v>3498</v>
      </c>
      <c r="L3499" s="1" t="s">
        <v>3946</v>
      </c>
      <c r="N3499" s="1" t="s">
        <v>3947</v>
      </c>
      <c r="P3499" s="1" t="s">
        <v>4893</v>
      </c>
      <c r="Q3499" s="3">
        <v>0</v>
      </c>
      <c r="R3499" s="22" t="s">
        <v>2767</v>
      </c>
      <c r="S3499" s="22" t="s">
        <v>5097</v>
      </c>
      <c r="T3499" s="51">
        <v>31</v>
      </c>
      <c r="U3499" s="3" t="s">
        <v>6046</v>
      </c>
      <c r="V3499" s="41" t="str">
        <f>HYPERLINK("http://ictvonline.org/taxonomy/p/taxonomy-history?taxnode_id=20183566","ICTVonline=20183566")</f>
        <v>ICTVonline=20183566</v>
      </c>
    </row>
    <row r="3500" spans="1:22">
      <c r="A3500" s="3">
        <v>3499</v>
      </c>
      <c r="L3500" s="1" t="s">
        <v>3946</v>
      </c>
      <c r="N3500" s="1" t="s">
        <v>3947</v>
      </c>
      <c r="P3500" s="1" t="s">
        <v>4894</v>
      </c>
      <c r="Q3500" s="3">
        <v>0</v>
      </c>
      <c r="R3500" s="22" t="s">
        <v>2767</v>
      </c>
      <c r="S3500" s="22" t="s">
        <v>5097</v>
      </c>
      <c r="T3500" s="51">
        <v>31</v>
      </c>
      <c r="U3500" s="3" t="s">
        <v>6046</v>
      </c>
      <c r="V3500" s="41" t="str">
        <f>HYPERLINK("http://ictvonline.org/taxonomy/p/taxonomy-history?taxnode_id=20183567","ICTVonline=20183567")</f>
        <v>ICTVonline=20183567</v>
      </c>
    </row>
    <row r="3501" spans="1:22">
      <c r="A3501" s="3">
        <v>3500</v>
      </c>
      <c r="L3501" s="1" t="s">
        <v>3946</v>
      </c>
      <c r="N3501" s="1" t="s">
        <v>3947</v>
      </c>
      <c r="P3501" s="1" t="s">
        <v>4895</v>
      </c>
      <c r="Q3501" s="3">
        <v>0</v>
      </c>
      <c r="R3501" s="22" t="s">
        <v>2767</v>
      </c>
      <c r="S3501" s="22" t="s">
        <v>5097</v>
      </c>
      <c r="T3501" s="51">
        <v>31</v>
      </c>
      <c r="U3501" s="3" t="s">
        <v>6046</v>
      </c>
      <c r="V3501" s="41" t="str">
        <f>HYPERLINK("http://ictvonline.org/taxonomy/p/taxonomy-history?taxnode_id=20183568","ICTVonline=20183568")</f>
        <v>ICTVonline=20183568</v>
      </c>
    </row>
    <row r="3502" spans="1:22">
      <c r="A3502" s="3">
        <v>3501</v>
      </c>
      <c r="L3502" s="1" t="s">
        <v>3946</v>
      </c>
      <c r="N3502" s="1" t="s">
        <v>3947</v>
      </c>
      <c r="P3502" s="1" t="s">
        <v>4896</v>
      </c>
      <c r="Q3502" s="3">
        <v>0</v>
      </c>
      <c r="R3502" s="22" t="s">
        <v>2767</v>
      </c>
      <c r="S3502" s="22" t="s">
        <v>5097</v>
      </c>
      <c r="T3502" s="51">
        <v>31</v>
      </c>
      <c r="U3502" s="3" t="s">
        <v>6046</v>
      </c>
      <c r="V3502" s="41" t="str">
        <f>HYPERLINK("http://ictvonline.org/taxonomy/p/taxonomy-history?taxnode_id=20183569","ICTVonline=20183569")</f>
        <v>ICTVonline=20183569</v>
      </c>
    </row>
    <row r="3503" spans="1:22">
      <c r="A3503" s="3">
        <v>3502</v>
      </c>
      <c r="L3503" s="1" t="s">
        <v>3946</v>
      </c>
      <c r="N3503" s="1" t="s">
        <v>3947</v>
      </c>
      <c r="P3503" s="1" t="s">
        <v>4897</v>
      </c>
      <c r="Q3503" s="3">
        <v>0</v>
      </c>
      <c r="R3503" s="22" t="s">
        <v>2767</v>
      </c>
      <c r="S3503" s="22" t="s">
        <v>5097</v>
      </c>
      <c r="T3503" s="51">
        <v>31</v>
      </c>
      <c r="U3503" s="3" t="s">
        <v>6046</v>
      </c>
      <c r="V3503" s="41" t="str">
        <f>HYPERLINK("http://ictvonline.org/taxonomy/p/taxonomy-history?taxnode_id=20183570","ICTVonline=20183570")</f>
        <v>ICTVonline=20183570</v>
      </c>
    </row>
    <row r="3504" spans="1:22">
      <c r="A3504" s="3">
        <v>3503</v>
      </c>
      <c r="L3504" s="1" t="s">
        <v>3946</v>
      </c>
      <c r="N3504" s="1" t="s">
        <v>3947</v>
      </c>
      <c r="P3504" s="1" t="s">
        <v>4898</v>
      </c>
      <c r="Q3504" s="3">
        <v>0</v>
      </c>
      <c r="R3504" s="22" t="s">
        <v>2767</v>
      </c>
      <c r="S3504" s="22" t="s">
        <v>5097</v>
      </c>
      <c r="T3504" s="51">
        <v>31</v>
      </c>
      <c r="U3504" s="3" t="s">
        <v>6046</v>
      </c>
      <c r="V3504" s="41" t="str">
        <f>HYPERLINK("http://ictvonline.org/taxonomy/p/taxonomy-history?taxnode_id=20183571","ICTVonline=20183571")</f>
        <v>ICTVonline=20183571</v>
      </c>
    </row>
    <row r="3505" spans="1:22">
      <c r="A3505" s="3">
        <v>3504</v>
      </c>
      <c r="L3505" s="1" t="s">
        <v>3946</v>
      </c>
      <c r="N3505" s="1" t="s">
        <v>3947</v>
      </c>
      <c r="P3505" s="1" t="s">
        <v>4899</v>
      </c>
      <c r="Q3505" s="3">
        <v>0</v>
      </c>
      <c r="R3505" s="22" t="s">
        <v>2767</v>
      </c>
      <c r="S3505" s="22" t="s">
        <v>5097</v>
      </c>
      <c r="T3505" s="51">
        <v>31</v>
      </c>
      <c r="U3505" s="3" t="s">
        <v>6046</v>
      </c>
      <c r="V3505" s="41" t="str">
        <f>HYPERLINK("http://ictvonline.org/taxonomy/p/taxonomy-history?taxnode_id=20183572","ICTVonline=20183572")</f>
        <v>ICTVonline=20183572</v>
      </c>
    </row>
    <row r="3506" spans="1:22">
      <c r="A3506" s="3">
        <v>3505</v>
      </c>
      <c r="L3506" s="1" t="s">
        <v>3946</v>
      </c>
      <c r="N3506" s="1" t="s">
        <v>3947</v>
      </c>
      <c r="P3506" s="1" t="s">
        <v>4900</v>
      </c>
      <c r="Q3506" s="3">
        <v>0</v>
      </c>
      <c r="R3506" s="22" t="s">
        <v>2767</v>
      </c>
      <c r="S3506" s="22" t="s">
        <v>5097</v>
      </c>
      <c r="T3506" s="51">
        <v>31</v>
      </c>
      <c r="U3506" s="3" t="s">
        <v>6046</v>
      </c>
      <c r="V3506" s="41" t="str">
        <f>HYPERLINK("http://ictvonline.org/taxonomy/p/taxonomy-history?taxnode_id=20183573","ICTVonline=20183573")</f>
        <v>ICTVonline=20183573</v>
      </c>
    </row>
    <row r="3507" spans="1:22">
      <c r="A3507" s="3">
        <v>3506</v>
      </c>
      <c r="L3507" s="1" t="s">
        <v>3946</v>
      </c>
      <c r="N3507" s="1" t="s">
        <v>3947</v>
      </c>
      <c r="P3507" s="1" t="s">
        <v>4901</v>
      </c>
      <c r="Q3507" s="3">
        <v>0</v>
      </c>
      <c r="R3507" s="22" t="s">
        <v>2767</v>
      </c>
      <c r="S3507" s="22" t="s">
        <v>5097</v>
      </c>
      <c r="T3507" s="51">
        <v>31</v>
      </c>
      <c r="U3507" s="3" t="s">
        <v>6046</v>
      </c>
      <c r="V3507" s="41" t="str">
        <f>HYPERLINK("http://ictvonline.org/taxonomy/p/taxonomy-history?taxnode_id=20183574","ICTVonline=20183574")</f>
        <v>ICTVonline=20183574</v>
      </c>
    </row>
    <row r="3508" spans="1:22">
      <c r="A3508" s="3">
        <v>3507</v>
      </c>
      <c r="L3508" s="1" t="s">
        <v>3946</v>
      </c>
      <c r="N3508" s="1" t="s">
        <v>3947</v>
      </c>
      <c r="P3508" s="1" t="s">
        <v>4902</v>
      </c>
      <c r="Q3508" s="3">
        <v>0</v>
      </c>
      <c r="R3508" s="22" t="s">
        <v>2767</v>
      </c>
      <c r="S3508" s="22" t="s">
        <v>5097</v>
      </c>
      <c r="T3508" s="51">
        <v>31</v>
      </c>
      <c r="U3508" s="3" t="s">
        <v>6046</v>
      </c>
      <c r="V3508" s="41" t="str">
        <f>HYPERLINK("http://ictvonline.org/taxonomy/p/taxonomy-history?taxnode_id=20183575","ICTVonline=20183575")</f>
        <v>ICTVonline=20183575</v>
      </c>
    </row>
    <row r="3509" spans="1:22">
      <c r="A3509" s="3">
        <v>3508</v>
      </c>
      <c r="L3509" s="1" t="s">
        <v>3946</v>
      </c>
      <c r="N3509" s="1" t="s">
        <v>3947</v>
      </c>
      <c r="P3509" s="1" t="s">
        <v>4903</v>
      </c>
      <c r="Q3509" s="3">
        <v>0</v>
      </c>
      <c r="R3509" s="22" t="s">
        <v>2767</v>
      </c>
      <c r="S3509" s="22" t="s">
        <v>5097</v>
      </c>
      <c r="T3509" s="51">
        <v>31</v>
      </c>
      <c r="U3509" s="3" t="s">
        <v>6046</v>
      </c>
      <c r="V3509" s="41" t="str">
        <f>HYPERLINK("http://ictvonline.org/taxonomy/p/taxonomy-history?taxnode_id=20183576","ICTVonline=20183576")</f>
        <v>ICTVonline=20183576</v>
      </c>
    </row>
    <row r="3510" spans="1:22">
      <c r="A3510" s="3">
        <v>3509</v>
      </c>
      <c r="L3510" s="1" t="s">
        <v>3946</v>
      </c>
      <c r="N3510" s="1" t="s">
        <v>3947</v>
      </c>
      <c r="P3510" s="1" t="s">
        <v>4904</v>
      </c>
      <c r="Q3510" s="3">
        <v>0</v>
      </c>
      <c r="R3510" s="22" t="s">
        <v>2767</v>
      </c>
      <c r="S3510" s="22" t="s">
        <v>5097</v>
      </c>
      <c r="T3510" s="51">
        <v>31</v>
      </c>
      <c r="U3510" s="3" t="s">
        <v>6046</v>
      </c>
      <c r="V3510" s="41" t="str">
        <f>HYPERLINK("http://ictvonline.org/taxonomy/p/taxonomy-history?taxnode_id=20183577","ICTVonline=20183577")</f>
        <v>ICTVonline=20183577</v>
      </c>
    </row>
    <row r="3511" spans="1:22">
      <c r="A3511" s="3">
        <v>3510</v>
      </c>
      <c r="L3511" s="1" t="s">
        <v>3946</v>
      </c>
      <c r="N3511" s="1" t="s">
        <v>3947</v>
      </c>
      <c r="P3511" s="1" t="s">
        <v>4905</v>
      </c>
      <c r="Q3511" s="3">
        <v>0</v>
      </c>
      <c r="R3511" s="22" t="s">
        <v>2767</v>
      </c>
      <c r="S3511" s="22" t="s">
        <v>5097</v>
      </c>
      <c r="T3511" s="51">
        <v>31</v>
      </c>
      <c r="U3511" s="3" t="s">
        <v>6046</v>
      </c>
      <c r="V3511" s="41" t="str">
        <f>HYPERLINK("http://ictvonline.org/taxonomy/p/taxonomy-history?taxnode_id=20183578","ICTVonline=20183578")</f>
        <v>ICTVonline=20183578</v>
      </c>
    </row>
    <row r="3512" spans="1:22">
      <c r="A3512" s="3">
        <v>3511</v>
      </c>
      <c r="L3512" s="1" t="s">
        <v>3946</v>
      </c>
      <c r="N3512" s="1" t="s">
        <v>3947</v>
      </c>
      <c r="P3512" s="1" t="s">
        <v>4906</v>
      </c>
      <c r="Q3512" s="3">
        <v>0</v>
      </c>
      <c r="R3512" s="22" t="s">
        <v>2767</v>
      </c>
      <c r="S3512" s="22" t="s">
        <v>5097</v>
      </c>
      <c r="T3512" s="51">
        <v>31</v>
      </c>
      <c r="U3512" s="3" t="s">
        <v>6046</v>
      </c>
      <c r="V3512" s="41" t="str">
        <f>HYPERLINK("http://ictvonline.org/taxonomy/p/taxonomy-history?taxnode_id=20183579","ICTVonline=20183579")</f>
        <v>ICTVonline=20183579</v>
      </c>
    </row>
    <row r="3513" spans="1:22">
      <c r="A3513" s="3">
        <v>3512</v>
      </c>
      <c r="L3513" s="1" t="s">
        <v>3946</v>
      </c>
      <c r="N3513" s="1" t="s">
        <v>3947</v>
      </c>
      <c r="P3513" s="1" t="s">
        <v>4907</v>
      </c>
      <c r="Q3513" s="3">
        <v>0</v>
      </c>
      <c r="R3513" s="22" t="s">
        <v>2767</v>
      </c>
      <c r="S3513" s="22" t="s">
        <v>5097</v>
      </c>
      <c r="T3513" s="51">
        <v>31</v>
      </c>
      <c r="U3513" s="3" t="s">
        <v>6046</v>
      </c>
      <c r="V3513" s="41" t="str">
        <f>HYPERLINK("http://ictvonline.org/taxonomy/p/taxonomy-history?taxnode_id=20183580","ICTVonline=20183580")</f>
        <v>ICTVonline=20183580</v>
      </c>
    </row>
    <row r="3514" spans="1:22">
      <c r="A3514" s="3">
        <v>3513</v>
      </c>
      <c r="L3514" s="1" t="s">
        <v>3946</v>
      </c>
      <c r="N3514" s="1" t="s">
        <v>3947</v>
      </c>
      <c r="P3514" s="1" t="s">
        <v>4908</v>
      </c>
      <c r="Q3514" s="3">
        <v>0</v>
      </c>
      <c r="R3514" s="22" t="s">
        <v>2767</v>
      </c>
      <c r="S3514" s="22" t="s">
        <v>5097</v>
      </c>
      <c r="T3514" s="51">
        <v>31</v>
      </c>
      <c r="U3514" s="3" t="s">
        <v>6046</v>
      </c>
      <c r="V3514" s="41" t="str">
        <f>HYPERLINK("http://ictvonline.org/taxonomy/p/taxonomy-history?taxnode_id=20183581","ICTVonline=20183581")</f>
        <v>ICTVonline=20183581</v>
      </c>
    </row>
    <row r="3515" spans="1:22">
      <c r="A3515" s="3">
        <v>3514</v>
      </c>
      <c r="L3515" s="1" t="s">
        <v>3946</v>
      </c>
      <c r="N3515" s="1" t="s">
        <v>3947</v>
      </c>
      <c r="P3515" s="1" t="s">
        <v>4909</v>
      </c>
      <c r="Q3515" s="3">
        <v>0</v>
      </c>
      <c r="R3515" s="22" t="s">
        <v>2767</v>
      </c>
      <c r="S3515" s="22" t="s">
        <v>5097</v>
      </c>
      <c r="T3515" s="51">
        <v>31</v>
      </c>
      <c r="U3515" s="3" t="s">
        <v>6046</v>
      </c>
      <c r="V3515" s="41" t="str">
        <f>HYPERLINK("http://ictvonline.org/taxonomy/p/taxonomy-history?taxnode_id=20183582","ICTVonline=20183582")</f>
        <v>ICTVonline=20183582</v>
      </c>
    </row>
    <row r="3516" spans="1:22">
      <c r="A3516" s="3">
        <v>3515</v>
      </c>
      <c r="L3516" s="1" t="s">
        <v>3946</v>
      </c>
      <c r="N3516" s="1" t="s">
        <v>3947</v>
      </c>
      <c r="P3516" s="1" t="s">
        <v>4910</v>
      </c>
      <c r="Q3516" s="3">
        <v>0</v>
      </c>
      <c r="R3516" s="22" t="s">
        <v>2767</v>
      </c>
      <c r="S3516" s="22" t="s">
        <v>5097</v>
      </c>
      <c r="T3516" s="51">
        <v>31</v>
      </c>
      <c r="U3516" s="3" t="s">
        <v>6046</v>
      </c>
      <c r="V3516" s="41" t="str">
        <f>HYPERLINK("http://ictvonline.org/taxonomy/p/taxonomy-history?taxnode_id=20183583","ICTVonline=20183583")</f>
        <v>ICTVonline=20183583</v>
      </c>
    </row>
    <row r="3517" spans="1:22">
      <c r="A3517" s="3">
        <v>3516</v>
      </c>
      <c r="L3517" s="1" t="s">
        <v>3946</v>
      </c>
      <c r="N3517" s="1" t="s">
        <v>3947</v>
      </c>
      <c r="P3517" s="1" t="s">
        <v>4911</v>
      </c>
      <c r="Q3517" s="3">
        <v>0</v>
      </c>
      <c r="R3517" s="22" t="s">
        <v>2767</v>
      </c>
      <c r="S3517" s="22" t="s">
        <v>5097</v>
      </c>
      <c r="T3517" s="51">
        <v>31</v>
      </c>
      <c r="U3517" s="3" t="s">
        <v>6046</v>
      </c>
      <c r="V3517" s="41" t="str">
        <f>HYPERLINK("http://ictvonline.org/taxonomy/p/taxonomy-history?taxnode_id=20183584","ICTVonline=20183584")</f>
        <v>ICTVonline=20183584</v>
      </c>
    </row>
    <row r="3518" spans="1:22">
      <c r="A3518" s="3">
        <v>3517</v>
      </c>
      <c r="L3518" s="1" t="s">
        <v>3946</v>
      </c>
      <c r="N3518" s="1" t="s">
        <v>3947</v>
      </c>
      <c r="P3518" s="1" t="s">
        <v>4912</v>
      </c>
      <c r="Q3518" s="3">
        <v>0</v>
      </c>
      <c r="R3518" s="22" t="s">
        <v>2767</v>
      </c>
      <c r="S3518" s="22" t="s">
        <v>5097</v>
      </c>
      <c r="T3518" s="51">
        <v>31</v>
      </c>
      <c r="U3518" s="3" t="s">
        <v>6046</v>
      </c>
      <c r="V3518" s="41" t="str">
        <f>HYPERLINK("http://ictvonline.org/taxonomy/p/taxonomy-history?taxnode_id=20183585","ICTVonline=20183585")</f>
        <v>ICTVonline=20183585</v>
      </c>
    </row>
    <row r="3519" spans="1:22">
      <c r="A3519" s="3">
        <v>3518</v>
      </c>
      <c r="L3519" s="1" t="s">
        <v>3946</v>
      </c>
      <c r="N3519" s="1" t="s">
        <v>3947</v>
      </c>
      <c r="P3519" s="1" t="s">
        <v>4913</v>
      </c>
      <c r="Q3519" s="3">
        <v>0</v>
      </c>
      <c r="R3519" s="22" t="s">
        <v>2767</v>
      </c>
      <c r="S3519" s="22" t="s">
        <v>5097</v>
      </c>
      <c r="T3519" s="51">
        <v>31</v>
      </c>
      <c r="U3519" s="3" t="s">
        <v>6046</v>
      </c>
      <c r="V3519" s="41" t="str">
        <f>HYPERLINK("http://ictvonline.org/taxonomy/p/taxonomy-history?taxnode_id=20183586","ICTVonline=20183586")</f>
        <v>ICTVonline=20183586</v>
      </c>
    </row>
    <row r="3520" spans="1:22">
      <c r="A3520" s="3">
        <v>3519</v>
      </c>
      <c r="L3520" s="1" t="s">
        <v>3946</v>
      </c>
      <c r="N3520" s="1" t="s">
        <v>3947</v>
      </c>
      <c r="P3520" s="1" t="s">
        <v>4914</v>
      </c>
      <c r="Q3520" s="3">
        <v>0</v>
      </c>
      <c r="R3520" s="22" t="s">
        <v>2767</v>
      </c>
      <c r="S3520" s="22" t="s">
        <v>5097</v>
      </c>
      <c r="T3520" s="51">
        <v>31</v>
      </c>
      <c r="U3520" s="3" t="s">
        <v>6046</v>
      </c>
      <c r="V3520" s="41" t="str">
        <f>HYPERLINK("http://ictvonline.org/taxonomy/p/taxonomy-history?taxnode_id=20183587","ICTVonline=20183587")</f>
        <v>ICTVonline=20183587</v>
      </c>
    </row>
    <row r="3521" spans="1:22">
      <c r="A3521" s="3">
        <v>3520</v>
      </c>
      <c r="L3521" s="1" t="s">
        <v>3946</v>
      </c>
      <c r="N3521" s="1" t="s">
        <v>3947</v>
      </c>
      <c r="P3521" s="1" t="s">
        <v>3948</v>
      </c>
      <c r="Q3521" s="3">
        <v>1</v>
      </c>
      <c r="R3521" s="22" t="s">
        <v>2767</v>
      </c>
      <c r="S3521" s="22" t="s">
        <v>5097</v>
      </c>
      <c r="T3521" s="51">
        <v>30</v>
      </c>
      <c r="U3521" s="3" t="s">
        <v>6047</v>
      </c>
      <c r="V3521" s="41" t="str">
        <f>HYPERLINK("http://ictvonline.org/taxonomy/p/taxonomy-history?taxnode_id=20183588","ICTVonline=20183588")</f>
        <v>ICTVonline=20183588</v>
      </c>
    </row>
    <row r="3522" spans="1:22">
      <c r="A3522" s="3">
        <v>3521</v>
      </c>
      <c r="L3522" s="1" t="s">
        <v>3946</v>
      </c>
      <c r="N3522" s="1" t="s">
        <v>3947</v>
      </c>
      <c r="P3522" s="1" t="s">
        <v>4915</v>
      </c>
      <c r="Q3522" s="3">
        <v>0</v>
      </c>
      <c r="R3522" s="22" t="s">
        <v>2767</v>
      </c>
      <c r="S3522" s="22" t="s">
        <v>5097</v>
      </c>
      <c r="T3522" s="51">
        <v>31</v>
      </c>
      <c r="U3522" s="3" t="s">
        <v>6046</v>
      </c>
      <c r="V3522" s="41" t="str">
        <f>HYPERLINK("http://ictvonline.org/taxonomy/p/taxonomy-history?taxnode_id=20183589","ICTVonline=20183589")</f>
        <v>ICTVonline=20183589</v>
      </c>
    </row>
    <row r="3523" spans="1:22">
      <c r="A3523" s="3">
        <v>3522</v>
      </c>
      <c r="L3523" s="1" t="s">
        <v>3946</v>
      </c>
      <c r="N3523" s="1" t="s">
        <v>3947</v>
      </c>
      <c r="P3523" s="1" t="s">
        <v>4916</v>
      </c>
      <c r="Q3523" s="3">
        <v>0</v>
      </c>
      <c r="R3523" s="22" t="s">
        <v>2767</v>
      </c>
      <c r="S3523" s="22" t="s">
        <v>5097</v>
      </c>
      <c r="T3523" s="51">
        <v>31</v>
      </c>
      <c r="U3523" s="3" t="s">
        <v>6046</v>
      </c>
      <c r="V3523" s="41" t="str">
        <f>HYPERLINK("http://ictvonline.org/taxonomy/p/taxonomy-history?taxnode_id=20183590","ICTVonline=20183590")</f>
        <v>ICTVonline=20183590</v>
      </c>
    </row>
    <row r="3524" spans="1:22">
      <c r="A3524" s="3">
        <v>3523</v>
      </c>
      <c r="L3524" s="1" t="s">
        <v>3946</v>
      </c>
      <c r="N3524" s="1" t="s">
        <v>3947</v>
      </c>
      <c r="P3524" s="1" t="s">
        <v>4917</v>
      </c>
      <c r="Q3524" s="3">
        <v>0</v>
      </c>
      <c r="R3524" s="22" t="s">
        <v>2767</v>
      </c>
      <c r="S3524" s="22" t="s">
        <v>5097</v>
      </c>
      <c r="T3524" s="51">
        <v>31</v>
      </c>
      <c r="U3524" s="3" t="s">
        <v>6046</v>
      </c>
      <c r="V3524" s="41" t="str">
        <f>HYPERLINK("http://ictvonline.org/taxonomy/p/taxonomy-history?taxnode_id=20183591","ICTVonline=20183591")</f>
        <v>ICTVonline=20183591</v>
      </c>
    </row>
    <row r="3525" spans="1:22">
      <c r="A3525" s="3">
        <v>3524</v>
      </c>
      <c r="L3525" s="1" t="s">
        <v>3946</v>
      </c>
      <c r="N3525" s="1" t="s">
        <v>3947</v>
      </c>
      <c r="P3525" s="1" t="s">
        <v>4918</v>
      </c>
      <c r="Q3525" s="3">
        <v>0</v>
      </c>
      <c r="R3525" s="22" t="s">
        <v>2767</v>
      </c>
      <c r="S3525" s="22" t="s">
        <v>5097</v>
      </c>
      <c r="T3525" s="51">
        <v>31</v>
      </c>
      <c r="U3525" s="3" t="s">
        <v>6046</v>
      </c>
      <c r="V3525" s="41" t="str">
        <f>HYPERLINK("http://ictvonline.org/taxonomy/p/taxonomy-history?taxnode_id=20183592","ICTVonline=20183592")</f>
        <v>ICTVonline=20183592</v>
      </c>
    </row>
    <row r="3526" spans="1:22">
      <c r="A3526" s="3">
        <v>3525</v>
      </c>
      <c r="L3526" s="1" t="s">
        <v>3946</v>
      </c>
      <c r="N3526" s="1" t="s">
        <v>3947</v>
      </c>
      <c r="P3526" s="1" t="s">
        <v>4919</v>
      </c>
      <c r="Q3526" s="3">
        <v>0</v>
      </c>
      <c r="R3526" s="22" t="s">
        <v>2767</v>
      </c>
      <c r="S3526" s="22" t="s">
        <v>5097</v>
      </c>
      <c r="T3526" s="51">
        <v>31</v>
      </c>
      <c r="U3526" s="3" t="s">
        <v>6046</v>
      </c>
      <c r="V3526" s="41" t="str">
        <f>HYPERLINK("http://ictvonline.org/taxonomy/p/taxonomy-history?taxnode_id=20183593","ICTVonline=20183593")</f>
        <v>ICTVonline=20183593</v>
      </c>
    </row>
    <row r="3527" spans="1:22">
      <c r="A3527" s="3">
        <v>3526</v>
      </c>
      <c r="L3527" s="1" t="s">
        <v>3946</v>
      </c>
      <c r="N3527" s="1" t="s">
        <v>3947</v>
      </c>
      <c r="P3527" s="1" t="s">
        <v>4920</v>
      </c>
      <c r="Q3527" s="3">
        <v>0</v>
      </c>
      <c r="R3527" s="22" t="s">
        <v>2767</v>
      </c>
      <c r="S3527" s="22" t="s">
        <v>5097</v>
      </c>
      <c r="T3527" s="51">
        <v>31</v>
      </c>
      <c r="U3527" s="3" t="s">
        <v>6046</v>
      </c>
      <c r="V3527" s="41" t="str">
        <f>HYPERLINK("http://ictvonline.org/taxonomy/p/taxonomy-history?taxnode_id=20183594","ICTVonline=20183594")</f>
        <v>ICTVonline=20183594</v>
      </c>
    </row>
    <row r="3528" spans="1:22">
      <c r="A3528" s="3">
        <v>3527</v>
      </c>
      <c r="L3528" s="1" t="s">
        <v>3946</v>
      </c>
      <c r="N3528" s="1" t="s">
        <v>3947</v>
      </c>
      <c r="P3528" s="1" t="s">
        <v>4921</v>
      </c>
      <c r="Q3528" s="3">
        <v>0</v>
      </c>
      <c r="R3528" s="22" t="s">
        <v>2767</v>
      </c>
      <c r="S3528" s="22" t="s">
        <v>5097</v>
      </c>
      <c r="T3528" s="51">
        <v>31</v>
      </c>
      <c r="U3528" s="3" t="s">
        <v>6046</v>
      </c>
      <c r="V3528" s="41" t="str">
        <f>HYPERLINK("http://ictvonline.org/taxonomy/p/taxonomy-history?taxnode_id=20183595","ICTVonline=20183595")</f>
        <v>ICTVonline=20183595</v>
      </c>
    </row>
    <row r="3529" spans="1:22">
      <c r="A3529" s="3">
        <v>3528</v>
      </c>
      <c r="L3529" s="1" t="s">
        <v>3946</v>
      </c>
      <c r="N3529" s="1" t="s">
        <v>4922</v>
      </c>
      <c r="P3529" s="1" t="s">
        <v>4923</v>
      </c>
      <c r="Q3529" s="3">
        <v>1</v>
      </c>
      <c r="R3529" s="22" t="s">
        <v>2767</v>
      </c>
      <c r="S3529" s="22" t="s">
        <v>5097</v>
      </c>
      <c r="T3529" s="51">
        <v>31</v>
      </c>
      <c r="U3529" s="3" t="s">
        <v>6046</v>
      </c>
      <c r="V3529" s="41" t="str">
        <f>HYPERLINK("http://ictvonline.org/taxonomy/p/taxonomy-history?taxnode_id=20183597","ICTVonline=20183597")</f>
        <v>ICTVonline=20183597</v>
      </c>
    </row>
    <row r="3530" spans="1:22">
      <c r="A3530" s="3">
        <v>3529</v>
      </c>
      <c r="L3530" s="1" t="s">
        <v>3946</v>
      </c>
      <c r="N3530" s="1" t="s">
        <v>4924</v>
      </c>
      <c r="P3530" s="1" t="s">
        <v>4925</v>
      </c>
      <c r="Q3530" s="3">
        <v>0</v>
      </c>
      <c r="R3530" s="22" t="s">
        <v>2767</v>
      </c>
      <c r="S3530" s="22" t="s">
        <v>5097</v>
      </c>
      <c r="T3530" s="51">
        <v>31</v>
      </c>
      <c r="U3530" s="3" t="s">
        <v>6046</v>
      </c>
      <c r="V3530" s="41" t="str">
        <f>HYPERLINK("http://ictvonline.org/taxonomy/p/taxonomy-history?taxnode_id=20183599","ICTVonline=20183599")</f>
        <v>ICTVonline=20183599</v>
      </c>
    </row>
    <row r="3531" spans="1:22">
      <c r="A3531" s="3">
        <v>3530</v>
      </c>
      <c r="L3531" s="1" t="s">
        <v>3946</v>
      </c>
      <c r="N3531" s="1" t="s">
        <v>4924</v>
      </c>
      <c r="P3531" s="1" t="s">
        <v>4926</v>
      </c>
      <c r="Q3531" s="3">
        <v>0</v>
      </c>
      <c r="R3531" s="22" t="s">
        <v>2767</v>
      </c>
      <c r="S3531" s="22" t="s">
        <v>5097</v>
      </c>
      <c r="T3531" s="51">
        <v>31</v>
      </c>
      <c r="U3531" s="3" t="s">
        <v>6046</v>
      </c>
      <c r="V3531" s="41" t="str">
        <f>HYPERLINK("http://ictvonline.org/taxonomy/p/taxonomy-history?taxnode_id=20183600","ICTVonline=20183600")</f>
        <v>ICTVonline=20183600</v>
      </c>
    </row>
    <row r="3532" spans="1:22">
      <c r="A3532" s="3">
        <v>3531</v>
      </c>
      <c r="L3532" s="1" t="s">
        <v>3946</v>
      </c>
      <c r="N3532" s="1" t="s">
        <v>4924</v>
      </c>
      <c r="P3532" s="1" t="s">
        <v>4927</v>
      </c>
      <c r="Q3532" s="3">
        <v>0</v>
      </c>
      <c r="R3532" s="22" t="s">
        <v>2767</v>
      </c>
      <c r="S3532" s="22" t="s">
        <v>5097</v>
      </c>
      <c r="T3532" s="51">
        <v>31</v>
      </c>
      <c r="U3532" s="3" t="s">
        <v>6046</v>
      </c>
      <c r="V3532" s="41" t="str">
        <f>HYPERLINK("http://ictvonline.org/taxonomy/p/taxonomy-history?taxnode_id=20183601","ICTVonline=20183601")</f>
        <v>ICTVonline=20183601</v>
      </c>
    </row>
    <row r="3533" spans="1:22">
      <c r="A3533" s="3">
        <v>3532</v>
      </c>
      <c r="L3533" s="1" t="s">
        <v>3946</v>
      </c>
      <c r="N3533" s="1" t="s">
        <v>4924</v>
      </c>
      <c r="P3533" s="1" t="s">
        <v>4928</v>
      </c>
      <c r="Q3533" s="3">
        <v>0</v>
      </c>
      <c r="R3533" s="22" t="s">
        <v>2767</v>
      </c>
      <c r="S3533" s="22" t="s">
        <v>5097</v>
      </c>
      <c r="T3533" s="51">
        <v>31</v>
      </c>
      <c r="U3533" s="3" t="s">
        <v>6046</v>
      </c>
      <c r="V3533" s="41" t="str">
        <f>HYPERLINK("http://ictvonline.org/taxonomy/p/taxonomy-history?taxnode_id=20183602","ICTVonline=20183602")</f>
        <v>ICTVonline=20183602</v>
      </c>
    </row>
    <row r="3534" spans="1:22">
      <c r="A3534" s="3">
        <v>3533</v>
      </c>
      <c r="L3534" s="1" t="s">
        <v>3946</v>
      </c>
      <c r="N3534" s="1" t="s">
        <v>4924</v>
      </c>
      <c r="P3534" s="1" t="s">
        <v>4929</v>
      </c>
      <c r="Q3534" s="3">
        <v>1</v>
      </c>
      <c r="R3534" s="22" t="s">
        <v>2767</v>
      </c>
      <c r="S3534" s="22" t="s">
        <v>5097</v>
      </c>
      <c r="T3534" s="51">
        <v>31</v>
      </c>
      <c r="U3534" s="3" t="s">
        <v>6046</v>
      </c>
      <c r="V3534" s="41" t="str">
        <f>HYPERLINK("http://ictvonline.org/taxonomy/p/taxonomy-history?taxnode_id=20183603","ICTVonline=20183603")</f>
        <v>ICTVonline=20183603</v>
      </c>
    </row>
    <row r="3535" spans="1:22">
      <c r="A3535" s="3">
        <v>3534</v>
      </c>
      <c r="L3535" s="1" t="s">
        <v>3946</v>
      </c>
      <c r="N3535" s="1" t="s">
        <v>4930</v>
      </c>
      <c r="P3535" s="1" t="s">
        <v>4931</v>
      </c>
      <c r="Q3535" s="3">
        <v>0</v>
      </c>
      <c r="R3535" s="22" t="s">
        <v>2767</v>
      </c>
      <c r="S3535" s="22" t="s">
        <v>5097</v>
      </c>
      <c r="T3535" s="51">
        <v>31</v>
      </c>
      <c r="U3535" s="3" t="s">
        <v>6046</v>
      </c>
      <c r="V3535" s="41" t="str">
        <f>HYPERLINK("http://ictvonline.org/taxonomy/p/taxonomy-history?taxnode_id=20183605","ICTVonline=20183605")</f>
        <v>ICTVonline=20183605</v>
      </c>
    </row>
    <row r="3536" spans="1:22">
      <c r="A3536" s="3">
        <v>3535</v>
      </c>
      <c r="L3536" s="1" t="s">
        <v>3946</v>
      </c>
      <c r="N3536" s="1" t="s">
        <v>4930</v>
      </c>
      <c r="P3536" s="1" t="s">
        <v>4932</v>
      </c>
      <c r="Q3536" s="3">
        <v>0</v>
      </c>
      <c r="R3536" s="22" t="s">
        <v>2767</v>
      </c>
      <c r="S3536" s="22" t="s">
        <v>5097</v>
      </c>
      <c r="T3536" s="51">
        <v>31</v>
      </c>
      <c r="U3536" s="3" t="s">
        <v>6046</v>
      </c>
      <c r="V3536" s="41" t="str">
        <f>HYPERLINK("http://ictvonline.org/taxonomy/p/taxonomy-history?taxnode_id=20183606","ICTVonline=20183606")</f>
        <v>ICTVonline=20183606</v>
      </c>
    </row>
    <row r="3537" spans="1:22">
      <c r="A3537" s="3">
        <v>3536</v>
      </c>
      <c r="L3537" s="1" t="s">
        <v>3946</v>
      </c>
      <c r="N3537" s="1" t="s">
        <v>4930</v>
      </c>
      <c r="P3537" s="1" t="s">
        <v>4933</v>
      </c>
      <c r="Q3537" s="3">
        <v>0</v>
      </c>
      <c r="R3537" s="22" t="s">
        <v>2767</v>
      </c>
      <c r="S3537" s="22" t="s">
        <v>5097</v>
      </c>
      <c r="T3537" s="51">
        <v>31</v>
      </c>
      <c r="U3537" s="3" t="s">
        <v>6046</v>
      </c>
      <c r="V3537" s="41" t="str">
        <f>HYPERLINK("http://ictvonline.org/taxonomy/p/taxonomy-history?taxnode_id=20183607","ICTVonline=20183607")</f>
        <v>ICTVonline=20183607</v>
      </c>
    </row>
    <row r="3538" spans="1:22">
      <c r="A3538" s="3">
        <v>3537</v>
      </c>
      <c r="L3538" s="1" t="s">
        <v>3946</v>
      </c>
      <c r="N3538" s="1" t="s">
        <v>4930</v>
      </c>
      <c r="P3538" s="1" t="s">
        <v>4934</v>
      </c>
      <c r="Q3538" s="3">
        <v>0</v>
      </c>
      <c r="R3538" s="22" t="s">
        <v>2767</v>
      </c>
      <c r="S3538" s="22" t="s">
        <v>5097</v>
      </c>
      <c r="T3538" s="51">
        <v>31</v>
      </c>
      <c r="U3538" s="3" t="s">
        <v>6046</v>
      </c>
      <c r="V3538" s="41" t="str">
        <f>HYPERLINK("http://ictvonline.org/taxonomy/p/taxonomy-history?taxnode_id=20183608","ICTVonline=20183608")</f>
        <v>ICTVonline=20183608</v>
      </c>
    </row>
    <row r="3539" spans="1:22">
      <c r="A3539" s="3">
        <v>3538</v>
      </c>
      <c r="L3539" s="1" t="s">
        <v>3946</v>
      </c>
      <c r="N3539" s="1" t="s">
        <v>4930</v>
      </c>
      <c r="P3539" s="1" t="s">
        <v>4935</v>
      </c>
      <c r="Q3539" s="3">
        <v>1</v>
      </c>
      <c r="R3539" s="22" t="s">
        <v>2767</v>
      </c>
      <c r="S3539" s="22" t="s">
        <v>5097</v>
      </c>
      <c r="T3539" s="51">
        <v>31</v>
      </c>
      <c r="U3539" s="3" t="s">
        <v>6046</v>
      </c>
      <c r="V3539" s="41" t="str">
        <f>HYPERLINK("http://ictvonline.org/taxonomy/p/taxonomy-history?taxnode_id=20183609","ICTVonline=20183609")</f>
        <v>ICTVonline=20183609</v>
      </c>
    </row>
    <row r="3540" spans="1:22">
      <c r="A3540" s="3">
        <v>3539</v>
      </c>
      <c r="L3540" s="1" t="s">
        <v>3946</v>
      </c>
      <c r="N3540" s="1" t="s">
        <v>4930</v>
      </c>
      <c r="P3540" s="1" t="s">
        <v>4936</v>
      </c>
      <c r="Q3540" s="3">
        <v>0</v>
      </c>
      <c r="R3540" s="22" t="s">
        <v>2767</v>
      </c>
      <c r="S3540" s="22" t="s">
        <v>5097</v>
      </c>
      <c r="T3540" s="51">
        <v>31</v>
      </c>
      <c r="U3540" s="3" t="s">
        <v>6046</v>
      </c>
      <c r="V3540" s="41" t="str">
        <f>HYPERLINK("http://ictvonline.org/taxonomy/p/taxonomy-history?taxnode_id=20183610","ICTVonline=20183610")</f>
        <v>ICTVonline=20183610</v>
      </c>
    </row>
    <row r="3541" spans="1:22">
      <c r="A3541" s="3">
        <v>3540</v>
      </c>
      <c r="L3541" s="1" t="s">
        <v>3946</v>
      </c>
      <c r="N3541" s="1" t="s">
        <v>4930</v>
      </c>
      <c r="P3541" s="1" t="s">
        <v>4937</v>
      </c>
      <c r="Q3541" s="3">
        <v>0</v>
      </c>
      <c r="R3541" s="22" t="s">
        <v>2767</v>
      </c>
      <c r="S3541" s="22" t="s">
        <v>5097</v>
      </c>
      <c r="T3541" s="51">
        <v>31</v>
      </c>
      <c r="U3541" s="3" t="s">
        <v>6046</v>
      </c>
      <c r="V3541" s="41" t="str">
        <f>HYPERLINK("http://ictvonline.org/taxonomy/p/taxonomy-history?taxnode_id=20183611","ICTVonline=20183611")</f>
        <v>ICTVonline=20183611</v>
      </c>
    </row>
    <row r="3542" spans="1:22">
      <c r="A3542" s="3">
        <v>3541</v>
      </c>
      <c r="L3542" s="1" t="s">
        <v>3946</v>
      </c>
      <c r="N3542" s="1" t="s">
        <v>4930</v>
      </c>
      <c r="P3542" s="1" t="s">
        <v>4938</v>
      </c>
      <c r="Q3542" s="3">
        <v>0</v>
      </c>
      <c r="R3542" s="22" t="s">
        <v>2767</v>
      </c>
      <c r="S3542" s="22" t="s">
        <v>5097</v>
      </c>
      <c r="T3542" s="51">
        <v>31</v>
      </c>
      <c r="U3542" s="3" t="s">
        <v>6046</v>
      </c>
      <c r="V3542" s="41" t="str">
        <f>HYPERLINK("http://ictvonline.org/taxonomy/p/taxonomy-history?taxnode_id=20183612","ICTVonline=20183612")</f>
        <v>ICTVonline=20183612</v>
      </c>
    </row>
    <row r="3543" spans="1:22">
      <c r="A3543" s="3">
        <v>3542</v>
      </c>
      <c r="L3543" s="1" t="s">
        <v>3946</v>
      </c>
      <c r="N3543" s="1" t="s">
        <v>4930</v>
      </c>
      <c r="P3543" s="1" t="s">
        <v>4939</v>
      </c>
      <c r="Q3543" s="3">
        <v>0</v>
      </c>
      <c r="R3543" s="22" t="s">
        <v>2767</v>
      </c>
      <c r="S3543" s="22" t="s">
        <v>5097</v>
      </c>
      <c r="T3543" s="51">
        <v>31</v>
      </c>
      <c r="U3543" s="3" t="s">
        <v>6046</v>
      </c>
      <c r="V3543" s="41" t="str">
        <f>HYPERLINK("http://ictvonline.org/taxonomy/p/taxonomy-history?taxnode_id=20183613","ICTVonline=20183613")</f>
        <v>ICTVonline=20183613</v>
      </c>
    </row>
    <row r="3544" spans="1:22">
      <c r="A3544" s="3">
        <v>3543</v>
      </c>
      <c r="L3544" s="1" t="s">
        <v>3946</v>
      </c>
      <c r="N3544" s="1" t="s">
        <v>4930</v>
      </c>
      <c r="P3544" s="1" t="s">
        <v>4940</v>
      </c>
      <c r="Q3544" s="3">
        <v>0</v>
      </c>
      <c r="R3544" s="22" t="s">
        <v>2767</v>
      </c>
      <c r="S3544" s="22" t="s">
        <v>5097</v>
      </c>
      <c r="T3544" s="51">
        <v>31</v>
      </c>
      <c r="U3544" s="3" t="s">
        <v>6046</v>
      </c>
      <c r="V3544" s="41" t="str">
        <f>HYPERLINK("http://ictvonline.org/taxonomy/p/taxonomy-history?taxnode_id=20183614","ICTVonline=20183614")</f>
        <v>ICTVonline=20183614</v>
      </c>
    </row>
    <row r="3545" spans="1:22">
      <c r="A3545" s="3">
        <v>3544</v>
      </c>
      <c r="L3545" s="1" t="s">
        <v>3946</v>
      </c>
      <c r="N3545" s="1" t="s">
        <v>4930</v>
      </c>
      <c r="P3545" s="1" t="s">
        <v>4941</v>
      </c>
      <c r="Q3545" s="3">
        <v>0</v>
      </c>
      <c r="R3545" s="22" t="s">
        <v>2767</v>
      </c>
      <c r="S3545" s="22" t="s">
        <v>5097</v>
      </c>
      <c r="T3545" s="51">
        <v>31</v>
      </c>
      <c r="U3545" s="3" t="s">
        <v>6046</v>
      </c>
      <c r="V3545" s="41" t="str">
        <f>HYPERLINK("http://ictvonline.org/taxonomy/p/taxonomy-history?taxnode_id=20183615","ICTVonline=20183615")</f>
        <v>ICTVonline=20183615</v>
      </c>
    </row>
    <row r="3546" spans="1:22">
      <c r="A3546" s="3">
        <v>3545</v>
      </c>
      <c r="L3546" s="1" t="s">
        <v>3946</v>
      </c>
      <c r="N3546" s="1" t="s">
        <v>4930</v>
      </c>
      <c r="P3546" s="1" t="s">
        <v>4942</v>
      </c>
      <c r="Q3546" s="3">
        <v>0</v>
      </c>
      <c r="R3546" s="22" t="s">
        <v>2767</v>
      </c>
      <c r="S3546" s="22" t="s">
        <v>5097</v>
      </c>
      <c r="T3546" s="51">
        <v>31</v>
      </c>
      <c r="U3546" s="3" t="s">
        <v>6046</v>
      </c>
      <c r="V3546" s="41" t="str">
        <f>HYPERLINK("http://ictvonline.org/taxonomy/p/taxonomy-history?taxnode_id=20183616","ICTVonline=20183616")</f>
        <v>ICTVonline=20183616</v>
      </c>
    </row>
    <row r="3547" spans="1:22">
      <c r="A3547" s="3">
        <v>3546</v>
      </c>
      <c r="L3547" s="1" t="s">
        <v>3946</v>
      </c>
      <c r="N3547" s="1" t="s">
        <v>4930</v>
      </c>
      <c r="P3547" s="1" t="s">
        <v>4943</v>
      </c>
      <c r="Q3547" s="3">
        <v>0</v>
      </c>
      <c r="R3547" s="22" t="s">
        <v>2767</v>
      </c>
      <c r="S3547" s="22" t="s">
        <v>5097</v>
      </c>
      <c r="T3547" s="51">
        <v>31</v>
      </c>
      <c r="U3547" s="3" t="s">
        <v>6046</v>
      </c>
      <c r="V3547" s="41" t="str">
        <f>HYPERLINK("http://ictvonline.org/taxonomy/p/taxonomy-history?taxnode_id=20183617","ICTVonline=20183617")</f>
        <v>ICTVonline=20183617</v>
      </c>
    </row>
    <row r="3548" spans="1:22">
      <c r="A3548" s="3">
        <v>3547</v>
      </c>
      <c r="L3548" s="1" t="s">
        <v>3946</v>
      </c>
      <c r="N3548" s="1" t="s">
        <v>4930</v>
      </c>
      <c r="P3548" s="1" t="s">
        <v>4944</v>
      </c>
      <c r="Q3548" s="3">
        <v>0</v>
      </c>
      <c r="R3548" s="22" t="s">
        <v>2767</v>
      </c>
      <c r="S3548" s="22" t="s">
        <v>5097</v>
      </c>
      <c r="T3548" s="51">
        <v>31</v>
      </c>
      <c r="U3548" s="3" t="s">
        <v>6046</v>
      </c>
      <c r="V3548" s="41" t="str">
        <f>HYPERLINK("http://ictvonline.org/taxonomy/p/taxonomy-history?taxnode_id=20183618","ICTVonline=20183618")</f>
        <v>ICTVonline=20183618</v>
      </c>
    </row>
    <row r="3549" spans="1:22">
      <c r="A3549" s="3">
        <v>3548</v>
      </c>
      <c r="L3549" s="1" t="s">
        <v>3946</v>
      </c>
      <c r="N3549" s="1" t="s">
        <v>4930</v>
      </c>
      <c r="P3549" s="1" t="s">
        <v>4945</v>
      </c>
      <c r="Q3549" s="3">
        <v>0</v>
      </c>
      <c r="R3549" s="22" t="s">
        <v>2767</v>
      </c>
      <c r="S3549" s="22" t="s">
        <v>5097</v>
      </c>
      <c r="T3549" s="51">
        <v>31</v>
      </c>
      <c r="U3549" s="3" t="s">
        <v>6046</v>
      </c>
      <c r="V3549" s="41" t="str">
        <f>HYPERLINK("http://ictvonline.org/taxonomy/p/taxonomy-history?taxnode_id=20183619","ICTVonline=20183619")</f>
        <v>ICTVonline=20183619</v>
      </c>
    </row>
    <row r="3550" spans="1:22">
      <c r="A3550" s="3">
        <v>3549</v>
      </c>
      <c r="L3550" s="1" t="s">
        <v>3946</v>
      </c>
      <c r="N3550" s="1" t="s">
        <v>4930</v>
      </c>
      <c r="P3550" s="1" t="s">
        <v>4946</v>
      </c>
      <c r="Q3550" s="3">
        <v>0</v>
      </c>
      <c r="R3550" s="22" t="s">
        <v>2767</v>
      </c>
      <c r="S3550" s="22" t="s">
        <v>5097</v>
      </c>
      <c r="T3550" s="51">
        <v>31</v>
      </c>
      <c r="U3550" s="3" t="s">
        <v>6046</v>
      </c>
      <c r="V3550" s="41" t="str">
        <f>HYPERLINK("http://ictvonline.org/taxonomy/p/taxonomy-history?taxnode_id=20183620","ICTVonline=20183620")</f>
        <v>ICTVonline=20183620</v>
      </c>
    </row>
    <row r="3551" spans="1:22">
      <c r="A3551" s="3">
        <v>3550</v>
      </c>
      <c r="L3551" s="1" t="s">
        <v>3946</v>
      </c>
      <c r="N3551" s="1" t="s">
        <v>4947</v>
      </c>
      <c r="P3551" s="1" t="s">
        <v>4948</v>
      </c>
      <c r="Q3551" s="3">
        <v>1</v>
      </c>
      <c r="R3551" s="22" t="s">
        <v>2767</v>
      </c>
      <c r="S3551" s="22" t="s">
        <v>5097</v>
      </c>
      <c r="T3551" s="51">
        <v>31</v>
      </c>
      <c r="U3551" s="3" t="s">
        <v>6046</v>
      </c>
      <c r="V3551" s="41" t="str">
        <f>HYPERLINK("http://ictvonline.org/taxonomy/p/taxonomy-history?taxnode_id=20183622","ICTVonline=20183622")</f>
        <v>ICTVonline=20183622</v>
      </c>
    </row>
    <row r="3552" spans="1:22">
      <c r="A3552" s="3">
        <v>3551</v>
      </c>
      <c r="L3552" s="1" t="s">
        <v>3946</v>
      </c>
      <c r="N3552" s="1" t="s">
        <v>4947</v>
      </c>
      <c r="P3552" s="1" t="s">
        <v>4949</v>
      </c>
      <c r="Q3552" s="3">
        <v>0</v>
      </c>
      <c r="R3552" s="22" t="s">
        <v>2767</v>
      </c>
      <c r="S3552" s="22" t="s">
        <v>5097</v>
      </c>
      <c r="T3552" s="51">
        <v>31</v>
      </c>
      <c r="U3552" s="3" t="s">
        <v>6046</v>
      </c>
      <c r="V3552" s="41" t="str">
        <f>HYPERLINK("http://ictvonline.org/taxonomy/p/taxonomy-history?taxnode_id=20183623","ICTVonline=20183623")</f>
        <v>ICTVonline=20183623</v>
      </c>
    </row>
    <row r="3553" spans="1:22">
      <c r="A3553" s="3">
        <v>3552</v>
      </c>
      <c r="L3553" s="1" t="s">
        <v>3946</v>
      </c>
      <c r="N3553" s="1" t="s">
        <v>4950</v>
      </c>
      <c r="P3553" s="1" t="s">
        <v>4951</v>
      </c>
      <c r="Q3553" s="3">
        <v>1</v>
      </c>
      <c r="R3553" s="22" t="s">
        <v>2767</v>
      </c>
      <c r="S3553" s="22" t="s">
        <v>5097</v>
      </c>
      <c r="T3553" s="51">
        <v>31</v>
      </c>
      <c r="U3553" s="3" t="s">
        <v>6046</v>
      </c>
      <c r="V3553" s="41" t="str">
        <f>HYPERLINK("http://ictvonline.org/taxonomy/p/taxonomy-history?taxnode_id=20183625","ICTVonline=20183625")</f>
        <v>ICTVonline=20183625</v>
      </c>
    </row>
    <row r="3554" spans="1:22">
      <c r="A3554" s="3">
        <v>3553</v>
      </c>
      <c r="L3554" s="1" t="s">
        <v>3946</v>
      </c>
      <c r="N3554" s="1" t="s">
        <v>4950</v>
      </c>
      <c r="P3554" s="1" t="s">
        <v>4952</v>
      </c>
      <c r="Q3554" s="3">
        <v>0</v>
      </c>
      <c r="R3554" s="22" t="s">
        <v>2767</v>
      </c>
      <c r="S3554" s="22" t="s">
        <v>5097</v>
      </c>
      <c r="T3554" s="51">
        <v>31</v>
      </c>
      <c r="U3554" s="3" t="s">
        <v>6046</v>
      </c>
      <c r="V3554" s="41" t="str">
        <f>HYPERLINK("http://ictvonline.org/taxonomy/p/taxonomy-history?taxnode_id=20183626","ICTVonline=20183626")</f>
        <v>ICTVonline=20183626</v>
      </c>
    </row>
    <row r="3555" spans="1:22">
      <c r="A3555" s="3">
        <v>3554</v>
      </c>
      <c r="L3555" s="1" t="s">
        <v>3946</v>
      </c>
      <c r="N3555" s="1" t="s">
        <v>4950</v>
      </c>
      <c r="P3555" s="1" t="s">
        <v>4953</v>
      </c>
      <c r="Q3555" s="3">
        <v>0</v>
      </c>
      <c r="R3555" s="22" t="s">
        <v>2767</v>
      </c>
      <c r="S3555" s="22" t="s">
        <v>5097</v>
      </c>
      <c r="T3555" s="51">
        <v>31</v>
      </c>
      <c r="U3555" s="3" t="s">
        <v>6046</v>
      </c>
      <c r="V3555" s="41" t="str">
        <f>HYPERLINK("http://ictvonline.org/taxonomy/p/taxonomy-history?taxnode_id=20183627","ICTVonline=20183627")</f>
        <v>ICTVonline=20183627</v>
      </c>
    </row>
    <row r="3556" spans="1:22">
      <c r="A3556" s="3">
        <v>3555</v>
      </c>
      <c r="L3556" s="1" t="s">
        <v>3946</v>
      </c>
      <c r="N3556" s="1" t="s">
        <v>4954</v>
      </c>
      <c r="P3556" s="1" t="s">
        <v>4955</v>
      </c>
      <c r="Q3556" s="3">
        <v>1</v>
      </c>
      <c r="R3556" s="22" t="s">
        <v>2767</v>
      </c>
      <c r="S3556" s="22" t="s">
        <v>5097</v>
      </c>
      <c r="T3556" s="51">
        <v>31</v>
      </c>
      <c r="U3556" s="3" t="s">
        <v>6046</v>
      </c>
      <c r="V3556" s="41" t="str">
        <f>HYPERLINK("http://ictvonline.org/taxonomy/p/taxonomy-history?taxnode_id=20183629","ICTVonline=20183629")</f>
        <v>ICTVonline=20183629</v>
      </c>
    </row>
    <row r="3557" spans="1:22">
      <c r="A3557" s="3">
        <v>3556</v>
      </c>
      <c r="L3557" s="1" t="s">
        <v>3946</v>
      </c>
      <c r="N3557" s="1" t="s">
        <v>4956</v>
      </c>
      <c r="P3557" s="1" t="s">
        <v>4957</v>
      </c>
      <c r="Q3557" s="3">
        <v>1</v>
      </c>
      <c r="R3557" s="22" t="s">
        <v>2767</v>
      </c>
      <c r="S3557" s="22" t="s">
        <v>5097</v>
      </c>
      <c r="T3557" s="51">
        <v>31</v>
      </c>
      <c r="U3557" s="3" t="s">
        <v>6046</v>
      </c>
      <c r="V3557" s="41" t="str">
        <f>HYPERLINK("http://ictvonline.org/taxonomy/p/taxonomy-history?taxnode_id=20183631","ICTVonline=20183631")</f>
        <v>ICTVonline=20183631</v>
      </c>
    </row>
    <row r="3558" spans="1:22">
      <c r="A3558" s="3">
        <v>3557</v>
      </c>
      <c r="L3558" s="1" t="s">
        <v>3946</v>
      </c>
      <c r="N3558" s="1" t="s">
        <v>4958</v>
      </c>
      <c r="P3558" s="1" t="s">
        <v>4959</v>
      </c>
      <c r="Q3558" s="3">
        <v>1</v>
      </c>
      <c r="R3558" s="22" t="s">
        <v>2767</v>
      </c>
      <c r="S3558" s="22" t="s">
        <v>5097</v>
      </c>
      <c r="T3558" s="51">
        <v>31</v>
      </c>
      <c r="U3558" s="3" t="s">
        <v>6046</v>
      </c>
      <c r="V3558" s="41" t="str">
        <f>HYPERLINK("http://ictvonline.org/taxonomy/p/taxonomy-history?taxnode_id=20183633","ICTVonline=20183633")</f>
        <v>ICTVonline=20183633</v>
      </c>
    </row>
    <row r="3559" spans="1:22">
      <c r="A3559" s="3">
        <v>3558</v>
      </c>
      <c r="L3559" s="1" t="s">
        <v>381</v>
      </c>
      <c r="N3559" s="1" t="s">
        <v>382</v>
      </c>
      <c r="P3559" s="1" t="s">
        <v>383</v>
      </c>
      <c r="Q3559" s="3">
        <v>1</v>
      </c>
      <c r="R3559" s="22" t="s">
        <v>2764</v>
      </c>
      <c r="S3559" s="22" t="s">
        <v>5102</v>
      </c>
      <c r="T3559" s="51">
        <v>24</v>
      </c>
      <c r="U3559" s="3" t="s">
        <v>6048</v>
      </c>
      <c r="V3559" s="41" t="str">
        <f>HYPERLINK("http://ictvonline.org/taxonomy/p/taxonomy-history?taxnode_id=20183637","ICTVonline=20183637")</f>
        <v>ICTVonline=20183637</v>
      </c>
    </row>
    <row r="3560" spans="1:22">
      <c r="A3560" s="3">
        <v>3559</v>
      </c>
      <c r="L3560" s="1" t="s">
        <v>381</v>
      </c>
      <c r="N3560" s="1" t="s">
        <v>382</v>
      </c>
      <c r="P3560" s="1" t="s">
        <v>674</v>
      </c>
      <c r="Q3560" s="3">
        <v>0</v>
      </c>
      <c r="R3560" s="22" t="s">
        <v>2764</v>
      </c>
      <c r="S3560" s="22" t="s">
        <v>5097</v>
      </c>
      <c r="T3560" s="51">
        <v>24</v>
      </c>
      <c r="U3560" s="3" t="s">
        <v>6049</v>
      </c>
      <c r="V3560" s="41" t="str">
        <f>HYPERLINK("http://ictvonline.org/taxonomy/p/taxonomy-history?taxnode_id=20183638","ICTVonline=20183638")</f>
        <v>ICTVonline=20183638</v>
      </c>
    </row>
    <row r="3561" spans="1:22">
      <c r="A3561" s="3">
        <v>3560</v>
      </c>
      <c r="L3561" s="1" t="s">
        <v>1470</v>
      </c>
      <c r="N3561" s="1" t="s">
        <v>2277</v>
      </c>
      <c r="P3561" s="1" t="s">
        <v>246</v>
      </c>
      <c r="Q3561" s="3">
        <v>1</v>
      </c>
      <c r="R3561" s="22" t="s">
        <v>2764</v>
      </c>
      <c r="S3561" s="22" t="s">
        <v>5099</v>
      </c>
      <c r="T3561" s="51">
        <v>27</v>
      </c>
      <c r="U3561" s="3" t="s">
        <v>6050</v>
      </c>
      <c r="V3561" s="41" t="str">
        <f>HYPERLINK("http://ictvonline.org/taxonomy/p/taxonomy-history?taxnode_id=20183642","ICTVonline=20183642")</f>
        <v>ICTVonline=20183642</v>
      </c>
    </row>
    <row r="3562" spans="1:22">
      <c r="A3562" s="3">
        <v>3561</v>
      </c>
      <c r="L3562" s="1" t="s">
        <v>1470</v>
      </c>
      <c r="N3562" s="1" t="s">
        <v>2278</v>
      </c>
      <c r="P3562" s="1" t="s">
        <v>2279</v>
      </c>
      <c r="Q3562" s="3">
        <v>1</v>
      </c>
      <c r="R3562" s="22" t="s">
        <v>2764</v>
      </c>
      <c r="S3562" s="22" t="s">
        <v>5102</v>
      </c>
      <c r="T3562" s="51">
        <v>27</v>
      </c>
      <c r="U3562" s="3" t="s">
        <v>6050</v>
      </c>
      <c r="V3562" s="41" t="str">
        <f>HYPERLINK("http://ictvonline.org/taxonomy/p/taxonomy-history?taxnode_id=20183644","ICTVonline=20183644")</f>
        <v>ICTVonline=20183644</v>
      </c>
    </row>
    <row r="3563" spans="1:22">
      <c r="A3563" s="3">
        <v>3562</v>
      </c>
      <c r="L3563" s="1" t="s">
        <v>247</v>
      </c>
      <c r="N3563" s="1" t="s">
        <v>1247</v>
      </c>
      <c r="P3563" s="1" t="s">
        <v>1248</v>
      </c>
      <c r="Q3563" s="3">
        <v>1</v>
      </c>
      <c r="R3563" s="22" t="s">
        <v>3864</v>
      </c>
      <c r="S3563" s="22" t="s">
        <v>5102</v>
      </c>
      <c r="T3563" s="51">
        <v>12</v>
      </c>
      <c r="U3563" s="3" t="s">
        <v>5932</v>
      </c>
      <c r="V3563" s="41" t="str">
        <f>HYPERLINK("http://ictvonline.org/taxonomy/p/taxonomy-history?taxnode_id=20183648","ICTVonline=20183648")</f>
        <v>ICTVonline=20183648</v>
      </c>
    </row>
    <row r="3564" spans="1:22">
      <c r="A3564" s="3">
        <v>3563</v>
      </c>
      <c r="L3564" s="1" t="s">
        <v>247</v>
      </c>
      <c r="N3564" s="1" t="s">
        <v>1247</v>
      </c>
      <c r="P3564" s="1" t="s">
        <v>1249</v>
      </c>
      <c r="Q3564" s="3">
        <v>0</v>
      </c>
      <c r="R3564" s="22" t="s">
        <v>3864</v>
      </c>
      <c r="S3564" s="22" t="s">
        <v>5097</v>
      </c>
      <c r="T3564" s="51">
        <v>12</v>
      </c>
      <c r="U3564" s="3" t="s">
        <v>5932</v>
      </c>
      <c r="V3564" s="41" t="str">
        <f>HYPERLINK("http://ictvonline.org/taxonomy/p/taxonomy-history?taxnode_id=20183649","ICTVonline=20183649")</f>
        <v>ICTVonline=20183649</v>
      </c>
    </row>
    <row r="3565" spans="1:22">
      <c r="A3565" s="3">
        <v>3564</v>
      </c>
      <c r="L3565" s="1" t="s">
        <v>247</v>
      </c>
      <c r="N3565" s="1" t="s">
        <v>1247</v>
      </c>
      <c r="P3565" s="1" t="s">
        <v>4960</v>
      </c>
      <c r="Q3565" s="3">
        <v>0</v>
      </c>
      <c r="R3565" s="22" t="s">
        <v>3864</v>
      </c>
      <c r="S3565" s="22" t="s">
        <v>5097</v>
      </c>
      <c r="T3565" s="51">
        <v>31</v>
      </c>
      <c r="U3565" s="3" t="s">
        <v>6051</v>
      </c>
      <c r="V3565" s="41" t="str">
        <f>HYPERLINK("http://ictvonline.org/taxonomy/p/taxonomy-history?taxnode_id=20183650","ICTVonline=20183650")</f>
        <v>ICTVonline=20183650</v>
      </c>
    </row>
    <row r="3566" spans="1:22">
      <c r="A3566" s="3">
        <v>3565</v>
      </c>
      <c r="L3566" s="1" t="s">
        <v>247</v>
      </c>
      <c r="N3566" s="1" t="s">
        <v>1250</v>
      </c>
      <c r="P3566" s="1" t="s">
        <v>1251</v>
      </c>
      <c r="Q3566" s="3">
        <v>0</v>
      </c>
      <c r="R3566" s="22" t="s">
        <v>3864</v>
      </c>
      <c r="S3566" s="22" t="s">
        <v>5100</v>
      </c>
      <c r="T3566" s="51">
        <v>23</v>
      </c>
      <c r="U3566" s="3" t="s">
        <v>5872</v>
      </c>
      <c r="V3566" s="41" t="str">
        <f>HYPERLINK("http://ictvonline.org/taxonomy/p/taxonomy-history?taxnode_id=20183652","ICTVonline=20183652")</f>
        <v>ICTVonline=20183652</v>
      </c>
    </row>
    <row r="3567" spans="1:22">
      <c r="A3567" s="3">
        <v>3566</v>
      </c>
      <c r="L3567" s="1" t="s">
        <v>247</v>
      </c>
      <c r="N3567" s="1" t="s">
        <v>1250</v>
      </c>
      <c r="P3567" s="1" t="s">
        <v>1252</v>
      </c>
      <c r="Q3567" s="3">
        <v>1</v>
      </c>
      <c r="R3567" s="22" t="s">
        <v>3864</v>
      </c>
      <c r="S3567" s="22" t="s">
        <v>5102</v>
      </c>
      <c r="T3567" s="51">
        <v>12</v>
      </c>
      <c r="U3567" s="3" t="s">
        <v>5932</v>
      </c>
      <c r="V3567" s="41" t="str">
        <f>HYPERLINK("http://ictvonline.org/taxonomy/p/taxonomy-history?taxnode_id=20183653","ICTVonline=20183653")</f>
        <v>ICTVonline=20183653</v>
      </c>
    </row>
    <row r="3568" spans="1:22">
      <c r="A3568" s="3">
        <v>3567</v>
      </c>
      <c r="L3568" s="1" t="s">
        <v>247</v>
      </c>
      <c r="N3568" s="1" t="s">
        <v>1250</v>
      </c>
      <c r="P3568" s="1" t="s">
        <v>3949</v>
      </c>
      <c r="Q3568" s="3">
        <v>0</v>
      </c>
      <c r="R3568" s="22" t="s">
        <v>3864</v>
      </c>
      <c r="S3568" s="22" t="s">
        <v>5100</v>
      </c>
      <c r="T3568" s="51">
        <v>30</v>
      </c>
      <c r="U3568" s="3" t="s">
        <v>6052</v>
      </c>
      <c r="V3568" s="41" t="str">
        <f>HYPERLINK("http://ictvonline.org/taxonomy/p/taxonomy-history?taxnode_id=20183654","ICTVonline=20183654")</f>
        <v>ICTVonline=20183654</v>
      </c>
    </row>
    <row r="3569" spans="1:22">
      <c r="A3569" s="3">
        <v>3568</v>
      </c>
      <c r="L3569" s="1" t="s">
        <v>247</v>
      </c>
      <c r="N3569" s="1" t="s">
        <v>1250</v>
      </c>
      <c r="P3569" s="1" t="s">
        <v>4961</v>
      </c>
      <c r="Q3569" s="3">
        <v>0</v>
      </c>
      <c r="R3569" s="22" t="s">
        <v>3864</v>
      </c>
      <c r="S3569" s="22" t="s">
        <v>5097</v>
      </c>
      <c r="T3569" s="51">
        <v>31</v>
      </c>
      <c r="U3569" s="3" t="s">
        <v>6053</v>
      </c>
      <c r="V3569" s="41" t="str">
        <f>HYPERLINK("http://ictvonline.org/taxonomy/p/taxonomy-history?taxnode_id=20183655","ICTVonline=20183655")</f>
        <v>ICTVonline=20183655</v>
      </c>
    </row>
    <row r="3570" spans="1:22">
      <c r="A3570" s="3">
        <v>3569</v>
      </c>
      <c r="L3570" s="1" t="s">
        <v>247</v>
      </c>
      <c r="N3570" s="1" t="s">
        <v>1250</v>
      </c>
      <c r="P3570" s="1" t="s">
        <v>3950</v>
      </c>
      <c r="Q3570" s="3">
        <v>0</v>
      </c>
      <c r="R3570" s="22" t="s">
        <v>3864</v>
      </c>
      <c r="S3570" s="22" t="s">
        <v>5097</v>
      </c>
      <c r="T3570" s="51">
        <v>30</v>
      </c>
      <c r="U3570" s="3" t="s">
        <v>6052</v>
      </c>
      <c r="V3570" s="41" t="str">
        <f>HYPERLINK("http://ictvonline.org/taxonomy/p/taxonomy-history?taxnode_id=20183656","ICTVonline=20183656")</f>
        <v>ICTVonline=20183656</v>
      </c>
    </row>
    <row r="3571" spans="1:22">
      <c r="A3571" s="3">
        <v>3570</v>
      </c>
      <c r="L3571" s="1" t="s">
        <v>247</v>
      </c>
      <c r="N3571" s="1" t="s">
        <v>1250</v>
      </c>
      <c r="P3571" s="1" t="s">
        <v>3951</v>
      </c>
      <c r="Q3571" s="3">
        <v>0</v>
      </c>
      <c r="R3571" s="22" t="s">
        <v>3864</v>
      </c>
      <c r="S3571" s="22" t="s">
        <v>5097</v>
      </c>
      <c r="T3571" s="51">
        <v>30</v>
      </c>
      <c r="U3571" s="3" t="s">
        <v>6052</v>
      </c>
      <c r="V3571" s="41" t="str">
        <f>HYPERLINK("http://ictvonline.org/taxonomy/p/taxonomy-history?taxnode_id=20183657","ICTVonline=20183657")</f>
        <v>ICTVonline=20183657</v>
      </c>
    </row>
    <row r="3572" spans="1:22">
      <c r="A3572" s="3">
        <v>3571</v>
      </c>
      <c r="L3572" s="1" t="s">
        <v>247</v>
      </c>
      <c r="N3572" s="1" t="s">
        <v>1250</v>
      </c>
      <c r="P3572" s="1" t="s">
        <v>1253</v>
      </c>
      <c r="Q3572" s="3">
        <v>0</v>
      </c>
      <c r="R3572" s="22" t="s">
        <v>3864</v>
      </c>
      <c r="S3572" s="22" t="s">
        <v>5100</v>
      </c>
      <c r="T3572" s="51">
        <v>23</v>
      </c>
      <c r="U3572" s="3" t="s">
        <v>5872</v>
      </c>
      <c r="V3572" s="41" t="str">
        <f>HYPERLINK("http://ictvonline.org/taxonomy/p/taxonomy-history?taxnode_id=20183658","ICTVonline=20183658")</f>
        <v>ICTVonline=20183658</v>
      </c>
    </row>
    <row r="3573" spans="1:22">
      <c r="A3573" s="3">
        <v>3572</v>
      </c>
      <c r="L3573" s="1" t="s">
        <v>247</v>
      </c>
      <c r="N3573" s="1" t="s">
        <v>1250</v>
      </c>
      <c r="P3573" s="1" t="s">
        <v>254</v>
      </c>
      <c r="Q3573" s="3">
        <v>0</v>
      </c>
      <c r="R3573" s="22" t="s">
        <v>3864</v>
      </c>
      <c r="S3573" s="22" t="s">
        <v>5097</v>
      </c>
      <c r="T3573" s="51">
        <v>23</v>
      </c>
      <c r="U3573" s="3" t="s">
        <v>5872</v>
      </c>
      <c r="V3573" s="41" t="str">
        <f>HYPERLINK("http://ictvonline.org/taxonomy/p/taxonomy-history?taxnode_id=20183659","ICTVonline=20183659")</f>
        <v>ICTVonline=20183659</v>
      </c>
    </row>
    <row r="3574" spans="1:22">
      <c r="A3574" s="3">
        <v>3573</v>
      </c>
      <c r="L3574" s="1" t="s">
        <v>247</v>
      </c>
      <c r="P3574" s="1" t="s">
        <v>6054</v>
      </c>
      <c r="Q3574" s="3">
        <v>0</v>
      </c>
      <c r="R3574" s="22" t="s">
        <v>3864</v>
      </c>
      <c r="S3574" s="22" t="s">
        <v>5097</v>
      </c>
      <c r="T3574" s="51">
        <v>32</v>
      </c>
      <c r="U3574" s="3" t="s">
        <v>6055</v>
      </c>
      <c r="V3574" s="41" t="str">
        <f>HYPERLINK("http://ictvonline.org/taxonomy/p/taxonomy-history?taxnode_id=20185859","ICTVonline=20185859")</f>
        <v>ICTVonline=20185859</v>
      </c>
    </row>
    <row r="3575" spans="1:22">
      <c r="A3575" s="3">
        <v>3574</v>
      </c>
      <c r="L3575" s="1" t="s">
        <v>247</v>
      </c>
      <c r="P3575" s="1" t="s">
        <v>6056</v>
      </c>
      <c r="Q3575" s="3">
        <v>0</v>
      </c>
      <c r="R3575" s="22" t="s">
        <v>3864</v>
      </c>
      <c r="S3575" s="22" t="s">
        <v>5097</v>
      </c>
      <c r="T3575" s="51">
        <v>32</v>
      </c>
      <c r="U3575" s="3" t="s">
        <v>6055</v>
      </c>
      <c r="V3575" s="41" t="str">
        <f>HYPERLINK("http://ictvonline.org/taxonomy/p/taxonomy-history?taxnode_id=20185860","ICTVonline=20185860")</f>
        <v>ICTVonline=20185860</v>
      </c>
    </row>
    <row r="3576" spans="1:22">
      <c r="A3576" s="3">
        <v>3575</v>
      </c>
      <c r="L3576" s="1" t="s">
        <v>247</v>
      </c>
      <c r="P3576" s="1" t="s">
        <v>4962</v>
      </c>
      <c r="Q3576" s="3">
        <v>0</v>
      </c>
      <c r="R3576" s="22" t="s">
        <v>3864</v>
      </c>
      <c r="S3576" s="22" t="s">
        <v>5097</v>
      </c>
      <c r="T3576" s="51">
        <v>31</v>
      </c>
      <c r="U3576" s="3" t="s">
        <v>6057</v>
      </c>
      <c r="V3576" s="41" t="str">
        <f>HYPERLINK("http://ictvonline.org/taxonomy/p/taxonomy-history?taxnode_id=20183661","ICTVonline=20183661")</f>
        <v>ICTVonline=20183661</v>
      </c>
    </row>
    <row r="3577" spans="1:22">
      <c r="A3577" s="3">
        <v>3576</v>
      </c>
      <c r="L3577" s="1" t="s">
        <v>1085</v>
      </c>
      <c r="N3577" s="1" t="s">
        <v>2699</v>
      </c>
      <c r="P3577" s="1" t="s">
        <v>2700</v>
      </c>
      <c r="Q3577" s="3">
        <v>1</v>
      </c>
      <c r="R3577" s="22" t="s">
        <v>2766</v>
      </c>
      <c r="S3577" s="22" t="s">
        <v>5098</v>
      </c>
      <c r="T3577" s="51">
        <v>29</v>
      </c>
      <c r="U3577" s="3" t="s">
        <v>6058</v>
      </c>
      <c r="V3577" s="41" t="str">
        <f>HYPERLINK("http://ictvonline.org/taxonomy/p/taxonomy-history?taxnode_id=20183665","ICTVonline=20183665")</f>
        <v>ICTVonline=20183665</v>
      </c>
    </row>
    <row r="3578" spans="1:22">
      <c r="A3578" s="3">
        <v>3577</v>
      </c>
      <c r="L3578" s="1" t="s">
        <v>1085</v>
      </c>
      <c r="N3578" s="1" t="s">
        <v>2699</v>
      </c>
      <c r="P3578" s="1" t="s">
        <v>2701</v>
      </c>
      <c r="Q3578" s="3">
        <v>0</v>
      </c>
      <c r="R3578" s="22" t="s">
        <v>2766</v>
      </c>
      <c r="S3578" s="22" t="s">
        <v>5098</v>
      </c>
      <c r="T3578" s="51">
        <v>29</v>
      </c>
      <c r="U3578" s="3" t="s">
        <v>6058</v>
      </c>
      <c r="V3578" s="41" t="str">
        <f>HYPERLINK("http://ictvonline.org/taxonomy/p/taxonomy-history?taxnode_id=20183666","ICTVonline=20183666")</f>
        <v>ICTVonline=20183666</v>
      </c>
    </row>
    <row r="3579" spans="1:22">
      <c r="A3579" s="3">
        <v>3578</v>
      </c>
      <c r="L3579" s="1" t="s">
        <v>1085</v>
      </c>
      <c r="N3579" s="1" t="s">
        <v>2699</v>
      </c>
      <c r="P3579" s="1" t="s">
        <v>2702</v>
      </c>
      <c r="Q3579" s="3">
        <v>0</v>
      </c>
      <c r="R3579" s="22" t="s">
        <v>2766</v>
      </c>
      <c r="S3579" s="22" t="s">
        <v>5097</v>
      </c>
      <c r="T3579" s="51">
        <v>29</v>
      </c>
      <c r="U3579" s="3" t="s">
        <v>6058</v>
      </c>
      <c r="V3579" s="41" t="str">
        <f>HYPERLINK("http://ictvonline.org/taxonomy/p/taxonomy-history?taxnode_id=20183667","ICTVonline=20183667")</f>
        <v>ICTVonline=20183667</v>
      </c>
    </row>
    <row r="3580" spans="1:22">
      <c r="A3580" s="3">
        <v>3579</v>
      </c>
      <c r="L3580" s="1" t="s">
        <v>1085</v>
      </c>
      <c r="N3580" s="1" t="s">
        <v>2699</v>
      </c>
      <c r="P3580" s="1" t="s">
        <v>2703</v>
      </c>
      <c r="Q3580" s="3">
        <v>0</v>
      </c>
      <c r="R3580" s="22" t="s">
        <v>2766</v>
      </c>
      <c r="S3580" s="22" t="s">
        <v>5097</v>
      </c>
      <c r="T3580" s="51">
        <v>29</v>
      </c>
      <c r="U3580" s="3" t="s">
        <v>6058</v>
      </c>
      <c r="V3580" s="41" t="str">
        <f>HYPERLINK("http://ictvonline.org/taxonomy/p/taxonomy-history?taxnode_id=20183668","ICTVonline=20183668")</f>
        <v>ICTVonline=20183668</v>
      </c>
    </row>
    <row r="3581" spans="1:22">
      <c r="A3581" s="3">
        <v>3580</v>
      </c>
      <c r="L3581" s="1" t="s">
        <v>1085</v>
      </c>
      <c r="N3581" s="1" t="s">
        <v>2704</v>
      </c>
      <c r="P3581" s="1" t="s">
        <v>2705</v>
      </c>
      <c r="Q3581" s="3">
        <v>1</v>
      </c>
      <c r="R3581" s="22" t="s">
        <v>2766</v>
      </c>
      <c r="S3581" s="22" t="s">
        <v>5097</v>
      </c>
      <c r="T3581" s="51">
        <v>29</v>
      </c>
      <c r="U3581" s="3" t="s">
        <v>6058</v>
      </c>
      <c r="V3581" s="41" t="str">
        <f>HYPERLINK("http://ictvonline.org/taxonomy/p/taxonomy-history?taxnode_id=20183670","ICTVonline=20183670")</f>
        <v>ICTVonline=20183670</v>
      </c>
    </row>
    <row r="3582" spans="1:22">
      <c r="A3582" s="3">
        <v>3581</v>
      </c>
      <c r="L3582" s="1" t="s">
        <v>255</v>
      </c>
      <c r="N3582" s="1" t="s">
        <v>256</v>
      </c>
      <c r="P3582" s="1" t="s">
        <v>257</v>
      </c>
      <c r="Q3582" s="3">
        <v>1</v>
      </c>
      <c r="R3582" s="22" t="s">
        <v>2766</v>
      </c>
      <c r="S3582" s="22" t="s">
        <v>5105</v>
      </c>
      <c r="T3582" s="51">
        <v>18</v>
      </c>
      <c r="U3582" s="3" t="s">
        <v>5486</v>
      </c>
      <c r="V3582" s="41" t="str">
        <f>HYPERLINK("http://ictvonline.org/taxonomy/p/taxonomy-history?taxnode_id=20183674","ICTVonline=20183674")</f>
        <v>ICTVonline=20183674</v>
      </c>
    </row>
    <row r="3583" spans="1:22">
      <c r="A3583" s="3">
        <v>3582</v>
      </c>
      <c r="L3583" s="1" t="s">
        <v>255</v>
      </c>
      <c r="N3583" s="1" t="s">
        <v>256</v>
      </c>
      <c r="P3583" s="1" t="s">
        <v>258</v>
      </c>
      <c r="Q3583" s="3">
        <v>0</v>
      </c>
      <c r="R3583" s="22" t="s">
        <v>2766</v>
      </c>
      <c r="S3583" s="22" t="s">
        <v>5100</v>
      </c>
      <c r="T3583" s="51">
        <v>18</v>
      </c>
      <c r="U3583" s="3" t="s">
        <v>5486</v>
      </c>
      <c r="V3583" s="41" t="str">
        <f>HYPERLINK("http://ictvonline.org/taxonomy/p/taxonomy-history?taxnode_id=20183675","ICTVonline=20183675")</f>
        <v>ICTVonline=20183675</v>
      </c>
    </row>
    <row r="3584" spans="1:22">
      <c r="A3584" s="3">
        <v>3583</v>
      </c>
      <c r="L3584" s="1" t="s">
        <v>255</v>
      </c>
      <c r="N3584" s="1" t="s">
        <v>256</v>
      </c>
      <c r="P3584" s="1" t="s">
        <v>259</v>
      </c>
      <c r="Q3584" s="3">
        <v>0</v>
      </c>
      <c r="R3584" s="22" t="s">
        <v>2766</v>
      </c>
      <c r="S3584" s="22" t="s">
        <v>5097</v>
      </c>
      <c r="T3584" s="51">
        <v>20</v>
      </c>
      <c r="U3584" s="3" t="s">
        <v>5490</v>
      </c>
      <c r="V3584" s="41" t="str">
        <f>HYPERLINK("http://ictvonline.org/taxonomy/p/taxonomy-history?taxnode_id=20183676","ICTVonline=20183676")</f>
        <v>ICTVonline=20183676</v>
      </c>
    </row>
    <row r="3585" spans="1:22">
      <c r="A3585" s="3">
        <v>3584</v>
      </c>
      <c r="L3585" s="1" t="s">
        <v>255</v>
      </c>
      <c r="N3585" s="1" t="s">
        <v>256</v>
      </c>
      <c r="P3585" s="1" t="s">
        <v>1688</v>
      </c>
      <c r="Q3585" s="3">
        <v>0</v>
      </c>
      <c r="R3585" s="22" t="s">
        <v>2766</v>
      </c>
      <c r="S3585" s="22" t="s">
        <v>5097</v>
      </c>
      <c r="T3585" s="51">
        <v>20</v>
      </c>
      <c r="U3585" s="3" t="s">
        <v>5490</v>
      </c>
      <c r="V3585" s="41" t="str">
        <f>HYPERLINK("http://ictvonline.org/taxonomy/p/taxonomy-history?taxnode_id=20183677","ICTVonline=20183677")</f>
        <v>ICTVonline=20183677</v>
      </c>
    </row>
    <row r="3586" spans="1:22">
      <c r="A3586" s="3">
        <v>3585</v>
      </c>
      <c r="L3586" s="1" t="s">
        <v>96</v>
      </c>
      <c r="N3586" s="1" t="s">
        <v>97</v>
      </c>
      <c r="P3586" s="1" t="s">
        <v>98</v>
      </c>
      <c r="Q3586" s="3">
        <v>1</v>
      </c>
      <c r="R3586" s="22" t="s">
        <v>2764</v>
      </c>
      <c r="S3586" s="22" t="s">
        <v>5102</v>
      </c>
      <c r="T3586" s="51">
        <v>26</v>
      </c>
      <c r="U3586" s="3" t="s">
        <v>6059</v>
      </c>
      <c r="V3586" s="41" t="str">
        <f>HYPERLINK("http://ictvonline.org/taxonomy/p/taxonomy-history?taxnode_id=20183681","ICTVonline=20183681")</f>
        <v>ICTVonline=20183681</v>
      </c>
    </row>
    <row r="3587" spans="1:22">
      <c r="A3587" s="3">
        <v>3586</v>
      </c>
      <c r="L3587" s="1" t="s">
        <v>96</v>
      </c>
      <c r="N3587" s="1" t="s">
        <v>99</v>
      </c>
      <c r="P3587" s="1" t="s">
        <v>100</v>
      </c>
      <c r="Q3587" s="3">
        <v>1</v>
      </c>
      <c r="R3587" s="22" t="s">
        <v>2764</v>
      </c>
      <c r="S3587" s="22" t="s">
        <v>5102</v>
      </c>
      <c r="T3587" s="51">
        <v>26</v>
      </c>
      <c r="U3587" s="3" t="s">
        <v>6059</v>
      </c>
      <c r="V3587" s="41" t="str">
        <f>HYPERLINK("http://ictvonline.org/taxonomy/p/taxonomy-history?taxnode_id=20183683","ICTVonline=20183683")</f>
        <v>ICTVonline=20183683</v>
      </c>
    </row>
    <row r="3588" spans="1:22">
      <c r="A3588" s="3">
        <v>3587</v>
      </c>
      <c r="L3588" s="1" t="s">
        <v>1689</v>
      </c>
      <c r="N3588" s="1" t="s">
        <v>4254</v>
      </c>
      <c r="P3588" s="1" t="s">
        <v>3960</v>
      </c>
      <c r="Q3588" s="3">
        <v>1</v>
      </c>
      <c r="R3588" s="22" t="s">
        <v>3952</v>
      </c>
      <c r="S3588" s="22" t="s">
        <v>5099</v>
      </c>
      <c r="T3588" s="51">
        <v>31</v>
      </c>
      <c r="U3588" s="3" t="s">
        <v>6060</v>
      </c>
      <c r="V3588" s="41" t="str">
        <f>HYPERLINK("http://ictvonline.org/taxonomy/p/taxonomy-history?taxnode_id=20183687","ICTVonline=20183687")</f>
        <v>ICTVonline=20183687</v>
      </c>
    </row>
    <row r="3589" spans="1:22">
      <c r="A3589" s="3">
        <v>3588</v>
      </c>
      <c r="L3589" s="1" t="s">
        <v>1689</v>
      </c>
      <c r="N3589" s="1" t="s">
        <v>4254</v>
      </c>
      <c r="P3589" s="1" t="s">
        <v>4963</v>
      </c>
      <c r="Q3589" s="3">
        <v>0</v>
      </c>
      <c r="R3589" s="22" t="s">
        <v>3952</v>
      </c>
      <c r="S3589" s="22" t="s">
        <v>5097</v>
      </c>
      <c r="T3589" s="51">
        <v>31</v>
      </c>
      <c r="U3589" s="3" t="s">
        <v>6060</v>
      </c>
      <c r="V3589" s="41" t="str">
        <f>HYPERLINK("http://ictvonline.org/taxonomy/p/taxonomy-history?taxnode_id=20183688","ICTVonline=20183688")</f>
        <v>ICTVonline=20183688</v>
      </c>
    </row>
    <row r="3590" spans="1:22">
      <c r="A3590" s="3">
        <v>3589</v>
      </c>
      <c r="L3590" s="1" t="s">
        <v>1689</v>
      </c>
      <c r="N3590" s="1" t="s">
        <v>4964</v>
      </c>
      <c r="P3590" s="1" t="s">
        <v>4965</v>
      </c>
      <c r="Q3590" s="3">
        <v>0</v>
      </c>
      <c r="R3590" s="22" t="s">
        <v>3952</v>
      </c>
      <c r="S3590" s="22" t="s">
        <v>5097</v>
      </c>
      <c r="T3590" s="51">
        <v>31</v>
      </c>
      <c r="U3590" s="3" t="s">
        <v>6060</v>
      </c>
      <c r="V3590" s="41" t="str">
        <f>HYPERLINK("http://ictvonline.org/taxonomy/p/taxonomy-history?taxnode_id=20183690","ICTVonline=20183690")</f>
        <v>ICTVonline=20183690</v>
      </c>
    </row>
    <row r="3591" spans="1:22">
      <c r="A3591" s="3">
        <v>3590</v>
      </c>
      <c r="L3591" s="1" t="s">
        <v>1689</v>
      </c>
      <c r="N3591" s="1" t="s">
        <v>4964</v>
      </c>
      <c r="P3591" s="1" t="s">
        <v>4966</v>
      </c>
      <c r="Q3591" s="3">
        <v>1</v>
      </c>
      <c r="R3591" s="22" t="s">
        <v>3952</v>
      </c>
      <c r="S3591" s="22" t="s">
        <v>5097</v>
      </c>
      <c r="T3591" s="51">
        <v>31</v>
      </c>
      <c r="U3591" s="3" t="s">
        <v>6060</v>
      </c>
      <c r="V3591" s="41" t="str">
        <f>HYPERLINK("http://ictvonline.org/taxonomy/p/taxonomy-history?taxnode_id=20183691","ICTVonline=20183691")</f>
        <v>ICTVonline=20183691</v>
      </c>
    </row>
    <row r="3592" spans="1:22">
      <c r="A3592" s="3">
        <v>3591</v>
      </c>
      <c r="L3592" s="1" t="s">
        <v>1689</v>
      </c>
      <c r="N3592" s="1" t="s">
        <v>4964</v>
      </c>
      <c r="P3592" s="1" t="s">
        <v>4967</v>
      </c>
      <c r="Q3592" s="3">
        <v>0</v>
      </c>
      <c r="R3592" s="22" t="s">
        <v>3952</v>
      </c>
      <c r="S3592" s="22" t="s">
        <v>5097</v>
      </c>
      <c r="T3592" s="51">
        <v>31</v>
      </c>
      <c r="U3592" s="3" t="s">
        <v>6060</v>
      </c>
      <c r="V3592" s="41" t="str">
        <f>HYPERLINK("http://ictvonline.org/taxonomy/p/taxonomy-history?taxnode_id=20183692","ICTVonline=20183692")</f>
        <v>ICTVonline=20183692</v>
      </c>
    </row>
    <row r="3593" spans="1:22">
      <c r="A3593" s="3">
        <v>3592</v>
      </c>
      <c r="L3593" s="1" t="s">
        <v>1689</v>
      </c>
      <c r="N3593" s="1" t="s">
        <v>1690</v>
      </c>
      <c r="P3593" s="1" t="s">
        <v>3955</v>
      </c>
      <c r="Q3593" s="3">
        <v>1</v>
      </c>
      <c r="R3593" s="22" t="s">
        <v>3952</v>
      </c>
      <c r="S3593" s="22" t="s">
        <v>5100</v>
      </c>
      <c r="T3593" s="51">
        <v>30</v>
      </c>
      <c r="U3593" s="3" t="s">
        <v>5216</v>
      </c>
      <c r="V3593" s="41" t="str">
        <f>HYPERLINK("http://ictvonline.org/taxonomy/p/taxonomy-history?taxnode_id=20183694","ICTVonline=20183694")</f>
        <v>ICTVonline=20183694</v>
      </c>
    </row>
    <row r="3594" spans="1:22">
      <c r="A3594" s="3">
        <v>3593</v>
      </c>
      <c r="L3594" s="1" t="s">
        <v>1689</v>
      </c>
      <c r="N3594" s="1" t="s">
        <v>4255</v>
      </c>
      <c r="P3594" s="1" t="s">
        <v>3953</v>
      </c>
      <c r="Q3594" s="3">
        <v>0</v>
      </c>
      <c r="R3594" s="22" t="s">
        <v>3952</v>
      </c>
      <c r="S3594" s="22" t="s">
        <v>5099</v>
      </c>
      <c r="T3594" s="51">
        <v>31</v>
      </c>
      <c r="U3594" s="3" t="s">
        <v>6060</v>
      </c>
      <c r="V3594" s="41" t="str">
        <f>HYPERLINK("http://ictvonline.org/taxonomy/p/taxonomy-history?taxnode_id=20183696","ICTVonline=20183696")</f>
        <v>ICTVonline=20183696</v>
      </c>
    </row>
    <row r="3595" spans="1:22">
      <c r="A3595" s="3">
        <v>3594</v>
      </c>
      <c r="L3595" s="1" t="s">
        <v>1689</v>
      </c>
      <c r="N3595" s="1" t="s">
        <v>4255</v>
      </c>
      <c r="P3595" s="1" t="s">
        <v>3958</v>
      </c>
      <c r="Q3595" s="3">
        <v>1</v>
      </c>
      <c r="R3595" s="22" t="s">
        <v>3952</v>
      </c>
      <c r="S3595" s="22" t="s">
        <v>5099</v>
      </c>
      <c r="T3595" s="51">
        <v>31</v>
      </c>
      <c r="U3595" s="3" t="s">
        <v>6060</v>
      </c>
      <c r="V3595" s="41" t="str">
        <f>HYPERLINK("http://ictvonline.org/taxonomy/p/taxonomy-history?taxnode_id=20183697","ICTVonline=20183697")</f>
        <v>ICTVonline=20183697</v>
      </c>
    </row>
    <row r="3596" spans="1:22">
      <c r="A3596" s="3">
        <v>3595</v>
      </c>
      <c r="L3596" s="1" t="s">
        <v>1689</v>
      </c>
      <c r="N3596" s="1" t="s">
        <v>1017</v>
      </c>
      <c r="P3596" s="1" t="s">
        <v>6061</v>
      </c>
      <c r="Q3596" s="3">
        <v>1</v>
      </c>
      <c r="R3596" s="22" t="s">
        <v>3952</v>
      </c>
      <c r="S3596" s="22" t="s">
        <v>5100</v>
      </c>
      <c r="T3596" s="51">
        <v>30</v>
      </c>
      <c r="U3596" s="3" t="s">
        <v>5216</v>
      </c>
      <c r="V3596" s="41" t="str">
        <f>HYPERLINK("http://ictvonline.org/taxonomy/p/taxonomy-history?taxnode_id=20183699","ICTVonline=20183699")</f>
        <v>ICTVonline=20183699</v>
      </c>
    </row>
    <row r="3597" spans="1:22">
      <c r="A3597" s="3">
        <v>3596</v>
      </c>
      <c r="L3597" s="1" t="s">
        <v>1689</v>
      </c>
      <c r="N3597" s="1" t="s">
        <v>4256</v>
      </c>
      <c r="P3597" s="1" t="s">
        <v>3961</v>
      </c>
      <c r="Q3597" s="3">
        <v>1</v>
      </c>
      <c r="R3597" s="22" t="s">
        <v>3952</v>
      </c>
      <c r="S3597" s="22" t="s">
        <v>5099</v>
      </c>
      <c r="T3597" s="51">
        <v>31</v>
      </c>
      <c r="U3597" s="3" t="s">
        <v>6060</v>
      </c>
      <c r="V3597" s="41" t="str">
        <f>HYPERLINK("http://ictvonline.org/taxonomy/p/taxonomy-history?taxnode_id=20183701","ICTVonline=20183701")</f>
        <v>ICTVonline=20183701</v>
      </c>
    </row>
    <row r="3598" spans="1:22">
      <c r="A3598" s="3">
        <v>3597</v>
      </c>
      <c r="L3598" s="1" t="s">
        <v>1689</v>
      </c>
      <c r="N3598" s="1" t="s">
        <v>4256</v>
      </c>
      <c r="P3598" s="1" t="s">
        <v>4968</v>
      </c>
      <c r="Q3598" s="3">
        <v>0</v>
      </c>
      <c r="R3598" s="22" t="s">
        <v>3952</v>
      </c>
      <c r="S3598" s="22" t="s">
        <v>5097</v>
      </c>
      <c r="T3598" s="51">
        <v>31</v>
      </c>
      <c r="U3598" s="3" t="s">
        <v>6060</v>
      </c>
      <c r="V3598" s="41" t="str">
        <f>HYPERLINK("http://ictvonline.org/taxonomy/p/taxonomy-history?taxnode_id=20183702","ICTVonline=20183702")</f>
        <v>ICTVonline=20183702</v>
      </c>
    </row>
    <row r="3599" spans="1:22">
      <c r="A3599" s="3">
        <v>3598</v>
      </c>
      <c r="L3599" s="1" t="s">
        <v>1689</v>
      </c>
      <c r="N3599" s="1" t="s">
        <v>4257</v>
      </c>
      <c r="P3599" s="1" t="s">
        <v>3964</v>
      </c>
      <c r="Q3599" s="3">
        <v>0</v>
      </c>
      <c r="R3599" s="22" t="s">
        <v>3952</v>
      </c>
      <c r="S3599" s="22" t="s">
        <v>5099</v>
      </c>
      <c r="T3599" s="51">
        <v>31</v>
      </c>
      <c r="U3599" s="3" t="s">
        <v>6060</v>
      </c>
      <c r="V3599" s="41" t="str">
        <f>HYPERLINK("http://ictvonline.org/taxonomy/p/taxonomy-history?taxnode_id=20183722","ICTVonline=20183722")</f>
        <v>ICTVonline=20183722</v>
      </c>
    </row>
    <row r="3600" spans="1:22">
      <c r="A3600" s="3">
        <v>3599</v>
      </c>
      <c r="L3600" s="1" t="s">
        <v>1689</v>
      </c>
      <c r="N3600" s="1" t="s">
        <v>4257</v>
      </c>
      <c r="P3600" s="1" t="s">
        <v>3965</v>
      </c>
      <c r="Q3600" s="3">
        <v>1</v>
      </c>
      <c r="R3600" s="22" t="s">
        <v>3952</v>
      </c>
      <c r="S3600" s="22" t="s">
        <v>5099</v>
      </c>
      <c r="T3600" s="51">
        <v>31</v>
      </c>
      <c r="U3600" s="3" t="s">
        <v>6060</v>
      </c>
      <c r="V3600" s="41" t="str">
        <f>HYPERLINK("http://ictvonline.org/taxonomy/p/taxonomy-history?taxnode_id=20183723","ICTVonline=20183723")</f>
        <v>ICTVonline=20183723</v>
      </c>
    </row>
    <row r="3601" spans="1:22">
      <c r="A3601" s="3">
        <v>3600</v>
      </c>
      <c r="L3601" s="1" t="s">
        <v>1689</v>
      </c>
      <c r="N3601" s="1" t="s">
        <v>4257</v>
      </c>
      <c r="P3601" s="1" t="s">
        <v>4980</v>
      </c>
      <c r="Q3601" s="3">
        <v>0</v>
      </c>
      <c r="R3601" s="22" t="s">
        <v>3952</v>
      </c>
      <c r="S3601" s="22" t="s">
        <v>5097</v>
      </c>
      <c r="T3601" s="51">
        <v>31</v>
      </c>
      <c r="U3601" s="3" t="s">
        <v>6060</v>
      </c>
      <c r="V3601" s="41" t="str">
        <f>HYPERLINK("http://ictvonline.org/taxonomy/p/taxonomy-history?taxnode_id=20183724","ICTVonline=20183724")</f>
        <v>ICTVonline=20183724</v>
      </c>
    </row>
    <row r="3602" spans="1:22">
      <c r="A3602" s="3">
        <v>3601</v>
      </c>
      <c r="L3602" s="1" t="s">
        <v>1689</v>
      </c>
      <c r="P3602" s="1" t="s">
        <v>3954</v>
      </c>
      <c r="Q3602" s="3">
        <v>0</v>
      </c>
      <c r="R3602" s="22" t="s">
        <v>3952</v>
      </c>
      <c r="S3602" s="22" t="s">
        <v>5099</v>
      </c>
      <c r="T3602" s="51">
        <v>31</v>
      </c>
      <c r="U3602" s="3" t="s">
        <v>6060</v>
      </c>
      <c r="V3602" s="41" t="str">
        <f>HYPERLINK("http://ictvonline.org/taxonomy/p/taxonomy-history?taxnode_id=20183704","ICTVonline=20183704")</f>
        <v>ICTVonline=20183704</v>
      </c>
    </row>
    <row r="3603" spans="1:22">
      <c r="A3603" s="3">
        <v>3602</v>
      </c>
      <c r="L3603" s="1" t="s">
        <v>1689</v>
      </c>
      <c r="P3603" s="1" t="s">
        <v>4969</v>
      </c>
      <c r="Q3603" s="3">
        <v>0</v>
      </c>
      <c r="R3603" s="22" t="s">
        <v>3952</v>
      </c>
      <c r="S3603" s="22" t="s">
        <v>5097</v>
      </c>
      <c r="T3603" s="51">
        <v>31</v>
      </c>
      <c r="U3603" s="3" t="s">
        <v>6060</v>
      </c>
      <c r="V3603" s="41" t="str">
        <f>HYPERLINK("http://ictvonline.org/taxonomy/p/taxonomy-history?taxnode_id=20183705","ICTVonline=20183705")</f>
        <v>ICTVonline=20183705</v>
      </c>
    </row>
    <row r="3604" spans="1:22">
      <c r="A3604" s="3">
        <v>3603</v>
      </c>
      <c r="L3604" s="1" t="s">
        <v>1689</v>
      </c>
      <c r="P3604" s="1" t="s">
        <v>3956</v>
      </c>
      <c r="Q3604" s="3">
        <v>0</v>
      </c>
      <c r="R3604" s="22" t="s">
        <v>3952</v>
      </c>
      <c r="S3604" s="22" t="s">
        <v>5099</v>
      </c>
      <c r="T3604" s="51">
        <v>31</v>
      </c>
      <c r="U3604" s="3" t="s">
        <v>6060</v>
      </c>
      <c r="V3604" s="41" t="str">
        <f>HYPERLINK("http://ictvonline.org/taxonomy/p/taxonomy-history?taxnode_id=20183706","ICTVonline=20183706")</f>
        <v>ICTVonline=20183706</v>
      </c>
    </row>
    <row r="3605" spans="1:22">
      <c r="A3605" s="3">
        <v>3604</v>
      </c>
      <c r="L3605" s="1" t="s">
        <v>1689</v>
      </c>
      <c r="P3605" s="1" t="s">
        <v>3957</v>
      </c>
      <c r="Q3605" s="3">
        <v>0</v>
      </c>
      <c r="R3605" s="22" t="s">
        <v>3952</v>
      </c>
      <c r="S3605" s="22" t="s">
        <v>5099</v>
      </c>
      <c r="T3605" s="51">
        <v>31</v>
      </c>
      <c r="U3605" s="3" t="s">
        <v>6060</v>
      </c>
      <c r="V3605" s="41" t="str">
        <f>HYPERLINK("http://ictvonline.org/taxonomy/p/taxonomy-history?taxnode_id=20183707","ICTVonline=20183707")</f>
        <v>ICTVonline=20183707</v>
      </c>
    </row>
    <row r="3606" spans="1:22">
      <c r="A3606" s="3">
        <v>3605</v>
      </c>
      <c r="L3606" s="1" t="s">
        <v>1689</v>
      </c>
      <c r="P3606" s="1" t="s">
        <v>4970</v>
      </c>
      <c r="Q3606" s="3">
        <v>0</v>
      </c>
      <c r="R3606" s="22" t="s">
        <v>3952</v>
      </c>
      <c r="S3606" s="22" t="s">
        <v>5097</v>
      </c>
      <c r="T3606" s="51">
        <v>31</v>
      </c>
      <c r="U3606" s="3" t="s">
        <v>6060</v>
      </c>
      <c r="V3606" s="41" t="str">
        <f>HYPERLINK("http://ictvonline.org/taxonomy/p/taxonomy-history?taxnode_id=20183708","ICTVonline=20183708")</f>
        <v>ICTVonline=20183708</v>
      </c>
    </row>
    <row r="3607" spans="1:22">
      <c r="A3607" s="3">
        <v>3606</v>
      </c>
      <c r="L3607" s="1" t="s">
        <v>1689</v>
      </c>
      <c r="P3607" s="1" t="s">
        <v>4971</v>
      </c>
      <c r="Q3607" s="3">
        <v>0</v>
      </c>
      <c r="R3607" s="22" t="s">
        <v>3952</v>
      </c>
      <c r="S3607" s="22" t="s">
        <v>5097</v>
      </c>
      <c r="T3607" s="51">
        <v>31</v>
      </c>
      <c r="U3607" s="3" t="s">
        <v>6060</v>
      </c>
      <c r="V3607" s="41" t="str">
        <f>HYPERLINK("http://ictvonline.org/taxonomy/p/taxonomy-history?taxnode_id=20183709","ICTVonline=20183709")</f>
        <v>ICTVonline=20183709</v>
      </c>
    </row>
    <row r="3608" spans="1:22">
      <c r="A3608" s="3">
        <v>3607</v>
      </c>
      <c r="L3608" s="1" t="s">
        <v>1689</v>
      </c>
      <c r="P3608" s="1" t="s">
        <v>4972</v>
      </c>
      <c r="Q3608" s="3">
        <v>0</v>
      </c>
      <c r="R3608" s="22" t="s">
        <v>3952</v>
      </c>
      <c r="S3608" s="22" t="s">
        <v>5097</v>
      </c>
      <c r="T3608" s="51">
        <v>31</v>
      </c>
      <c r="U3608" s="3" t="s">
        <v>6060</v>
      </c>
      <c r="V3608" s="41" t="str">
        <f>HYPERLINK("http://ictvonline.org/taxonomy/p/taxonomy-history?taxnode_id=20183710","ICTVonline=20183710")</f>
        <v>ICTVonline=20183710</v>
      </c>
    </row>
    <row r="3609" spans="1:22">
      <c r="A3609" s="3">
        <v>3608</v>
      </c>
      <c r="L3609" s="1" t="s">
        <v>1689</v>
      </c>
      <c r="P3609" s="1" t="s">
        <v>4973</v>
      </c>
      <c r="Q3609" s="3">
        <v>0</v>
      </c>
      <c r="R3609" s="22" t="s">
        <v>3952</v>
      </c>
      <c r="S3609" s="22" t="s">
        <v>5097</v>
      </c>
      <c r="T3609" s="51">
        <v>31</v>
      </c>
      <c r="U3609" s="3" t="s">
        <v>6060</v>
      </c>
      <c r="V3609" s="41" t="str">
        <f>HYPERLINK("http://ictvonline.org/taxonomy/p/taxonomy-history?taxnode_id=20183711","ICTVonline=20183711")</f>
        <v>ICTVonline=20183711</v>
      </c>
    </row>
    <row r="3610" spans="1:22">
      <c r="A3610" s="3">
        <v>3609</v>
      </c>
      <c r="L3610" s="1" t="s">
        <v>1689</v>
      </c>
      <c r="P3610" s="1" t="s">
        <v>4974</v>
      </c>
      <c r="Q3610" s="3">
        <v>0</v>
      </c>
      <c r="R3610" s="22" t="s">
        <v>3952</v>
      </c>
      <c r="S3610" s="22" t="s">
        <v>5097</v>
      </c>
      <c r="T3610" s="51">
        <v>31</v>
      </c>
      <c r="U3610" s="3" t="s">
        <v>6060</v>
      </c>
      <c r="V3610" s="41" t="str">
        <f>HYPERLINK("http://ictvonline.org/taxonomy/p/taxonomy-history?taxnode_id=20183712","ICTVonline=20183712")</f>
        <v>ICTVonline=20183712</v>
      </c>
    </row>
    <row r="3611" spans="1:22">
      <c r="A3611" s="3">
        <v>3610</v>
      </c>
      <c r="L3611" s="1" t="s">
        <v>1689</v>
      </c>
      <c r="P3611" s="1" t="s">
        <v>4975</v>
      </c>
      <c r="Q3611" s="3">
        <v>0</v>
      </c>
      <c r="R3611" s="22" t="s">
        <v>3952</v>
      </c>
      <c r="S3611" s="22" t="s">
        <v>5097</v>
      </c>
      <c r="T3611" s="51">
        <v>31</v>
      </c>
      <c r="U3611" s="3" t="s">
        <v>6060</v>
      </c>
      <c r="V3611" s="41" t="str">
        <f>HYPERLINK("http://ictvonline.org/taxonomy/p/taxonomy-history?taxnode_id=20183713","ICTVonline=20183713")</f>
        <v>ICTVonline=20183713</v>
      </c>
    </row>
    <row r="3612" spans="1:22">
      <c r="A3612" s="3">
        <v>3611</v>
      </c>
      <c r="L3612" s="1" t="s">
        <v>1689</v>
      </c>
      <c r="P3612" s="1" t="s">
        <v>4976</v>
      </c>
      <c r="Q3612" s="3">
        <v>0</v>
      </c>
      <c r="R3612" s="22" t="s">
        <v>3952</v>
      </c>
      <c r="S3612" s="22" t="s">
        <v>5097</v>
      </c>
      <c r="T3612" s="51">
        <v>31</v>
      </c>
      <c r="U3612" s="3" t="s">
        <v>6060</v>
      </c>
      <c r="V3612" s="41" t="str">
        <f>HYPERLINK("http://ictvonline.org/taxonomy/p/taxonomy-history?taxnode_id=20183714","ICTVonline=20183714")</f>
        <v>ICTVonline=20183714</v>
      </c>
    </row>
    <row r="3613" spans="1:22">
      <c r="A3613" s="3">
        <v>3612</v>
      </c>
      <c r="L3613" s="1" t="s">
        <v>1689</v>
      </c>
      <c r="P3613" s="1" t="s">
        <v>3959</v>
      </c>
      <c r="Q3613" s="3">
        <v>0</v>
      </c>
      <c r="R3613" s="22" t="s">
        <v>3952</v>
      </c>
      <c r="S3613" s="22" t="s">
        <v>5099</v>
      </c>
      <c r="T3613" s="51">
        <v>31</v>
      </c>
      <c r="U3613" s="3" t="s">
        <v>6060</v>
      </c>
      <c r="V3613" s="41" t="str">
        <f>HYPERLINK("http://ictvonline.org/taxonomy/p/taxonomy-history?taxnode_id=20183715","ICTVonline=20183715")</f>
        <v>ICTVonline=20183715</v>
      </c>
    </row>
    <row r="3614" spans="1:22">
      <c r="A3614" s="3">
        <v>3613</v>
      </c>
      <c r="L3614" s="1" t="s">
        <v>1689</v>
      </c>
      <c r="P3614" s="1" t="s">
        <v>4977</v>
      </c>
      <c r="Q3614" s="3">
        <v>0</v>
      </c>
      <c r="R3614" s="22" t="s">
        <v>3952</v>
      </c>
      <c r="S3614" s="22" t="s">
        <v>5097</v>
      </c>
      <c r="T3614" s="51">
        <v>31</v>
      </c>
      <c r="U3614" s="3" t="s">
        <v>6060</v>
      </c>
      <c r="V3614" s="41" t="str">
        <f>HYPERLINK("http://ictvonline.org/taxonomy/p/taxonomy-history?taxnode_id=20183716","ICTVonline=20183716")</f>
        <v>ICTVonline=20183716</v>
      </c>
    </row>
    <row r="3615" spans="1:22">
      <c r="A3615" s="3">
        <v>3614</v>
      </c>
      <c r="L3615" s="1" t="s">
        <v>1689</v>
      </c>
      <c r="P3615" s="1" t="s">
        <v>4978</v>
      </c>
      <c r="Q3615" s="3">
        <v>0</v>
      </c>
      <c r="R3615" s="22" t="s">
        <v>3952</v>
      </c>
      <c r="S3615" s="22" t="s">
        <v>5097</v>
      </c>
      <c r="T3615" s="51">
        <v>31</v>
      </c>
      <c r="U3615" s="3" t="s">
        <v>6060</v>
      </c>
      <c r="V3615" s="41" t="str">
        <f>HYPERLINK("http://ictvonline.org/taxonomy/p/taxonomy-history?taxnode_id=20183717","ICTVonline=20183717")</f>
        <v>ICTVonline=20183717</v>
      </c>
    </row>
    <row r="3616" spans="1:22">
      <c r="A3616" s="3">
        <v>3615</v>
      </c>
      <c r="L3616" s="1" t="s">
        <v>1689</v>
      </c>
      <c r="P3616" s="1" t="s">
        <v>3962</v>
      </c>
      <c r="Q3616" s="3">
        <v>0</v>
      </c>
      <c r="R3616" s="22" t="s">
        <v>3952</v>
      </c>
      <c r="S3616" s="22" t="s">
        <v>5099</v>
      </c>
      <c r="T3616" s="51">
        <v>31</v>
      </c>
      <c r="U3616" s="3" t="s">
        <v>6060</v>
      </c>
      <c r="V3616" s="41" t="str">
        <f>HYPERLINK("http://ictvonline.org/taxonomy/p/taxonomy-history?taxnode_id=20183718","ICTVonline=20183718")</f>
        <v>ICTVonline=20183718</v>
      </c>
    </row>
    <row r="3617" spans="1:22">
      <c r="A3617" s="3">
        <v>3616</v>
      </c>
      <c r="L3617" s="1" t="s">
        <v>1689</v>
      </c>
      <c r="P3617" s="1" t="s">
        <v>4979</v>
      </c>
      <c r="Q3617" s="3">
        <v>0</v>
      </c>
      <c r="R3617" s="22" t="s">
        <v>3952</v>
      </c>
      <c r="S3617" s="22" t="s">
        <v>5097</v>
      </c>
      <c r="T3617" s="51">
        <v>31</v>
      </c>
      <c r="U3617" s="3" t="s">
        <v>6060</v>
      </c>
      <c r="V3617" s="41" t="str">
        <f>HYPERLINK("http://ictvonline.org/taxonomy/p/taxonomy-history?taxnode_id=20183719","ICTVonline=20183719")</f>
        <v>ICTVonline=20183719</v>
      </c>
    </row>
    <row r="3618" spans="1:22">
      <c r="A3618" s="3">
        <v>3617</v>
      </c>
      <c r="L3618" s="1" t="s">
        <v>1689</v>
      </c>
      <c r="P3618" s="1" t="s">
        <v>3963</v>
      </c>
      <c r="Q3618" s="3">
        <v>0</v>
      </c>
      <c r="R3618" s="22" t="s">
        <v>3952</v>
      </c>
      <c r="S3618" s="22" t="s">
        <v>5099</v>
      </c>
      <c r="T3618" s="51">
        <v>31</v>
      </c>
      <c r="U3618" s="3" t="s">
        <v>6060</v>
      </c>
      <c r="V3618" s="41" t="str">
        <f>HYPERLINK("http://ictvonline.org/taxonomy/p/taxonomy-history?taxnode_id=20183720","ICTVonline=20183720")</f>
        <v>ICTVonline=20183720</v>
      </c>
    </row>
    <row r="3619" spans="1:22">
      <c r="A3619" s="3">
        <v>3618</v>
      </c>
      <c r="L3619" s="1" t="s">
        <v>1428</v>
      </c>
      <c r="M3619" s="1" t="s">
        <v>4258</v>
      </c>
      <c r="N3619" s="1" t="s">
        <v>1026</v>
      </c>
      <c r="P3619" s="1" t="s">
        <v>1027</v>
      </c>
      <c r="Q3619" s="3">
        <v>1</v>
      </c>
      <c r="R3619" s="22" t="s">
        <v>2764</v>
      </c>
      <c r="S3619" s="22" t="s">
        <v>5099</v>
      </c>
      <c r="T3619" s="51">
        <v>31</v>
      </c>
      <c r="U3619" s="3" t="s">
        <v>6062</v>
      </c>
      <c r="V3619" s="41" t="str">
        <f>HYPERLINK("http://ictvonline.org/taxonomy/p/taxonomy-history?taxnode_id=20183728","ICTVonline=20183728")</f>
        <v>ICTVonline=20183728</v>
      </c>
    </row>
    <row r="3620" spans="1:22">
      <c r="A3620" s="3">
        <v>3619</v>
      </c>
      <c r="L3620" s="1" t="s">
        <v>1428</v>
      </c>
      <c r="M3620" s="1" t="s">
        <v>4258</v>
      </c>
      <c r="N3620" s="1" t="s">
        <v>1028</v>
      </c>
      <c r="P3620" s="1" t="s">
        <v>1029</v>
      </c>
      <c r="Q3620" s="3">
        <v>1</v>
      </c>
      <c r="R3620" s="22" t="s">
        <v>2764</v>
      </c>
      <c r="S3620" s="22" t="s">
        <v>5099</v>
      </c>
      <c r="T3620" s="51">
        <v>31</v>
      </c>
      <c r="U3620" s="3" t="s">
        <v>6062</v>
      </c>
      <c r="V3620" s="41" t="str">
        <f>HYPERLINK("http://ictvonline.org/taxonomy/p/taxonomy-history?taxnode_id=20183730","ICTVonline=20183730")</f>
        <v>ICTVonline=20183730</v>
      </c>
    </row>
    <row r="3621" spans="1:22">
      <c r="A3621" s="3">
        <v>3620</v>
      </c>
      <c r="L3621" s="1" t="s">
        <v>1428</v>
      </c>
      <c r="M3621" s="1" t="s">
        <v>4258</v>
      </c>
      <c r="N3621" s="1" t="s">
        <v>1030</v>
      </c>
      <c r="P3621" s="1" t="s">
        <v>1031</v>
      </c>
      <c r="Q3621" s="3">
        <v>0</v>
      </c>
      <c r="R3621" s="22" t="s">
        <v>2764</v>
      </c>
      <c r="S3621" s="22" t="s">
        <v>5099</v>
      </c>
      <c r="T3621" s="51">
        <v>31</v>
      </c>
      <c r="U3621" s="3" t="s">
        <v>6062</v>
      </c>
      <c r="V3621" s="41" t="str">
        <f>HYPERLINK("http://ictvonline.org/taxonomy/p/taxonomy-history?taxnode_id=20183732","ICTVonline=20183732")</f>
        <v>ICTVonline=20183732</v>
      </c>
    </row>
    <row r="3622" spans="1:22">
      <c r="A3622" s="3">
        <v>3621</v>
      </c>
      <c r="L3622" s="1" t="s">
        <v>1428</v>
      </c>
      <c r="M3622" s="1" t="s">
        <v>4258</v>
      </c>
      <c r="N3622" s="1" t="s">
        <v>1030</v>
      </c>
      <c r="P3622" s="1" t="s">
        <v>1032</v>
      </c>
      <c r="Q3622" s="3">
        <v>0</v>
      </c>
      <c r="R3622" s="22" t="s">
        <v>2764</v>
      </c>
      <c r="S3622" s="22" t="s">
        <v>5099</v>
      </c>
      <c r="T3622" s="51">
        <v>31</v>
      </c>
      <c r="U3622" s="3" t="s">
        <v>6062</v>
      </c>
      <c r="V3622" s="41" t="str">
        <f>HYPERLINK("http://ictvonline.org/taxonomy/p/taxonomy-history?taxnode_id=20183733","ICTVonline=20183733")</f>
        <v>ICTVonline=20183733</v>
      </c>
    </row>
    <row r="3623" spans="1:22">
      <c r="A3623" s="3">
        <v>3622</v>
      </c>
      <c r="L3623" s="1" t="s">
        <v>1428</v>
      </c>
      <c r="M3623" s="1" t="s">
        <v>4258</v>
      </c>
      <c r="N3623" s="1" t="s">
        <v>1030</v>
      </c>
      <c r="P3623" s="1" t="s">
        <v>6063</v>
      </c>
      <c r="Q3623" s="3">
        <v>0</v>
      </c>
      <c r="R3623" s="22" t="s">
        <v>2764</v>
      </c>
      <c r="S3623" s="22" t="s">
        <v>5097</v>
      </c>
      <c r="T3623" s="51">
        <v>32</v>
      </c>
      <c r="U3623" s="3" t="s">
        <v>6064</v>
      </c>
      <c r="V3623" s="41" t="str">
        <f>HYPERLINK("http://ictvonline.org/taxonomy/p/taxonomy-history?taxnode_id=20185861","ICTVonline=20185861")</f>
        <v>ICTVonline=20185861</v>
      </c>
    </row>
    <row r="3624" spans="1:22">
      <c r="A3624" s="3">
        <v>3623</v>
      </c>
      <c r="L3624" s="1" t="s">
        <v>1428</v>
      </c>
      <c r="M3624" s="1" t="s">
        <v>4258</v>
      </c>
      <c r="N3624" s="1" t="s">
        <v>1030</v>
      </c>
      <c r="P3624" s="1" t="s">
        <v>1109</v>
      </c>
      <c r="Q3624" s="3">
        <v>0</v>
      </c>
      <c r="R3624" s="22" t="s">
        <v>2764</v>
      </c>
      <c r="S3624" s="22" t="s">
        <v>5099</v>
      </c>
      <c r="T3624" s="51">
        <v>31</v>
      </c>
      <c r="U3624" s="3" t="s">
        <v>6062</v>
      </c>
      <c r="V3624" s="41" t="str">
        <f>HYPERLINK("http://ictvonline.org/taxonomy/p/taxonomy-history?taxnode_id=20183734","ICTVonline=20183734")</f>
        <v>ICTVonline=20183734</v>
      </c>
    </row>
    <row r="3625" spans="1:22">
      <c r="A3625" s="3">
        <v>3624</v>
      </c>
      <c r="L3625" s="1" t="s">
        <v>1428</v>
      </c>
      <c r="M3625" s="1" t="s">
        <v>4258</v>
      </c>
      <c r="N3625" s="1" t="s">
        <v>1030</v>
      </c>
      <c r="P3625" s="1" t="s">
        <v>1110</v>
      </c>
      <c r="Q3625" s="3">
        <v>0</v>
      </c>
      <c r="R3625" s="22" t="s">
        <v>2764</v>
      </c>
      <c r="S3625" s="22" t="s">
        <v>5099</v>
      </c>
      <c r="T3625" s="51">
        <v>31</v>
      </c>
      <c r="U3625" s="3" t="s">
        <v>6062</v>
      </c>
      <c r="V3625" s="41" t="str">
        <f>HYPERLINK("http://ictvonline.org/taxonomy/p/taxonomy-history?taxnode_id=20183735","ICTVonline=20183735")</f>
        <v>ICTVonline=20183735</v>
      </c>
    </row>
    <row r="3626" spans="1:22">
      <c r="A3626" s="3">
        <v>3625</v>
      </c>
      <c r="L3626" s="1" t="s">
        <v>1428</v>
      </c>
      <c r="M3626" s="1" t="s">
        <v>4258</v>
      </c>
      <c r="N3626" s="1" t="s">
        <v>1030</v>
      </c>
      <c r="P3626" s="1" t="s">
        <v>1111</v>
      </c>
      <c r="Q3626" s="3">
        <v>1</v>
      </c>
      <c r="R3626" s="22" t="s">
        <v>2764</v>
      </c>
      <c r="S3626" s="22" t="s">
        <v>5099</v>
      </c>
      <c r="T3626" s="51">
        <v>31</v>
      </c>
      <c r="U3626" s="3" t="s">
        <v>6062</v>
      </c>
      <c r="V3626" s="41" t="str">
        <f>HYPERLINK("http://ictvonline.org/taxonomy/p/taxonomy-history?taxnode_id=20183736","ICTVonline=20183736")</f>
        <v>ICTVonline=20183736</v>
      </c>
    </row>
    <row r="3627" spans="1:22">
      <c r="A3627" s="3">
        <v>3626</v>
      </c>
      <c r="L3627" s="1" t="s">
        <v>1428</v>
      </c>
      <c r="M3627" s="1" t="s">
        <v>4258</v>
      </c>
      <c r="N3627" s="1" t="s">
        <v>1030</v>
      </c>
      <c r="P3627" s="1" t="s">
        <v>1112</v>
      </c>
      <c r="Q3627" s="3">
        <v>0</v>
      </c>
      <c r="R3627" s="22" t="s">
        <v>2764</v>
      </c>
      <c r="S3627" s="22" t="s">
        <v>5099</v>
      </c>
      <c r="T3627" s="51">
        <v>31</v>
      </c>
      <c r="U3627" s="3" t="s">
        <v>6062</v>
      </c>
      <c r="V3627" s="41" t="str">
        <f>HYPERLINK("http://ictvonline.org/taxonomy/p/taxonomy-history?taxnode_id=20183737","ICTVonline=20183737")</f>
        <v>ICTVonline=20183737</v>
      </c>
    </row>
    <row r="3628" spans="1:22">
      <c r="A3628" s="3">
        <v>3627</v>
      </c>
      <c r="L3628" s="1" t="s">
        <v>1428</v>
      </c>
      <c r="M3628" s="1" t="s">
        <v>4258</v>
      </c>
      <c r="N3628" s="1" t="s">
        <v>1030</v>
      </c>
      <c r="P3628" s="1" t="s">
        <v>4981</v>
      </c>
      <c r="Q3628" s="3">
        <v>0</v>
      </c>
      <c r="R3628" s="22" t="s">
        <v>2764</v>
      </c>
      <c r="S3628" s="22" t="s">
        <v>5097</v>
      </c>
      <c r="T3628" s="51">
        <v>31</v>
      </c>
      <c r="U3628" s="3" t="s">
        <v>6062</v>
      </c>
      <c r="V3628" s="41" t="str">
        <f>HYPERLINK("http://ictvonline.org/taxonomy/p/taxonomy-history?taxnode_id=20183738","ICTVonline=20183738")</f>
        <v>ICTVonline=20183738</v>
      </c>
    </row>
    <row r="3629" spans="1:22">
      <c r="A3629" s="3">
        <v>3628</v>
      </c>
      <c r="L3629" s="1" t="s">
        <v>1428</v>
      </c>
      <c r="M3629" s="1" t="s">
        <v>4259</v>
      </c>
      <c r="N3629" s="1" t="s">
        <v>1429</v>
      </c>
      <c r="P3629" s="1" t="s">
        <v>1430</v>
      </c>
      <c r="Q3629" s="3">
        <v>1</v>
      </c>
      <c r="R3629" s="22" t="s">
        <v>2764</v>
      </c>
      <c r="S3629" s="22" t="s">
        <v>5099</v>
      </c>
      <c r="T3629" s="51">
        <v>31</v>
      </c>
      <c r="U3629" s="3" t="s">
        <v>6062</v>
      </c>
      <c r="V3629" s="41" t="str">
        <f>HYPERLINK("http://ictvonline.org/taxonomy/p/taxonomy-history?taxnode_id=20183741","ICTVonline=20183741")</f>
        <v>ICTVonline=20183741</v>
      </c>
    </row>
    <row r="3630" spans="1:22">
      <c r="A3630" s="3">
        <v>3629</v>
      </c>
      <c r="L3630" s="1" t="s">
        <v>1428</v>
      </c>
      <c r="M3630" s="1" t="s">
        <v>4259</v>
      </c>
      <c r="N3630" s="1" t="s">
        <v>1033</v>
      </c>
      <c r="P3630" s="1" t="s">
        <v>1034</v>
      </c>
      <c r="Q3630" s="3">
        <v>0</v>
      </c>
      <c r="R3630" s="22" t="s">
        <v>2764</v>
      </c>
      <c r="S3630" s="22" t="s">
        <v>5099</v>
      </c>
      <c r="T3630" s="51">
        <v>31</v>
      </c>
      <c r="U3630" s="3" t="s">
        <v>6062</v>
      </c>
      <c r="V3630" s="41" t="str">
        <f>HYPERLINK("http://ictvonline.org/taxonomy/p/taxonomy-history?taxnode_id=20183743","ICTVonline=20183743")</f>
        <v>ICTVonline=20183743</v>
      </c>
    </row>
    <row r="3631" spans="1:22">
      <c r="A3631" s="3">
        <v>3630</v>
      </c>
      <c r="L3631" s="1" t="s">
        <v>1428</v>
      </c>
      <c r="M3631" s="1" t="s">
        <v>4259</v>
      </c>
      <c r="N3631" s="1" t="s">
        <v>1033</v>
      </c>
      <c r="P3631" s="1" t="s">
        <v>1025</v>
      </c>
      <c r="Q3631" s="3">
        <v>1</v>
      </c>
      <c r="R3631" s="22" t="s">
        <v>2764</v>
      </c>
      <c r="S3631" s="22" t="s">
        <v>5099</v>
      </c>
      <c r="T3631" s="51">
        <v>31</v>
      </c>
      <c r="U3631" s="3" t="s">
        <v>6062</v>
      </c>
      <c r="V3631" s="41" t="str">
        <f>HYPERLINK("http://ictvonline.org/taxonomy/p/taxonomy-history?taxnode_id=20183744","ICTVonline=20183744")</f>
        <v>ICTVonline=20183744</v>
      </c>
    </row>
    <row r="3632" spans="1:22">
      <c r="A3632" s="3">
        <v>3631</v>
      </c>
      <c r="L3632" s="1" t="s">
        <v>3966</v>
      </c>
      <c r="N3632" s="1" t="s">
        <v>3967</v>
      </c>
      <c r="P3632" s="1" t="s">
        <v>3968</v>
      </c>
      <c r="Q3632" s="3">
        <v>1</v>
      </c>
      <c r="R3632" s="22" t="s">
        <v>2764</v>
      </c>
      <c r="S3632" s="22" t="s">
        <v>5097</v>
      </c>
      <c r="T3632" s="51">
        <v>30</v>
      </c>
      <c r="U3632" s="3" t="s">
        <v>6065</v>
      </c>
      <c r="V3632" s="41" t="str">
        <f>HYPERLINK("http://ictvonline.org/taxonomy/p/taxonomy-history?taxnode_id=20183747","ICTVonline=20183747")</f>
        <v>ICTVonline=20183747</v>
      </c>
    </row>
    <row r="3633" spans="1:22">
      <c r="A3633" s="3">
        <v>3632</v>
      </c>
      <c r="L3633" s="1" t="s">
        <v>3966</v>
      </c>
      <c r="N3633" s="1" t="s">
        <v>3969</v>
      </c>
      <c r="P3633" s="1" t="s">
        <v>3970</v>
      </c>
      <c r="Q3633" s="3">
        <v>1</v>
      </c>
      <c r="R3633" s="22" t="s">
        <v>2764</v>
      </c>
      <c r="S3633" s="22" t="s">
        <v>5097</v>
      </c>
      <c r="T3633" s="51">
        <v>30</v>
      </c>
      <c r="U3633" s="3" t="s">
        <v>6065</v>
      </c>
      <c r="V3633" s="41" t="str">
        <f>HYPERLINK("http://ictvonline.org/taxonomy/p/taxonomy-history?taxnode_id=20183749","ICTVonline=20183749")</f>
        <v>ICTVonline=20183749</v>
      </c>
    </row>
    <row r="3634" spans="1:22">
      <c r="A3634" s="3">
        <v>3633</v>
      </c>
      <c r="L3634" s="1" t="s">
        <v>3966</v>
      </c>
      <c r="N3634" s="1" t="s">
        <v>3969</v>
      </c>
      <c r="P3634" s="1" t="s">
        <v>3971</v>
      </c>
      <c r="Q3634" s="3">
        <v>0</v>
      </c>
      <c r="R3634" s="22" t="s">
        <v>2764</v>
      </c>
      <c r="S3634" s="22" t="s">
        <v>5097</v>
      </c>
      <c r="T3634" s="51">
        <v>30</v>
      </c>
      <c r="U3634" s="3" t="s">
        <v>6065</v>
      </c>
      <c r="V3634" s="41" t="str">
        <f>HYPERLINK("http://ictvonline.org/taxonomy/p/taxonomy-history?taxnode_id=20183750","ICTVonline=20183750")</f>
        <v>ICTVonline=20183750</v>
      </c>
    </row>
    <row r="3635" spans="1:22">
      <c r="A3635" s="3">
        <v>3634</v>
      </c>
      <c r="L3635" s="1" t="s">
        <v>1113</v>
      </c>
      <c r="N3635" s="1" t="s">
        <v>1114</v>
      </c>
      <c r="P3635" s="1" t="s">
        <v>3972</v>
      </c>
      <c r="Q3635" s="3">
        <v>0</v>
      </c>
      <c r="R3635" s="22" t="s">
        <v>2766</v>
      </c>
      <c r="S3635" s="22" t="s">
        <v>5100</v>
      </c>
      <c r="T3635" s="51">
        <v>30</v>
      </c>
      <c r="U3635" s="3" t="s">
        <v>5216</v>
      </c>
      <c r="V3635" s="41" t="str">
        <f>HYPERLINK("http://ictvonline.org/taxonomy/p/taxonomy-history?taxnode_id=20183754","ICTVonline=20183754")</f>
        <v>ICTVonline=20183754</v>
      </c>
    </row>
    <row r="3636" spans="1:22">
      <c r="A3636" s="3">
        <v>3635</v>
      </c>
      <c r="L3636" s="1" t="s">
        <v>1113</v>
      </c>
      <c r="N3636" s="1" t="s">
        <v>1114</v>
      </c>
      <c r="P3636" s="1" t="s">
        <v>3973</v>
      </c>
      <c r="Q3636" s="3">
        <v>1</v>
      </c>
      <c r="R3636" s="22" t="s">
        <v>2766</v>
      </c>
      <c r="S3636" s="22" t="s">
        <v>5100</v>
      </c>
      <c r="T3636" s="51">
        <v>30</v>
      </c>
      <c r="U3636" s="3" t="s">
        <v>5216</v>
      </c>
      <c r="V3636" s="41" t="str">
        <f>HYPERLINK("http://ictvonline.org/taxonomy/p/taxonomy-history?taxnode_id=20183755","ICTVonline=20183755")</f>
        <v>ICTVonline=20183755</v>
      </c>
    </row>
    <row r="3637" spans="1:22">
      <c r="A3637" s="3">
        <v>3636</v>
      </c>
      <c r="L3637" s="1" t="s">
        <v>1113</v>
      </c>
      <c r="N3637" s="1" t="s">
        <v>1634</v>
      </c>
      <c r="P3637" s="1" t="s">
        <v>3974</v>
      </c>
      <c r="Q3637" s="3">
        <v>0</v>
      </c>
      <c r="R3637" s="22" t="s">
        <v>2766</v>
      </c>
      <c r="S3637" s="22" t="s">
        <v>5100</v>
      </c>
      <c r="T3637" s="51">
        <v>30</v>
      </c>
      <c r="U3637" s="3" t="s">
        <v>5216</v>
      </c>
      <c r="V3637" s="41" t="str">
        <f>HYPERLINK("http://ictvonline.org/taxonomy/p/taxonomy-history?taxnode_id=20183757","ICTVonline=20183757")</f>
        <v>ICTVonline=20183757</v>
      </c>
    </row>
    <row r="3638" spans="1:22">
      <c r="A3638" s="3">
        <v>3637</v>
      </c>
      <c r="L3638" s="1" t="s">
        <v>1113</v>
      </c>
      <c r="N3638" s="1" t="s">
        <v>1634</v>
      </c>
      <c r="P3638" s="1" t="s">
        <v>3975</v>
      </c>
      <c r="Q3638" s="3">
        <v>1</v>
      </c>
      <c r="R3638" s="22" t="s">
        <v>2766</v>
      </c>
      <c r="S3638" s="22" t="s">
        <v>5100</v>
      </c>
      <c r="T3638" s="51">
        <v>30</v>
      </c>
      <c r="U3638" s="3" t="s">
        <v>5216</v>
      </c>
      <c r="V3638" s="41" t="str">
        <f>HYPERLINK("http://ictvonline.org/taxonomy/p/taxonomy-history?taxnode_id=20183758","ICTVonline=20183758")</f>
        <v>ICTVonline=20183758</v>
      </c>
    </row>
    <row r="3639" spans="1:22">
      <c r="A3639" s="3">
        <v>3638</v>
      </c>
      <c r="L3639" s="1" t="s">
        <v>1981</v>
      </c>
      <c r="N3639" s="1" t="s">
        <v>1131</v>
      </c>
      <c r="P3639" s="1" t="s">
        <v>4982</v>
      </c>
      <c r="Q3639" s="3">
        <v>0</v>
      </c>
      <c r="R3639" s="22" t="s">
        <v>2766</v>
      </c>
      <c r="S3639" s="22" t="s">
        <v>5097</v>
      </c>
      <c r="T3639" s="51">
        <v>31</v>
      </c>
      <c r="U3639" s="3" t="s">
        <v>6066</v>
      </c>
      <c r="V3639" s="41" t="str">
        <f>HYPERLINK("http://ictvonline.org/taxonomy/p/taxonomy-history?taxnode_id=20183762","ICTVonline=20183762")</f>
        <v>ICTVonline=20183762</v>
      </c>
    </row>
    <row r="3640" spans="1:22">
      <c r="A3640" s="3">
        <v>3639</v>
      </c>
      <c r="L3640" s="1" t="s">
        <v>1981</v>
      </c>
      <c r="N3640" s="1" t="s">
        <v>1131</v>
      </c>
      <c r="P3640" s="1" t="s">
        <v>2484</v>
      </c>
      <c r="Q3640" s="3">
        <v>1</v>
      </c>
      <c r="R3640" s="22" t="s">
        <v>2766</v>
      </c>
      <c r="S3640" s="22" t="s">
        <v>5099</v>
      </c>
      <c r="T3640" s="51">
        <v>29</v>
      </c>
      <c r="U3640" s="3" t="s">
        <v>6067</v>
      </c>
      <c r="V3640" s="41" t="str">
        <f>HYPERLINK("http://ictvonline.org/taxonomy/p/taxonomy-history?taxnode_id=20183763","ICTVonline=20183763")</f>
        <v>ICTVonline=20183763</v>
      </c>
    </row>
    <row r="3641" spans="1:22">
      <c r="A3641" s="3">
        <v>3640</v>
      </c>
      <c r="L3641" s="1" t="s">
        <v>1981</v>
      </c>
      <c r="N3641" s="1" t="s">
        <v>1132</v>
      </c>
      <c r="P3641" s="1" t="s">
        <v>6068</v>
      </c>
      <c r="Q3641" s="3">
        <v>0</v>
      </c>
      <c r="R3641" s="22" t="s">
        <v>2766</v>
      </c>
      <c r="S3641" s="22" t="s">
        <v>5097</v>
      </c>
      <c r="T3641" s="51">
        <v>28</v>
      </c>
      <c r="U3641" s="3" t="s">
        <v>6707</v>
      </c>
      <c r="V3641" s="41" t="str">
        <f>HYPERLINK("http://ictvonline.org/taxonomy/p/taxonomy-history?taxnode_id=20183765","ICTVonline=20183765")</f>
        <v>ICTVonline=20183765</v>
      </c>
    </row>
    <row r="3642" spans="1:22">
      <c r="A3642" s="3">
        <v>3641</v>
      </c>
      <c r="L3642" s="1" t="s">
        <v>1981</v>
      </c>
      <c r="N3642" s="1" t="s">
        <v>1132</v>
      </c>
      <c r="P3642" s="1" t="s">
        <v>6069</v>
      </c>
      <c r="Q3642" s="3">
        <v>0</v>
      </c>
      <c r="R3642" s="22" t="s">
        <v>2766</v>
      </c>
      <c r="S3642" s="22" t="s">
        <v>5097</v>
      </c>
      <c r="T3642" s="51">
        <v>28</v>
      </c>
      <c r="U3642" s="3" t="s">
        <v>6707</v>
      </c>
      <c r="V3642" s="41" t="str">
        <f>HYPERLINK("http://ictvonline.org/taxonomy/p/taxonomy-history?taxnode_id=20183766","ICTVonline=20183766")</f>
        <v>ICTVonline=20183766</v>
      </c>
    </row>
    <row r="3643" spans="1:22">
      <c r="A3643" s="3">
        <v>3642</v>
      </c>
      <c r="L3643" s="1" t="s">
        <v>1981</v>
      </c>
      <c r="N3643" s="1" t="s">
        <v>1132</v>
      </c>
      <c r="P3643" s="1" t="s">
        <v>6070</v>
      </c>
      <c r="Q3643" s="3">
        <v>0</v>
      </c>
      <c r="R3643" s="22" t="s">
        <v>2766</v>
      </c>
      <c r="S3643" s="22" t="s">
        <v>5098</v>
      </c>
      <c r="T3643" s="51">
        <v>28</v>
      </c>
      <c r="U3643" s="3" t="s">
        <v>6708</v>
      </c>
      <c r="V3643" s="41" t="str">
        <f>HYPERLINK("http://ictvonline.org/taxonomy/p/taxonomy-history?taxnode_id=20183767","ICTVonline=20183767")</f>
        <v>ICTVonline=20183767</v>
      </c>
    </row>
    <row r="3644" spans="1:22">
      <c r="A3644" s="3">
        <v>3643</v>
      </c>
      <c r="L3644" s="1" t="s">
        <v>1981</v>
      </c>
      <c r="N3644" s="1" t="s">
        <v>1132</v>
      </c>
      <c r="P3644" s="1" t="s">
        <v>6071</v>
      </c>
      <c r="Q3644" s="3">
        <v>0</v>
      </c>
      <c r="R3644" s="22" t="s">
        <v>2766</v>
      </c>
      <c r="S3644" s="22" t="s">
        <v>5097</v>
      </c>
      <c r="T3644" s="51">
        <v>21</v>
      </c>
      <c r="U3644" s="3" t="s">
        <v>6085</v>
      </c>
      <c r="V3644" s="41" t="str">
        <f>HYPERLINK("http://ictvonline.org/taxonomy/p/taxonomy-history?taxnode_id=20183768","ICTVonline=20183768")</f>
        <v>ICTVonline=20183768</v>
      </c>
    </row>
    <row r="3645" spans="1:22">
      <c r="A3645" s="3">
        <v>3644</v>
      </c>
      <c r="L3645" s="1" t="s">
        <v>1981</v>
      </c>
      <c r="N3645" s="1" t="s">
        <v>1132</v>
      </c>
      <c r="P3645" s="1" t="s">
        <v>6072</v>
      </c>
      <c r="Q3645" s="3">
        <v>1</v>
      </c>
      <c r="R3645" s="22" t="s">
        <v>2766</v>
      </c>
      <c r="S3645" s="22" t="s">
        <v>5098</v>
      </c>
      <c r="T3645" s="51">
        <v>28</v>
      </c>
      <c r="U3645" s="3" t="s">
        <v>6708</v>
      </c>
      <c r="V3645" s="41" t="str">
        <f>HYPERLINK("http://ictvonline.org/taxonomy/p/taxonomy-history?taxnode_id=20183769","ICTVonline=20183769")</f>
        <v>ICTVonline=20183769</v>
      </c>
    </row>
    <row r="3646" spans="1:22">
      <c r="A3646" s="3">
        <v>3645</v>
      </c>
      <c r="L3646" s="1" t="s">
        <v>1981</v>
      </c>
      <c r="N3646" s="1" t="s">
        <v>1132</v>
      </c>
      <c r="P3646" s="1" t="s">
        <v>1639</v>
      </c>
      <c r="Q3646" s="3">
        <v>0</v>
      </c>
      <c r="R3646" s="22" t="s">
        <v>2766</v>
      </c>
      <c r="S3646" s="22" t="s">
        <v>5099</v>
      </c>
      <c r="T3646" s="51">
        <v>22</v>
      </c>
      <c r="U3646" s="3" t="s">
        <v>6073</v>
      </c>
      <c r="V3646" s="41" t="str">
        <f>HYPERLINK("http://ictvonline.org/taxonomy/p/taxonomy-history?taxnode_id=20183770","ICTVonline=20183770")</f>
        <v>ICTVonline=20183770</v>
      </c>
    </row>
    <row r="3647" spans="1:22">
      <c r="A3647" s="3">
        <v>3646</v>
      </c>
      <c r="L3647" s="1" t="s">
        <v>1981</v>
      </c>
      <c r="N3647" s="1" t="s">
        <v>1132</v>
      </c>
      <c r="P3647" s="1" t="s">
        <v>547</v>
      </c>
      <c r="Q3647" s="3">
        <v>0</v>
      </c>
      <c r="R3647" s="22" t="s">
        <v>2766</v>
      </c>
      <c r="S3647" s="22" t="s">
        <v>5097</v>
      </c>
      <c r="T3647" s="51">
        <v>25</v>
      </c>
      <c r="U3647" s="3" t="s">
        <v>6074</v>
      </c>
      <c r="V3647" s="41" t="str">
        <f>HYPERLINK("http://ictvonline.org/taxonomy/p/taxonomy-history?taxnode_id=20183771","ICTVonline=20183771")</f>
        <v>ICTVonline=20183771</v>
      </c>
    </row>
    <row r="3648" spans="1:22">
      <c r="A3648" s="3">
        <v>3647</v>
      </c>
      <c r="L3648" s="1" t="s">
        <v>1981</v>
      </c>
      <c r="N3648" s="1" t="s">
        <v>1132</v>
      </c>
      <c r="P3648" s="1" t="s">
        <v>1133</v>
      </c>
      <c r="Q3648" s="3">
        <v>0</v>
      </c>
      <c r="R3648" s="22" t="s">
        <v>2766</v>
      </c>
      <c r="S3648" s="22" t="s">
        <v>5099</v>
      </c>
      <c r="T3648" s="51">
        <v>22</v>
      </c>
      <c r="U3648" s="3" t="s">
        <v>6073</v>
      </c>
      <c r="V3648" s="41" t="str">
        <f>HYPERLINK("http://ictvonline.org/taxonomy/p/taxonomy-history?taxnode_id=20183772","ICTVonline=20183772")</f>
        <v>ICTVonline=20183772</v>
      </c>
    </row>
    <row r="3649" spans="1:22">
      <c r="A3649" s="3">
        <v>3648</v>
      </c>
      <c r="L3649" s="1" t="s">
        <v>1981</v>
      </c>
      <c r="N3649" s="1" t="s">
        <v>1641</v>
      </c>
      <c r="P3649" s="1" t="s">
        <v>1642</v>
      </c>
      <c r="Q3649" s="3">
        <v>0</v>
      </c>
      <c r="R3649" s="22" t="s">
        <v>2766</v>
      </c>
      <c r="S3649" s="22" t="s">
        <v>5097</v>
      </c>
      <c r="T3649" s="51">
        <v>20</v>
      </c>
      <c r="U3649" s="3" t="s">
        <v>5490</v>
      </c>
      <c r="V3649" s="41" t="str">
        <f>HYPERLINK("http://ictvonline.org/taxonomy/p/taxonomy-history?taxnode_id=20183774","ICTVonline=20183774")</f>
        <v>ICTVonline=20183774</v>
      </c>
    </row>
    <row r="3650" spans="1:22">
      <c r="A3650" s="3">
        <v>3649</v>
      </c>
      <c r="L3650" s="1" t="s">
        <v>1981</v>
      </c>
      <c r="N3650" s="1" t="s">
        <v>1641</v>
      </c>
      <c r="P3650" s="1" t="s">
        <v>1986</v>
      </c>
      <c r="Q3650" s="3">
        <v>0</v>
      </c>
      <c r="R3650" s="22" t="s">
        <v>2766</v>
      </c>
      <c r="S3650" s="22" t="s">
        <v>5097</v>
      </c>
      <c r="T3650" s="51">
        <v>17</v>
      </c>
      <c r="U3650" s="3" t="s">
        <v>5823</v>
      </c>
      <c r="V3650" s="41" t="str">
        <f>HYPERLINK("http://ictvonline.org/taxonomy/p/taxonomy-history?taxnode_id=20183775","ICTVonline=20183775")</f>
        <v>ICTVonline=20183775</v>
      </c>
    </row>
    <row r="3651" spans="1:22">
      <c r="A3651" s="3">
        <v>3650</v>
      </c>
      <c r="L3651" s="1" t="s">
        <v>1981</v>
      </c>
      <c r="N3651" s="1" t="s">
        <v>1641</v>
      </c>
      <c r="P3651" s="1" t="s">
        <v>1643</v>
      </c>
      <c r="Q3651" s="3">
        <v>0</v>
      </c>
      <c r="R3651" s="22" t="s">
        <v>2766</v>
      </c>
      <c r="S3651" s="22" t="s">
        <v>5099</v>
      </c>
      <c r="T3651" s="51">
        <v>17</v>
      </c>
      <c r="U3651" s="3" t="s">
        <v>5823</v>
      </c>
      <c r="V3651" s="41" t="str">
        <f>HYPERLINK("http://ictvonline.org/taxonomy/p/taxonomy-history?taxnode_id=20183776","ICTVonline=20183776")</f>
        <v>ICTVonline=20183776</v>
      </c>
    </row>
    <row r="3652" spans="1:22">
      <c r="A3652" s="3">
        <v>3651</v>
      </c>
      <c r="L3652" s="1" t="s">
        <v>1981</v>
      </c>
      <c r="N3652" s="1" t="s">
        <v>1641</v>
      </c>
      <c r="P3652" s="1" t="s">
        <v>1644</v>
      </c>
      <c r="Q3652" s="3">
        <v>0</v>
      </c>
      <c r="R3652" s="22" t="s">
        <v>2766</v>
      </c>
      <c r="S3652" s="22" t="s">
        <v>5099</v>
      </c>
      <c r="T3652" s="51">
        <v>24</v>
      </c>
      <c r="U3652" s="3" t="s">
        <v>6075</v>
      </c>
      <c r="V3652" s="41" t="str">
        <f>HYPERLINK("http://ictvonline.org/taxonomy/p/taxonomy-history?taxnode_id=20183777","ICTVonline=20183777")</f>
        <v>ICTVonline=20183777</v>
      </c>
    </row>
    <row r="3653" spans="1:22">
      <c r="A3653" s="3">
        <v>3652</v>
      </c>
      <c r="L3653" s="1" t="s">
        <v>1981</v>
      </c>
      <c r="N3653" s="1" t="s">
        <v>1641</v>
      </c>
      <c r="P3653" s="1" t="s">
        <v>6076</v>
      </c>
      <c r="Q3653" s="3">
        <v>0</v>
      </c>
      <c r="R3653" s="22" t="s">
        <v>2766</v>
      </c>
      <c r="S3653" s="22" t="s">
        <v>5097</v>
      </c>
      <c r="T3653" s="51">
        <v>20</v>
      </c>
      <c r="U3653" s="3" t="s">
        <v>5490</v>
      </c>
      <c r="V3653" s="41" t="str">
        <f>HYPERLINK("http://ictvonline.org/taxonomy/p/taxonomy-history?taxnode_id=20183778","ICTVonline=20183778")</f>
        <v>ICTVonline=20183778</v>
      </c>
    </row>
    <row r="3654" spans="1:22">
      <c r="A3654" s="3">
        <v>3653</v>
      </c>
      <c r="L3654" s="1" t="s">
        <v>1981</v>
      </c>
      <c r="N3654" s="1" t="s">
        <v>1641</v>
      </c>
      <c r="P3654" s="1" t="s">
        <v>6077</v>
      </c>
      <c r="Q3654" s="3">
        <v>0</v>
      </c>
      <c r="R3654" s="22" t="s">
        <v>2766</v>
      </c>
      <c r="S3654" s="22" t="s">
        <v>5098</v>
      </c>
      <c r="T3654" s="51">
        <v>28</v>
      </c>
      <c r="U3654" s="3" t="s">
        <v>6708</v>
      </c>
      <c r="V3654" s="41" t="str">
        <f>HYPERLINK("http://ictvonline.org/taxonomy/p/taxonomy-history?taxnode_id=20183779","ICTVonline=20183779")</f>
        <v>ICTVonline=20183779</v>
      </c>
    </row>
    <row r="3655" spans="1:22">
      <c r="A3655" s="3">
        <v>3654</v>
      </c>
      <c r="L3655" s="1" t="s">
        <v>1981</v>
      </c>
      <c r="N3655" s="1" t="s">
        <v>1641</v>
      </c>
      <c r="P3655" s="1" t="s">
        <v>548</v>
      </c>
      <c r="Q3655" s="3">
        <v>0</v>
      </c>
      <c r="R3655" s="22" t="s">
        <v>2766</v>
      </c>
      <c r="S3655" s="22" t="s">
        <v>5097</v>
      </c>
      <c r="T3655" s="51">
        <v>25</v>
      </c>
      <c r="U3655" s="3" t="s">
        <v>6074</v>
      </c>
      <c r="V3655" s="41" t="str">
        <f>HYPERLINK("http://ictvonline.org/taxonomy/p/taxonomy-history?taxnode_id=20183780","ICTVonline=20183780")</f>
        <v>ICTVonline=20183780</v>
      </c>
    </row>
    <row r="3656" spans="1:22">
      <c r="A3656" s="3">
        <v>3655</v>
      </c>
      <c r="L3656" s="1" t="s">
        <v>1981</v>
      </c>
      <c r="N3656" s="1" t="s">
        <v>1641</v>
      </c>
      <c r="P3656" s="1" t="s">
        <v>2485</v>
      </c>
      <c r="Q3656" s="3">
        <v>0</v>
      </c>
      <c r="R3656" s="22" t="s">
        <v>2766</v>
      </c>
      <c r="S3656" s="22" t="s">
        <v>5097</v>
      </c>
      <c r="T3656" s="51">
        <v>28</v>
      </c>
      <c r="U3656" s="3" t="s">
        <v>6078</v>
      </c>
      <c r="V3656" s="41" t="str">
        <f>HYPERLINK("http://ictvonline.org/taxonomy/p/taxonomy-history?taxnode_id=20183781","ICTVonline=20183781")</f>
        <v>ICTVonline=20183781</v>
      </c>
    </row>
    <row r="3657" spans="1:22">
      <c r="A3657" s="3">
        <v>3656</v>
      </c>
      <c r="L3657" s="1" t="s">
        <v>1981</v>
      </c>
      <c r="N3657" s="1" t="s">
        <v>1641</v>
      </c>
      <c r="P3657" s="1" t="s">
        <v>1645</v>
      </c>
      <c r="Q3657" s="3">
        <v>0</v>
      </c>
      <c r="R3657" s="22" t="s">
        <v>2766</v>
      </c>
      <c r="S3657" s="22" t="s">
        <v>5097</v>
      </c>
      <c r="T3657" s="51">
        <v>17</v>
      </c>
      <c r="U3657" s="3" t="s">
        <v>5823</v>
      </c>
      <c r="V3657" s="41" t="str">
        <f>HYPERLINK("http://ictvonline.org/taxonomy/p/taxonomy-history?taxnode_id=20183782","ICTVonline=20183782")</f>
        <v>ICTVonline=20183782</v>
      </c>
    </row>
    <row r="3658" spans="1:22">
      <c r="A3658" s="3">
        <v>3657</v>
      </c>
      <c r="L3658" s="1" t="s">
        <v>1981</v>
      </c>
      <c r="N3658" s="1" t="s">
        <v>1641</v>
      </c>
      <c r="P3658" s="1" t="s">
        <v>6079</v>
      </c>
      <c r="Q3658" s="3">
        <v>0</v>
      </c>
      <c r="R3658" s="22" t="s">
        <v>2766</v>
      </c>
      <c r="S3658" s="22" t="s">
        <v>5098</v>
      </c>
      <c r="T3658" s="51">
        <v>28</v>
      </c>
      <c r="U3658" s="3" t="s">
        <v>6708</v>
      </c>
      <c r="V3658" s="41" t="str">
        <f>HYPERLINK("http://ictvonline.org/taxonomy/p/taxonomy-history?taxnode_id=20183783","ICTVonline=20183783")</f>
        <v>ICTVonline=20183783</v>
      </c>
    </row>
    <row r="3659" spans="1:22">
      <c r="A3659" s="3">
        <v>3658</v>
      </c>
      <c r="L3659" s="1" t="s">
        <v>1981</v>
      </c>
      <c r="N3659" s="1" t="s">
        <v>1641</v>
      </c>
      <c r="P3659" s="1" t="s">
        <v>6080</v>
      </c>
      <c r="Q3659" s="3">
        <v>0</v>
      </c>
      <c r="R3659" s="22" t="s">
        <v>2766</v>
      </c>
      <c r="S3659" s="22" t="s">
        <v>5097</v>
      </c>
      <c r="T3659" s="51">
        <v>32</v>
      </c>
      <c r="U3659" s="3" t="s">
        <v>6081</v>
      </c>
      <c r="V3659" s="41" t="str">
        <f>HYPERLINK("http://ictvonline.org/taxonomy/p/taxonomy-history?taxnode_id=20185862","ICTVonline=20185862")</f>
        <v>ICTVonline=20185862</v>
      </c>
    </row>
    <row r="3660" spans="1:22">
      <c r="A3660" s="3">
        <v>3659</v>
      </c>
      <c r="L3660" s="1" t="s">
        <v>1981</v>
      </c>
      <c r="N3660" s="1" t="s">
        <v>1641</v>
      </c>
      <c r="P3660" s="1" t="s">
        <v>549</v>
      </c>
      <c r="Q3660" s="3">
        <v>0</v>
      </c>
      <c r="R3660" s="22" t="s">
        <v>2766</v>
      </c>
      <c r="S3660" s="22" t="s">
        <v>5097</v>
      </c>
      <c r="T3660" s="51">
        <v>25</v>
      </c>
      <c r="U3660" s="3" t="s">
        <v>6074</v>
      </c>
      <c r="V3660" s="41" t="str">
        <f>HYPERLINK("http://ictvonline.org/taxonomy/p/taxonomy-history?taxnode_id=20183784","ICTVonline=20183784")</f>
        <v>ICTVonline=20183784</v>
      </c>
    </row>
    <row r="3661" spans="1:22">
      <c r="A3661" s="3">
        <v>3660</v>
      </c>
      <c r="L3661" s="1" t="s">
        <v>1981</v>
      </c>
      <c r="N3661" s="1" t="s">
        <v>1641</v>
      </c>
      <c r="P3661" s="1" t="s">
        <v>6082</v>
      </c>
      <c r="Q3661" s="3">
        <v>0</v>
      </c>
      <c r="R3661" s="22" t="s">
        <v>2766</v>
      </c>
      <c r="S3661" s="22" t="s">
        <v>5097</v>
      </c>
      <c r="T3661" s="51">
        <v>32</v>
      </c>
      <c r="U3661" s="3" t="s">
        <v>6083</v>
      </c>
      <c r="V3661" s="41" t="str">
        <f>HYPERLINK("http://ictvonline.org/taxonomy/p/taxonomy-history?taxnode_id=20185863","ICTVonline=20185863")</f>
        <v>ICTVonline=20185863</v>
      </c>
    </row>
    <row r="3662" spans="1:22">
      <c r="A3662" s="3">
        <v>3661</v>
      </c>
      <c r="L3662" s="1" t="s">
        <v>1981</v>
      </c>
      <c r="N3662" s="1" t="s">
        <v>1641</v>
      </c>
      <c r="P3662" s="1" t="s">
        <v>2486</v>
      </c>
      <c r="Q3662" s="3">
        <v>0</v>
      </c>
      <c r="R3662" s="22" t="s">
        <v>2766</v>
      </c>
      <c r="S3662" s="22" t="s">
        <v>5097</v>
      </c>
      <c r="T3662" s="51">
        <v>28</v>
      </c>
      <c r="U3662" s="3" t="s">
        <v>6078</v>
      </c>
      <c r="V3662" s="41" t="str">
        <f>HYPERLINK("http://ictvonline.org/taxonomy/p/taxonomy-history?taxnode_id=20183785","ICTVonline=20183785")</f>
        <v>ICTVonline=20183785</v>
      </c>
    </row>
    <row r="3663" spans="1:22">
      <c r="A3663" s="3">
        <v>3662</v>
      </c>
      <c r="L3663" s="1" t="s">
        <v>1981</v>
      </c>
      <c r="N3663" s="1" t="s">
        <v>1641</v>
      </c>
      <c r="P3663" s="1" t="s">
        <v>1646</v>
      </c>
      <c r="Q3663" s="3">
        <v>1</v>
      </c>
      <c r="R3663" s="22" t="s">
        <v>2766</v>
      </c>
      <c r="S3663" s="22" t="s">
        <v>5106</v>
      </c>
      <c r="T3663" s="51">
        <v>18</v>
      </c>
      <c r="U3663" s="3" t="s">
        <v>5486</v>
      </c>
      <c r="V3663" s="41" t="str">
        <f>HYPERLINK("http://ictvonline.org/taxonomy/p/taxonomy-history?taxnode_id=20183786","ICTVonline=20183786")</f>
        <v>ICTVonline=20183786</v>
      </c>
    </row>
    <row r="3664" spans="1:22">
      <c r="A3664" s="3">
        <v>3663</v>
      </c>
      <c r="L3664" s="1" t="s">
        <v>1981</v>
      </c>
      <c r="N3664" s="1" t="s">
        <v>1641</v>
      </c>
      <c r="P3664" s="1" t="s">
        <v>2487</v>
      </c>
      <c r="Q3664" s="3">
        <v>0</v>
      </c>
      <c r="R3664" s="22" t="s">
        <v>2766</v>
      </c>
      <c r="S3664" s="22" t="s">
        <v>5097</v>
      </c>
      <c r="T3664" s="51">
        <v>28</v>
      </c>
      <c r="U3664" s="3" t="s">
        <v>6078</v>
      </c>
      <c r="V3664" s="41" t="str">
        <f>HYPERLINK("http://ictvonline.org/taxonomy/p/taxonomy-history?taxnode_id=20183787","ICTVonline=20183787")</f>
        <v>ICTVonline=20183787</v>
      </c>
    </row>
    <row r="3665" spans="1:22">
      <c r="A3665" s="3">
        <v>3664</v>
      </c>
      <c r="L3665" s="1" t="s">
        <v>1981</v>
      </c>
      <c r="N3665" s="1" t="s">
        <v>1641</v>
      </c>
      <c r="P3665" s="1" t="s">
        <v>1647</v>
      </c>
      <c r="Q3665" s="3">
        <v>0</v>
      </c>
      <c r="R3665" s="22" t="s">
        <v>2766</v>
      </c>
      <c r="S3665" s="22" t="s">
        <v>5099</v>
      </c>
      <c r="T3665" s="51">
        <v>22</v>
      </c>
      <c r="U3665" s="3" t="s">
        <v>6084</v>
      </c>
      <c r="V3665" s="41" t="str">
        <f>HYPERLINK("http://ictvonline.org/taxonomy/p/taxonomy-history?taxnode_id=20183788","ICTVonline=20183788")</f>
        <v>ICTVonline=20183788</v>
      </c>
    </row>
    <row r="3666" spans="1:22">
      <c r="A3666" s="3">
        <v>3665</v>
      </c>
      <c r="L3666" s="1" t="s">
        <v>1981</v>
      </c>
      <c r="N3666" s="1" t="s">
        <v>1641</v>
      </c>
      <c r="P3666" s="1" t="s">
        <v>1650</v>
      </c>
      <c r="Q3666" s="3">
        <v>0</v>
      </c>
      <c r="R3666" s="22" t="s">
        <v>2766</v>
      </c>
      <c r="S3666" s="22" t="s">
        <v>5099</v>
      </c>
      <c r="T3666" s="51">
        <v>25</v>
      </c>
      <c r="U3666" s="3" t="s">
        <v>6074</v>
      </c>
      <c r="V3666" s="41" t="str">
        <f>HYPERLINK("http://ictvonline.org/taxonomy/p/taxonomy-history?taxnode_id=20183789","ICTVonline=20183789")</f>
        <v>ICTVonline=20183789</v>
      </c>
    </row>
    <row r="3667" spans="1:22">
      <c r="A3667" s="3">
        <v>3666</v>
      </c>
      <c r="L3667" s="1" t="s">
        <v>1981</v>
      </c>
      <c r="N3667" s="1" t="s">
        <v>1641</v>
      </c>
      <c r="P3667" s="1" t="s">
        <v>1648</v>
      </c>
      <c r="Q3667" s="3">
        <v>0</v>
      </c>
      <c r="R3667" s="22" t="s">
        <v>2766</v>
      </c>
      <c r="S3667" s="22" t="s">
        <v>5097</v>
      </c>
      <c r="T3667" s="51">
        <v>21</v>
      </c>
      <c r="U3667" s="3" t="s">
        <v>6085</v>
      </c>
      <c r="V3667" s="41" t="str">
        <f>HYPERLINK("http://ictvonline.org/taxonomy/p/taxonomy-history?taxnode_id=20183790","ICTVonline=20183790")</f>
        <v>ICTVonline=20183790</v>
      </c>
    </row>
    <row r="3668" spans="1:22">
      <c r="A3668" s="3">
        <v>3667</v>
      </c>
      <c r="L3668" s="1" t="s">
        <v>1981</v>
      </c>
      <c r="P3668" s="1" t="s">
        <v>6086</v>
      </c>
      <c r="Q3668" s="3">
        <v>0</v>
      </c>
      <c r="R3668" s="22" t="s">
        <v>2766</v>
      </c>
      <c r="S3668" s="22" t="s">
        <v>5097</v>
      </c>
      <c r="T3668" s="51">
        <v>18</v>
      </c>
      <c r="U3668" s="3" t="s">
        <v>5486</v>
      </c>
      <c r="V3668" s="41" t="str">
        <f>HYPERLINK("http://ictvonline.org/taxonomy/p/taxonomy-history?taxnode_id=20183792","ICTVonline=20183792")</f>
        <v>ICTVonline=20183792</v>
      </c>
    </row>
    <row r="3669" spans="1:22">
      <c r="A3669" s="3">
        <v>3668</v>
      </c>
      <c r="L3669" s="1" t="s">
        <v>1981</v>
      </c>
      <c r="P3669" s="1" t="s">
        <v>6087</v>
      </c>
      <c r="Q3669" s="3">
        <v>0</v>
      </c>
      <c r="R3669" s="22" t="s">
        <v>2766</v>
      </c>
      <c r="S3669" s="22" t="s">
        <v>5098</v>
      </c>
      <c r="T3669" s="51">
        <v>28</v>
      </c>
      <c r="U3669" s="3" t="s">
        <v>6708</v>
      </c>
      <c r="V3669" s="41" t="str">
        <f>HYPERLINK("http://ictvonline.org/taxonomy/p/taxonomy-history?taxnode_id=20183793","ICTVonline=20183793")</f>
        <v>ICTVonline=20183793</v>
      </c>
    </row>
    <row r="3670" spans="1:22">
      <c r="A3670" s="3">
        <v>3669</v>
      </c>
      <c r="L3670" s="1" t="s">
        <v>1981</v>
      </c>
      <c r="P3670" s="1" t="s">
        <v>1134</v>
      </c>
      <c r="Q3670" s="3">
        <v>0</v>
      </c>
      <c r="R3670" s="22" t="s">
        <v>2766</v>
      </c>
      <c r="S3670" s="22" t="s">
        <v>5100</v>
      </c>
      <c r="T3670" s="51">
        <v>18</v>
      </c>
      <c r="U3670" s="3" t="s">
        <v>5486</v>
      </c>
      <c r="V3670" s="41" t="str">
        <f>HYPERLINK("http://ictvonline.org/taxonomy/p/taxonomy-history?taxnode_id=20183794","ICTVonline=20183794")</f>
        <v>ICTVonline=20183794</v>
      </c>
    </row>
    <row r="3671" spans="1:22">
      <c r="A3671" s="3">
        <v>3670</v>
      </c>
      <c r="L3671" s="1" t="s">
        <v>1981</v>
      </c>
      <c r="P3671" s="1" t="s">
        <v>1988</v>
      </c>
      <c r="Q3671" s="3">
        <v>0</v>
      </c>
      <c r="R3671" s="22" t="s">
        <v>2766</v>
      </c>
      <c r="S3671" s="22" t="s">
        <v>5099</v>
      </c>
      <c r="T3671" s="51">
        <v>17</v>
      </c>
      <c r="U3671" s="3" t="s">
        <v>5823</v>
      </c>
      <c r="V3671" s="41" t="str">
        <f>HYPERLINK("http://ictvonline.org/taxonomy/p/taxonomy-history?taxnode_id=20183795","ICTVonline=20183795")</f>
        <v>ICTVonline=20183795</v>
      </c>
    </row>
    <row r="3672" spans="1:22">
      <c r="A3672" s="3">
        <v>3671</v>
      </c>
      <c r="L3672" s="1" t="s">
        <v>1981</v>
      </c>
      <c r="P3672" s="1" t="s">
        <v>1989</v>
      </c>
      <c r="Q3672" s="3">
        <v>0</v>
      </c>
      <c r="R3672" s="22" t="s">
        <v>2766</v>
      </c>
      <c r="S3672" s="22" t="s">
        <v>5099</v>
      </c>
      <c r="T3672" s="51">
        <v>17</v>
      </c>
      <c r="U3672" s="3" t="s">
        <v>5823</v>
      </c>
      <c r="V3672" s="41" t="str">
        <f>HYPERLINK("http://ictvonline.org/taxonomy/p/taxonomy-history?taxnode_id=20183796","ICTVonline=20183796")</f>
        <v>ICTVonline=20183796</v>
      </c>
    </row>
    <row r="3673" spans="1:22">
      <c r="A3673" s="3">
        <v>3672</v>
      </c>
      <c r="L3673" s="1" t="s">
        <v>1981</v>
      </c>
      <c r="P3673" s="1" t="s">
        <v>1990</v>
      </c>
      <c r="Q3673" s="3">
        <v>0</v>
      </c>
      <c r="R3673" s="22" t="s">
        <v>2766</v>
      </c>
      <c r="S3673" s="22" t="s">
        <v>5097</v>
      </c>
      <c r="T3673" s="51">
        <v>17</v>
      </c>
      <c r="U3673" s="3" t="s">
        <v>5823</v>
      </c>
      <c r="V3673" s="41" t="str">
        <f>HYPERLINK("http://ictvonline.org/taxonomy/p/taxonomy-history?taxnode_id=20183797","ICTVonline=20183797")</f>
        <v>ICTVonline=20183797</v>
      </c>
    </row>
    <row r="3674" spans="1:22">
      <c r="A3674" s="3">
        <v>3673</v>
      </c>
      <c r="L3674" s="1" t="s">
        <v>1981</v>
      </c>
      <c r="P3674" s="1" t="s">
        <v>1991</v>
      </c>
      <c r="Q3674" s="3">
        <v>0</v>
      </c>
      <c r="R3674" s="22" t="s">
        <v>2766</v>
      </c>
      <c r="S3674" s="22" t="s">
        <v>5099</v>
      </c>
      <c r="T3674" s="51">
        <v>18</v>
      </c>
      <c r="U3674" s="3" t="s">
        <v>5486</v>
      </c>
      <c r="V3674" s="41" t="str">
        <f>HYPERLINK("http://ictvonline.org/taxonomy/p/taxonomy-history?taxnode_id=20183798","ICTVonline=20183798")</f>
        <v>ICTVonline=20183798</v>
      </c>
    </row>
    <row r="3675" spans="1:22">
      <c r="A3675" s="3">
        <v>3674</v>
      </c>
      <c r="L3675" s="1" t="s">
        <v>2488</v>
      </c>
      <c r="N3675" s="1" t="s">
        <v>2489</v>
      </c>
      <c r="P3675" s="1" t="s">
        <v>2490</v>
      </c>
      <c r="Q3675" s="3">
        <v>1</v>
      </c>
      <c r="R3675" s="22" t="s">
        <v>2764</v>
      </c>
      <c r="S3675" s="22" t="s">
        <v>5097</v>
      </c>
      <c r="T3675" s="51">
        <v>28</v>
      </c>
      <c r="U3675" s="3" t="s">
        <v>6088</v>
      </c>
      <c r="V3675" s="41" t="str">
        <f>HYPERLINK("http://ictvonline.org/taxonomy/p/taxonomy-history?taxnode_id=20183802","ICTVonline=20183802")</f>
        <v>ICTVonline=20183802</v>
      </c>
    </row>
    <row r="3676" spans="1:22">
      <c r="A3676" s="3">
        <v>3675</v>
      </c>
      <c r="L3676" s="1" t="s">
        <v>2488</v>
      </c>
      <c r="N3676" s="1" t="s">
        <v>2489</v>
      </c>
      <c r="P3676" s="1" t="s">
        <v>2491</v>
      </c>
      <c r="Q3676" s="3">
        <v>0</v>
      </c>
      <c r="R3676" s="22" t="s">
        <v>2764</v>
      </c>
      <c r="S3676" s="22" t="s">
        <v>5097</v>
      </c>
      <c r="T3676" s="51">
        <v>28</v>
      </c>
      <c r="U3676" s="3" t="s">
        <v>6088</v>
      </c>
      <c r="V3676" s="41" t="str">
        <f>HYPERLINK("http://ictvonline.org/taxonomy/p/taxonomy-history?taxnode_id=20183803","ICTVonline=20183803")</f>
        <v>ICTVonline=20183803</v>
      </c>
    </row>
    <row r="3677" spans="1:22">
      <c r="A3677" s="3">
        <v>3676</v>
      </c>
      <c r="L3677" s="1" t="s">
        <v>2488</v>
      </c>
      <c r="P3677" s="1" t="s">
        <v>2492</v>
      </c>
      <c r="Q3677" s="3">
        <v>0</v>
      </c>
      <c r="R3677" s="22" t="s">
        <v>2764</v>
      </c>
      <c r="S3677" s="22" t="s">
        <v>5097</v>
      </c>
      <c r="T3677" s="51">
        <v>28</v>
      </c>
      <c r="U3677" s="3" t="s">
        <v>6088</v>
      </c>
      <c r="V3677" s="41" t="str">
        <f>HYPERLINK("http://ictvonline.org/taxonomy/p/taxonomy-history?taxnode_id=20183805","ICTVonline=20183805")</f>
        <v>ICTVonline=20183805</v>
      </c>
    </row>
    <row r="3678" spans="1:22">
      <c r="A3678" s="3">
        <v>3677</v>
      </c>
      <c r="L3678" s="1" t="s">
        <v>2488</v>
      </c>
      <c r="P3678" s="1" t="s">
        <v>2493</v>
      </c>
      <c r="Q3678" s="3">
        <v>0</v>
      </c>
      <c r="R3678" s="22" t="s">
        <v>2764</v>
      </c>
      <c r="S3678" s="22" t="s">
        <v>5097</v>
      </c>
      <c r="T3678" s="51">
        <v>28</v>
      </c>
      <c r="U3678" s="3" t="s">
        <v>6088</v>
      </c>
      <c r="V3678" s="41" t="str">
        <f>HYPERLINK("http://ictvonline.org/taxonomy/p/taxonomy-history?taxnode_id=20183806","ICTVonline=20183806")</f>
        <v>ICTVonline=20183806</v>
      </c>
    </row>
    <row r="3679" spans="1:22">
      <c r="A3679" s="3">
        <v>3678</v>
      </c>
      <c r="L3679" s="1" t="s">
        <v>101</v>
      </c>
      <c r="N3679" s="1" t="s">
        <v>102</v>
      </c>
      <c r="P3679" s="1" t="s">
        <v>103</v>
      </c>
      <c r="Q3679" s="3">
        <v>1</v>
      </c>
      <c r="R3679" s="22" t="s">
        <v>2768</v>
      </c>
      <c r="S3679" s="22" t="s">
        <v>5102</v>
      </c>
      <c r="T3679" s="51">
        <v>26</v>
      </c>
      <c r="U3679" s="3" t="s">
        <v>6089</v>
      </c>
      <c r="V3679" s="41" t="str">
        <f>HYPERLINK("http://ictvonline.org/taxonomy/p/taxonomy-history?taxnode_id=20183810","ICTVonline=20183810")</f>
        <v>ICTVonline=20183810</v>
      </c>
    </row>
    <row r="3680" spans="1:22">
      <c r="A3680" s="3">
        <v>3679</v>
      </c>
      <c r="L3680" s="1" t="s">
        <v>1692</v>
      </c>
      <c r="M3680" s="1" t="s">
        <v>3976</v>
      </c>
      <c r="N3680" s="1" t="s">
        <v>3977</v>
      </c>
      <c r="P3680" s="1" t="s">
        <v>3978</v>
      </c>
      <c r="Q3680" s="3">
        <v>1</v>
      </c>
      <c r="R3680" s="22" t="s">
        <v>3952</v>
      </c>
      <c r="S3680" s="22" t="s">
        <v>5098</v>
      </c>
      <c r="T3680" s="51">
        <v>30</v>
      </c>
      <c r="U3680" s="3" t="s">
        <v>6090</v>
      </c>
      <c r="V3680" s="41" t="str">
        <f>HYPERLINK("http://ictvonline.org/taxonomy/p/taxonomy-history?taxnode_id=20183858","ICTVonline=20183858")</f>
        <v>ICTVonline=20183858</v>
      </c>
    </row>
    <row r="3681" spans="1:22">
      <c r="A3681" s="3">
        <v>3680</v>
      </c>
      <c r="L3681" s="1" t="s">
        <v>1692</v>
      </c>
      <c r="M3681" s="1" t="s">
        <v>3976</v>
      </c>
      <c r="N3681" s="1" t="s">
        <v>3977</v>
      </c>
      <c r="P3681" s="1" t="s">
        <v>3979</v>
      </c>
      <c r="Q3681" s="3">
        <v>0</v>
      </c>
      <c r="R3681" s="22" t="s">
        <v>3952</v>
      </c>
      <c r="S3681" s="22" t="s">
        <v>5097</v>
      </c>
      <c r="T3681" s="51">
        <v>30</v>
      </c>
      <c r="U3681" s="3" t="s">
        <v>6090</v>
      </c>
      <c r="V3681" s="41" t="str">
        <f>HYPERLINK("http://ictvonline.org/taxonomy/p/taxonomy-history?taxnode_id=20183859","ICTVonline=20183859")</f>
        <v>ICTVonline=20183859</v>
      </c>
    </row>
    <row r="3682" spans="1:22">
      <c r="A3682" s="3">
        <v>3681</v>
      </c>
      <c r="L3682" s="1" t="s">
        <v>1692</v>
      </c>
      <c r="M3682" s="1" t="s">
        <v>3976</v>
      </c>
      <c r="N3682" s="1" t="s">
        <v>3977</v>
      </c>
      <c r="P3682" s="1" t="s">
        <v>3980</v>
      </c>
      <c r="Q3682" s="3">
        <v>0</v>
      </c>
      <c r="R3682" s="22" t="s">
        <v>3952</v>
      </c>
      <c r="S3682" s="22" t="s">
        <v>5097</v>
      </c>
      <c r="T3682" s="51">
        <v>30</v>
      </c>
      <c r="U3682" s="3" t="s">
        <v>6090</v>
      </c>
      <c r="V3682" s="41" t="str">
        <f>HYPERLINK("http://ictvonline.org/taxonomy/p/taxonomy-history?taxnode_id=20183860","ICTVonline=20183860")</f>
        <v>ICTVonline=20183860</v>
      </c>
    </row>
    <row r="3683" spans="1:22">
      <c r="A3683" s="3">
        <v>3682</v>
      </c>
      <c r="L3683" s="1" t="s">
        <v>1692</v>
      </c>
      <c r="M3683" s="1" t="s">
        <v>3976</v>
      </c>
      <c r="N3683" s="1" t="s">
        <v>3977</v>
      </c>
      <c r="P3683" s="1" t="s">
        <v>3981</v>
      </c>
      <c r="Q3683" s="3">
        <v>0</v>
      </c>
      <c r="R3683" s="22" t="s">
        <v>3952</v>
      </c>
      <c r="S3683" s="22" t="s">
        <v>5097</v>
      </c>
      <c r="T3683" s="51">
        <v>30</v>
      </c>
      <c r="U3683" s="3" t="s">
        <v>6090</v>
      </c>
      <c r="V3683" s="41" t="str">
        <f>HYPERLINK("http://ictvonline.org/taxonomy/p/taxonomy-history?taxnode_id=20183861","ICTVonline=20183861")</f>
        <v>ICTVonline=20183861</v>
      </c>
    </row>
    <row r="3684" spans="1:22">
      <c r="A3684" s="3">
        <v>3683</v>
      </c>
      <c r="L3684" s="1" t="s">
        <v>1692</v>
      </c>
      <c r="M3684" s="1" t="s">
        <v>3976</v>
      </c>
      <c r="N3684" s="1" t="s">
        <v>3977</v>
      </c>
      <c r="P3684" s="1" t="s">
        <v>3982</v>
      </c>
      <c r="Q3684" s="3">
        <v>0</v>
      </c>
      <c r="R3684" s="22" t="s">
        <v>3952</v>
      </c>
      <c r="S3684" s="22" t="s">
        <v>5097</v>
      </c>
      <c r="T3684" s="51">
        <v>30</v>
      </c>
      <c r="U3684" s="3" t="s">
        <v>6090</v>
      </c>
      <c r="V3684" s="41" t="str">
        <f>HYPERLINK("http://ictvonline.org/taxonomy/p/taxonomy-history?taxnode_id=20183862","ICTVonline=20183862")</f>
        <v>ICTVonline=20183862</v>
      </c>
    </row>
    <row r="3685" spans="1:22">
      <c r="A3685" s="3">
        <v>3684</v>
      </c>
      <c r="L3685" s="1" t="s">
        <v>1692</v>
      </c>
      <c r="M3685" s="1" t="s">
        <v>3976</v>
      </c>
      <c r="N3685" s="1" t="s">
        <v>3977</v>
      </c>
      <c r="P3685" s="1" t="s">
        <v>3983</v>
      </c>
      <c r="Q3685" s="3">
        <v>0</v>
      </c>
      <c r="R3685" s="22" t="s">
        <v>3952</v>
      </c>
      <c r="S3685" s="22" t="s">
        <v>5097</v>
      </c>
      <c r="T3685" s="51">
        <v>30</v>
      </c>
      <c r="U3685" s="3" t="s">
        <v>6090</v>
      </c>
      <c r="V3685" s="41" t="str">
        <f>HYPERLINK("http://ictvonline.org/taxonomy/p/taxonomy-history?taxnode_id=20183863","ICTVonline=20183863")</f>
        <v>ICTVonline=20183863</v>
      </c>
    </row>
    <row r="3686" spans="1:22">
      <c r="A3686" s="3">
        <v>3685</v>
      </c>
      <c r="L3686" s="1" t="s">
        <v>1692</v>
      </c>
      <c r="M3686" s="1" t="s">
        <v>3976</v>
      </c>
      <c r="N3686" s="1" t="s">
        <v>3977</v>
      </c>
      <c r="P3686" s="1" t="s">
        <v>3984</v>
      </c>
      <c r="Q3686" s="3">
        <v>0</v>
      </c>
      <c r="R3686" s="22" t="s">
        <v>3952</v>
      </c>
      <c r="S3686" s="22" t="s">
        <v>5097</v>
      </c>
      <c r="T3686" s="51">
        <v>30</v>
      </c>
      <c r="U3686" s="3" t="s">
        <v>6090</v>
      </c>
      <c r="V3686" s="41" t="str">
        <f>HYPERLINK("http://ictvonline.org/taxonomy/p/taxonomy-history?taxnode_id=20183864","ICTVonline=20183864")</f>
        <v>ICTVonline=20183864</v>
      </c>
    </row>
    <row r="3687" spans="1:22">
      <c r="A3687" s="3">
        <v>3686</v>
      </c>
      <c r="L3687" s="1" t="s">
        <v>1692</v>
      </c>
      <c r="M3687" s="1" t="s">
        <v>3976</v>
      </c>
      <c r="N3687" s="1" t="s">
        <v>3977</v>
      </c>
      <c r="P3687" s="1" t="s">
        <v>3985</v>
      </c>
      <c r="Q3687" s="3">
        <v>0</v>
      </c>
      <c r="R3687" s="22" t="s">
        <v>3952</v>
      </c>
      <c r="S3687" s="22" t="s">
        <v>5098</v>
      </c>
      <c r="T3687" s="51">
        <v>30</v>
      </c>
      <c r="U3687" s="3" t="s">
        <v>6090</v>
      </c>
      <c r="V3687" s="41" t="str">
        <f>HYPERLINK("http://ictvonline.org/taxonomy/p/taxonomy-history?taxnode_id=20183865","ICTVonline=20183865")</f>
        <v>ICTVonline=20183865</v>
      </c>
    </row>
    <row r="3688" spans="1:22">
      <c r="A3688" s="3">
        <v>3687</v>
      </c>
      <c r="L3688" s="1" t="s">
        <v>1692</v>
      </c>
      <c r="M3688" s="1" t="s">
        <v>3976</v>
      </c>
      <c r="N3688" s="1" t="s">
        <v>3977</v>
      </c>
      <c r="P3688" s="1" t="s">
        <v>3986</v>
      </c>
      <c r="Q3688" s="3">
        <v>0</v>
      </c>
      <c r="R3688" s="22" t="s">
        <v>3952</v>
      </c>
      <c r="S3688" s="22" t="s">
        <v>5098</v>
      </c>
      <c r="T3688" s="51">
        <v>30</v>
      </c>
      <c r="U3688" s="3" t="s">
        <v>6090</v>
      </c>
      <c r="V3688" s="41" t="str">
        <f>HYPERLINK("http://ictvonline.org/taxonomy/p/taxonomy-history?taxnode_id=20183866","ICTVonline=20183866")</f>
        <v>ICTVonline=20183866</v>
      </c>
    </row>
    <row r="3689" spans="1:22">
      <c r="A3689" s="3">
        <v>3688</v>
      </c>
      <c r="L3689" s="1" t="s">
        <v>1692</v>
      </c>
      <c r="M3689" s="1" t="s">
        <v>3976</v>
      </c>
      <c r="N3689" s="1" t="s">
        <v>3977</v>
      </c>
      <c r="P3689" s="1" t="s">
        <v>3987</v>
      </c>
      <c r="Q3689" s="3">
        <v>0</v>
      </c>
      <c r="R3689" s="22" t="s">
        <v>3952</v>
      </c>
      <c r="S3689" s="22" t="s">
        <v>5097</v>
      </c>
      <c r="T3689" s="51">
        <v>30</v>
      </c>
      <c r="U3689" s="3" t="s">
        <v>6090</v>
      </c>
      <c r="V3689" s="41" t="str">
        <f>HYPERLINK("http://ictvonline.org/taxonomy/p/taxonomy-history?taxnode_id=20183867","ICTVonline=20183867")</f>
        <v>ICTVonline=20183867</v>
      </c>
    </row>
    <row r="3690" spans="1:22">
      <c r="A3690" s="3">
        <v>3689</v>
      </c>
      <c r="L3690" s="1" t="s">
        <v>1692</v>
      </c>
      <c r="M3690" s="1" t="s">
        <v>3976</v>
      </c>
      <c r="N3690" s="1" t="s">
        <v>3988</v>
      </c>
      <c r="P3690" s="1" t="s">
        <v>3989</v>
      </c>
      <c r="Q3690" s="3">
        <v>1</v>
      </c>
      <c r="R3690" s="22" t="s">
        <v>3952</v>
      </c>
      <c r="S3690" s="22" t="s">
        <v>5098</v>
      </c>
      <c r="T3690" s="51">
        <v>30</v>
      </c>
      <c r="U3690" s="3" t="s">
        <v>6090</v>
      </c>
      <c r="V3690" s="41" t="str">
        <f>HYPERLINK("http://ictvonline.org/taxonomy/p/taxonomy-history?taxnode_id=20183869","ICTVonline=20183869")</f>
        <v>ICTVonline=20183869</v>
      </c>
    </row>
    <row r="3691" spans="1:22">
      <c r="A3691" s="3">
        <v>3690</v>
      </c>
      <c r="L3691" s="1" t="s">
        <v>1692</v>
      </c>
      <c r="M3691" s="1" t="s">
        <v>3976</v>
      </c>
      <c r="N3691" s="1" t="s">
        <v>3988</v>
      </c>
      <c r="P3691" s="1" t="s">
        <v>3990</v>
      </c>
      <c r="Q3691" s="3">
        <v>0</v>
      </c>
      <c r="R3691" s="22" t="s">
        <v>3952</v>
      </c>
      <c r="S3691" s="22" t="s">
        <v>5097</v>
      </c>
      <c r="T3691" s="51">
        <v>30</v>
      </c>
      <c r="U3691" s="3" t="s">
        <v>6090</v>
      </c>
      <c r="V3691" s="41" t="str">
        <f>HYPERLINK("http://ictvonline.org/taxonomy/p/taxonomy-history?taxnode_id=20183870","ICTVonline=20183870")</f>
        <v>ICTVonline=20183870</v>
      </c>
    </row>
    <row r="3692" spans="1:22">
      <c r="A3692" s="3">
        <v>3691</v>
      </c>
      <c r="L3692" s="1" t="s">
        <v>1692</v>
      </c>
      <c r="M3692" s="1" t="s">
        <v>3976</v>
      </c>
      <c r="N3692" s="1" t="s">
        <v>3988</v>
      </c>
      <c r="P3692" s="1" t="s">
        <v>3991</v>
      </c>
      <c r="Q3692" s="3">
        <v>0</v>
      </c>
      <c r="R3692" s="22" t="s">
        <v>3952</v>
      </c>
      <c r="S3692" s="22" t="s">
        <v>5097</v>
      </c>
      <c r="T3692" s="51">
        <v>30</v>
      </c>
      <c r="U3692" s="3" t="s">
        <v>6090</v>
      </c>
      <c r="V3692" s="41" t="str">
        <f>HYPERLINK("http://ictvonline.org/taxonomy/p/taxonomy-history?taxnode_id=20183871","ICTVonline=20183871")</f>
        <v>ICTVonline=20183871</v>
      </c>
    </row>
    <row r="3693" spans="1:22">
      <c r="A3693" s="3">
        <v>3692</v>
      </c>
      <c r="L3693" s="1" t="s">
        <v>1692</v>
      </c>
      <c r="M3693" s="1" t="s">
        <v>3976</v>
      </c>
      <c r="N3693" s="1" t="s">
        <v>3992</v>
      </c>
      <c r="P3693" s="1" t="s">
        <v>3993</v>
      </c>
      <c r="Q3693" s="3">
        <v>1</v>
      </c>
      <c r="R3693" s="22" t="s">
        <v>3952</v>
      </c>
      <c r="S3693" s="22" t="s">
        <v>5098</v>
      </c>
      <c r="T3693" s="51">
        <v>30</v>
      </c>
      <c r="U3693" s="3" t="s">
        <v>6090</v>
      </c>
      <c r="V3693" s="41" t="str">
        <f>HYPERLINK("http://ictvonline.org/taxonomy/p/taxonomy-history?taxnode_id=20183873","ICTVonline=20183873")</f>
        <v>ICTVonline=20183873</v>
      </c>
    </row>
    <row r="3694" spans="1:22">
      <c r="A3694" s="3">
        <v>3693</v>
      </c>
      <c r="L3694" s="1" t="s">
        <v>1692</v>
      </c>
      <c r="M3694" s="1" t="s">
        <v>1161</v>
      </c>
      <c r="N3694" s="1" t="s">
        <v>1954</v>
      </c>
      <c r="P3694" s="1" t="s">
        <v>3994</v>
      </c>
      <c r="Q3694" s="3">
        <v>1</v>
      </c>
      <c r="R3694" s="22" t="s">
        <v>3952</v>
      </c>
      <c r="S3694" s="22" t="s">
        <v>5100</v>
      </c>
      <c r="T3694" s="51">
        <v>30</v>
      </c>
      <c r="U3694" s="3" t="s">
        <v>5216</v>
      </c>
      <c r="V3694" s="41" t="str">
        <f>HYPERLINK("http://ictvonline.org/taxonomy/p/taxonomy-history?taxnode_id=20183876","ICTVonline=20183876")</f>
        <v>ICTVonline=20183876</v>
      </c>
    </row>
    <row r="3695" spans="1:22">
      <c r="A3695" s="3">
        <v>3694</v>
      </c>
      <c r="L3695" s="1" t="s">
        <v>1692</v>
      </c>
      <c r="M3695" s="1" t="s">
        <v>1161</v>
      </c>
      <c r="N3695" s="1" t="s">
        <v>1954</v>
      </c>
      <c r="P3695" s="1" t="s">
        <v>3995</v>
      </c>
      <c r="Q3695" s="3">
        <v>0</v>
      </c>
      <c r="R3695" s="22" t="s">
        <v>3952</v>
      </c>
      <c r="S3695" s="22" t="s">
        <v>5100</v>
      </c>
      <c r="T3695" s="51">
        <v>30</v>
      </c>
      <c r="U3695" s="3" t="s">
        <v>5216</v>
      </c>
      <c r="V3695" s="41" t="str">
        <f>HYPERLINK("http://ictvonline.org/taxonomy/p/taxonomy-history?taxnode_id=20183877","ICTVonline=20183877")</f>
        <v>ICTVonline=20183877</v>
      </c>
    </row>
    <row r="3696" spans="1:22">
      <c r="A3696" s="3">
        <v>3695</v>
      </c>
      <c r="L3696" s="1" t="s">
        <v>1692</v>
      </c>
      <c r="M3696" s="1" t="s">
        <v>1161</v>
      </c>
      <c r="N3696" s="1" t="s">
        <v>1955</v>
      </c>
      <c r="P3696" s="1" t="s">
        <v>3996</v>
      </c>
      <c r="Q3696" s="3">
        <v>1</v>
      </c>
      <c r="R3696" s="22" t="s">
        <v>3952</v>
      </c>
      <c r="S3696" s="22" t="s">
        <v>5100</v>
      </c>
      <c r="T3696" s="51">
        <v>30</v>
      </c>
      <c r="U3696" s="3" t="s">
        <v>5216</v>
      </c>
      <c r="V3696" s="41" t="str">
        <f>HYPERLINK("http://ictvonline.org/taxonomy/p/taxonomy-history?taxnode_id=20183879","ICTVonline=20183879")</f>
        <v>ICTVonline=20183879</v>
      </c>
    </row>
    <row r="3697" spans="1:22">
      <c r="A3697" s="3">
        <v>3696</v>
      </c>
      <c r="L3697" s="1" t="s">
        <v>1692</v>
      </c>
      <c r="M3697" s="1" t="s">
        <v>1161</v>
      </c>
      <c r="N3697" s="1" t="s">
        <v>1955</v>
      </c>
      <c r="P3697" s="1" t="s">
        <v>3997</v>
      </c>
      <c r="Q3697" s="3">
        <v>0</v>
      </c>
      <c r="R3697" s="22" t="s">
        <v>3952</v>
      </c>
      <c r="S3697" s="22" t="s">
        <v>5100</v>
      </c>
      <c r="T3697" s="51">
        <v>30</v>
      </c>
      <c r="U3697" s="3" t="s">
        <v>5216</v>
      </c>
      <c r="V3697" s="41" t="str">
        <f>HYPERLINK("http://ictvonline.org/taxonomy/p/taxonomy-history?taxnode_id=20183880","ICTVonline=20183880")</f>
        <v>ICTVonline=20183880</v>
      </c>
    </row>
    <row r="3698" spans="1:22">
      <c r="A3698" s="3">
        <v>3697</v>
      </c>
      <c r="L3698" s="1" t="s">
        <v>1692</v>
      </c>
      <c r="M3698" s="1" t="s">
        <v>1161</v>
      </c>
      <c r="N3698" s="1" t="s">
        <v>1955</v>
      </c>
      <c r="P3698" s="1" t="s">
        <v>3998</v>
      </c>
      <c r="Q3698" s="3">
        <v>0</v>
      </c>
      <c r="R3698" s="22" t="s">
        <v>3952</v>
      </c>
      <c r="S3698" s="22" t="s">
        <v>5100</v>
      </c>
      <c r="T3698" s="51">
        <v>30</v>
      </c>
      <c r="U3698" s="3" t="s">
        <v>5216</v>
      </c>
      <c r="V3698" s="41" t="str">
        <f>HYPERLINK("http://ictvonline.org/taxonomy/p/taxonomy-history?taxnode_id=20183881","ICTVonline=20183881")</f>
        <v>ICTVonline=20183881</v>
      </c>
    </row>
    <row r="3699" spans="1:22">
      <c r="A3699" s="3">
        <v>3698</v>
      </c>
      <c r="L3699" s="1" t="s">
        <v>1692</v>
      </c>
      <c r="M3699" s="1" t="s">
        <v>1161</v>
      </c>
      <c r="N3699" s="1" t="s">
        <v>1955</v>
      </c>
      <c r="P3699" s="1" t="s">
        <v>3999</v>
      </c>
      <c r="Q3699" s="3">
        <v>0</v>
      </c>
      <c r="R3699" s="22" t="s">
        <v>3952</v>
      </c>
      <c r="S3699" s="22" t="s">
        <v>5100</v>
      </c>
      <c r="T3699" s="51">
        <v>30</v>
      </c>
      <c r="U3699" s="3" t="s">
        <v>5216</v>
      </c>
      <c r="V3699" s="41" t="str">
        <f>HYPERLINK("http://ictvonline.org/taxonomy/p/taxonomy-history?taxnode_id=20183882","ICTVonline=20183882")</f>
        <v>ICTVonline=20183882</v>
      </c>
    </row>
    <row r="3700" spans="1:22">
      <c r="A3700" s="3">
        <v>3699</v>
      </c>
      <c r="L3700" s="1" t="s">
        <v>1692</v>
      </c>
      <c r="M3700" s="1" t="s">
        <v>1161</v>
      </c>
      <c r="N3700" s="1" t="s">
        <v>2040</v>
      </c>
      <c r="P3700" s="1" t="s">
        <v>4000</v>
      </c>
      <c r="Q3700" s="3">
        <v>1</v>
      </c>
      <c r="R3700" s="22" t="s">
        <v>3952</v>
      </c>
      <c r="S3700" s="22" t="s">
        <v>5100</v>
      </c>
      <c r="T3700" s="51">
        <v>30</v>
      </c>
      <c r="U3700" s="3" t="s">
        <v>5216</v>
      </c>
      <c r="V3700" s="41" t="str">
        <f>HYPERLINK("http://ictvonline.org/taxonomy/p/taxonomy-history?taxnode_id=20183884","ICTVonline=20183884")</f>
        <v>ICTVonline=20183884</v>
      </c>
    </row>
    <row r="3701" spans="1:22">
      <c r="A3701" s="3">
        <v>3700</v>
      </c>
      <c r="L3701" s="1" t="s">
        <v>2041</v>
      </c>
      <c r="N3701" s="1" t="s">
        <v>2280</v>
      </c>
      <c r="P3701" s="1" t="s">
        <v>2281</v>
      </c>
      <c r="Q3701" s="3">
        <v>1</v>
      </c>
      <c r="R3701" s="22" t="s">
        <v>2764</v>
      </c>
      <c r="S3701" s="22" t="s">
        <v>5102</v>
      </c>
      <c r="T3701" s="51">
        <v>27</v>
      </c>
      <c r="U3701" s="3" t="s">
        <v>6091</v>
      </c>
      <c r="V3701" s="41" t="str">
        <f>HYPERLINK("http://ictvonline.org/taxonomy/p/taxonomy-history?taxnode_id=20183888","ICTVonline=20183888")</f>
        <v>ICTVonline=20183888</v>
      </c>
    </row>
    <row r="3702" spans="1:22">
      <c r="A3702" s="3">
        <v>3701</v>
      </c>
      <c r="L3702" s="1" t="s">
        <v>2041</v>
      </c>
      <c r="N3702" s="1" t="s">
        <v>2042</v>
      </c>
      <c r="P3702" s="1" t="s">
        <v>2043</v>
      </c>
      <c r="Q3702" s="3">
        <v>1</v>
      </c>
      <c r="R3702" s="22" t="s">
        <v>2764</v>
      </c>
      <c r="S3702" s="22" t="s">
        <v>5099</v>
      </c>
      <c r="T3702" s="51">
        <v>24</v>
      </c>
      <c r="U3702" s="3" t="s">
        <v>6092</v>
      </c>
      <c r="V3702" s="41" t="str">
        <f>HYPERLINK("http://ictvonline.org/taxonomy/p/taxonomy-history?taxnode_id=20183890","ICTVonline=20183890")</f>
        <v>ICTVonline=20183890</v>
      </c>
    </row>
    <row r="3703" spans="1:22">
      <c r="A3703" s="3">
        <v>3702</v>
      </c>
      <c r="L3703" s="1" t="s">
        <v>2044</v>
      </c>
      <c r="N3703" s="1" t="s">
        <v>2045</v>
      </c>
      <c r="P3703" s="1" t="s">
        <v>545</v>
      </c>
      <c r="Q3703" s="3">
        <v>0</v>
      </c>
      <c r="R3703" s="22" t="s">
        <v>3952</v>
      </c>
      <c r="S3703" s="22" t="s">
        <v>5097</v>
      </c>
      <c r="T3703" s="51">
        <v>25</v>
      </c>
      <c r="U3703" s="3" t="s">
        <v>6093</v>
      </c>
      <c r="V3703" s="41" t="str">
        <f>HYPERLINK("http://ictvonline.org/taxonomy/p/taxonomy-history?taxnode_id=20183894","ICTVonline=20183894")</f>
        <v>ICTVonline=20183894</v>
      </c>
    </row>
    <row r="3704" spans="1:22">
      <c r="A3704" s="3">
        <v>3703</v>
      </c>
      <c r="L3704" s="1" t="s">
        <v>2044</v>
      </c>
      <c r="N3704" s="1" t="s">
        <v>2045</v>
      </c>
      <c r="P3704" s="1" t="s">
        <v>2046</v>
      </c>
      <c r="Q3704" s="3">
        <v>1</v>
      </c>
      <c r="R3704" s="22" t="s">
        <v>3952</v>
      </c>
      <c r="S3704" s="22" t="s">
        <v>5103</v>
      </c>
      <c r="T3704" s="51">
        <v>20</v>
      </c>
      <c r="U3704" s="3" t="s">
        <v>5490</v>
      </c>
      <c r="V3704" s="41" t="str">
        <f>HYPERLINK("http://ictvonline.org/taxonomy/p/taxonomy-history?taxnode_id=20183895","ICTVonline=20183895")</f>
        <v>ICTVonline=20183895</v>
      </c>
    </row>
    <row r="3705" spans="1:22">
      <c r="A3705" s="3">
        <v>3704</v>
      </c>
      <c r="L3705" s="1" t="s">
        <v>2044</v>
      </c>
      <c r="N3705" s="1" t="s">
        <v>2045</v>
      </c>
      <c r="P3705" s="1" t="s">
        <v>546</v>
      </c>
      <c r="Q3705" s="3">
        <v>0</v>
      </c>
      <c r="R3705" s="22" t="s">
        <v>3952</v>
      </c>
      <c r="S3705" s="22" t="s">
        <v>5097</v>
      </c>
      <c r="T3705" s="51">
        <v>25</v>
      </c>
      <c r="U3705" s="3" t="s">
        <v>6094</v>
      </c>
      <c r="V3705" s="41" t="str">
        <f>HYPERLINK("http://ictvonline.org/taxonomy/p/taxonomy-history?taxnode_id=20183896","ICTVonline=20183896")</f>
        <v>ICTVonline=20183896</v>
      </c>
    </row>
    <row r="3706" spans="1:22">
      <c r="A3706" s="3">
        <v>3705</v>
      </c>
      <c r="L3706" s="1" t="s">
        <v>2044</v>
      </c>
      <c r="N3706" s="1" t="s">
        <v>2047</v>
      </c>
      <c r="P3706" s="1" t="s">
        <v>4001</v>
      </c>
      <c r="Q3706" s="3">
        <v>0</v>
      </c>
      <c r="R3706" s="22" t="s">
        <v>3952</v>
      </c>
      <c r="S3706" s="22" t="s">
        <v>5097</v>
      </c>
      <c r="T3706" s="51">
        <v>30</v>
      </c>
      <c r="U3706" s="3" t="s">
        <v>6095</v>
      </c>
      <c r="V3706" s="41" t="str">
        <f>HYPERLINK("http://ictvonline.org/taxonomy/p/taxonomy-history?taxnode_id=20183898","ICTVonline=20183898")</f>
        <v>ICTVonline=20183898</v>
      </c>
    </row>
    <row r="3707" spans="1:22">
      <c r="A3707" s="3">
        <v>3706</v>
      </c>
      <c r="L3707" s="1" t="s">
        <v>2044</v>
      </c>
      <c r="N3707" s="1" t="s">
        <v>2047</v>
      </c>
      <c r="P3707" s="1" t="s">
        <v>104</v>
      </c>
      <c r="Q3707" s="3">
        <v>0</v>
      </c>
      <c r="R3707" s="22" t="s">
        <v>3952</v>
      </c>
      <c r="S3707" s="22" t="s">
        <v>5097</v>
      </c>
      <c r="T3707" s="51">
        <v>26</v>
      </c>
      <c r="U3707" s="3" t="s">
        <v>6096</v>
      </c>
      <c r="V3707" s="41" t="str">
        <f>HYPERLINK("http://ictvonline.org/taxonomy/p/taxonomy-history?taxnode_id=20183899","ICTVonline=20183899")</f>
        <v>ICTVonline=20183899</v>
      </c>
    </row>
    <row r="3708" spans="1:22">
      <c r="A3708" s="3">
        <v>3707</v>
      </c>
      <c r="L3708" s="1" t="s">
        <v>2044</v>
      </c>
      <c r="N3708" s="1" t="s">
        <v>2047</v>
      </c>
      <c r="P3708" s="1" t="s">
        <v>1623</v>
      </c>
      <c r="Q3708" s="3">
        <v>0</v>
      </c>
      <c r="R3708" s="22" t="s">
        <v>3952</v>
      </c>
      <c r="S3708" s="22" t="s">
        <v>5099</v>
      </c>
      <c r="T3708" s="51">
        <v>20</v>
      </c>
      <c r="U3708" s="3" t="s">
        <v>5490</v>
      </c>
      <c r="V3708" s="41" t="str">
        <f>HYPERLINK("http://ictvonline.org/taxonomy/p/taxonomy-history?taxnode_id=20183900","ICTVonline=20183900")</f>
        <v>ICTVonline=20183900</v>
      </c>
    </row>
    <row r="3709" spans="1:22">
      <c r="A3709" s="3">
        <v>3708</v>
      </c>
      <c r="L3709" s="1" t="s">
        <v>2044</v>
      </c>
      <c r="N3709" s="1" t="s">
        <v>2047</v>
      </c>
      <c r="P3709" s="1" t="s">
        <v>2282</v>
      </c>
      <c r="Q3709" s="3">
        <v>0</v>
      </c>
      <c r="R3709" s="22" t="s">
        <v>3952</v>
      </c>
      <c r="S3709" s="22" t="s">
        <v>5097</v>
      </c>
      <c r="T3709" s="51">
        <v>27</v>
      </c>
      <c r="U3709" s="3" t="s">
        <v>6097</v>
      </c>
      <c r="V3709" s="41" t="str">
        <f>HYPERLINK("http://ictvonline.org/taxonomy/p/taxonomy-history?taxnode_id=20183901","ICTVonline=20183901")</f>
        <v>ICTVonline=20183901</v>
      </c>
    </row>
    <row r="3710" spans="1:22">
      <c r="A3710" s="3">
        <v>3709</v>
      </c>
      <c r="L3710" s="1" t="s">
        <v>2044</v>
      </c>
      <c r="N3710" s="1" t="s">
        <v>2047</v>
      </c>
      <c r="P3710" s="1" t="s">
        <v>1091</v>
      </c>
      <c r="Q3710" s="3">
        <v>0</v>
      </c>
      <c r="R3710" s="22" t="s">
        <v>3952</v>
      </c>
      <c r="S3710" s="22" t="s">
        <v>5099</v>
      </c>
      <c r="T3710" s="51">
        <v>20</v>
      </c>
      <c r="U3710" s="3" t="s">
        <v>5490</v>
      </c>
      <c r="V3710" s="41" t="str">
        <f>HYPERLINK("http://ictvonline.org/taxonomy/p/taxonomy-history?taxnode_id=20183902","ICTVonline=20183902")</f>
        <v>ICTVonline=20183902</v>
      </c>
    </row>
    <row r="3711" spans="1:22">
      <c r="A3711" s="3">
        <v>3710</v>
      </c>
      <c r="L3711" s="1" t="s">
        <v>2044</v>
      </c>
      <c r="N3711" s="1" t="s">
        <v>2047</v>
      </c>
      <c r="P3711" s="1" t="s">
        <v>105</v>
      </c>
      <c r="Q3711" s="3">
        <v>0</v>
      </c>
      <c r="R3711" s="22" t="s">
        <v>3952</v>
      </c>
      <c r="S3711" s="22" t="s">
        <v>5097</v>
      </c>
      <c r="T3711" s="51">
        <v>26</v>
      </c>
      <c r="U3711" s="3" t="s">
        <v>6096</v>
      </c>
      <c r="V3711" s="41" t="str">
        <f>HYPERLINK("http://ictvonline.org/taxonomy/p/taxonomy-history?taxnode_id=20183903","ICTVonline=20183903")</f>
        <v>ICTVonline=20183903</v>
      </c>
    </row>
    <row r="3712" spans="1:22">
      <c r="A3712" s="3">
        <v>3711</v>
      </c>
      <c r="L3712" s="1" t="s">
        <v>2044</v>
      </c>
      <c r="N3712" s="1" t="s">
        <v>2047</v>
      </c>
      <c r="P3712" s="1" t="s">
        <v>4002</v>
      </c>
      <c r="Q3712" s="3">
        <v>0</v>
      </c>
      <c r="R3712" s="22" t="s">
        <v>3952</v>
      </c>
      <c r="S3712" s="22" t="s">
        <v>5097</v>
      </c>
      <c r="T3712" s="51">
        <v>30</v>
      </c>
      <c r="U3712" s="3" t="s">
        <v>6095</v>
      </c>
      <c r="V3712" s="41" t="str">
        <f>HYPERLINK("http://ictvonline.org/taxonomy/p/taxonomy-history?taxnode_id=20183904","ICTVonline=20183904")</f>
        <v>ICTVonline=20183904</v>
      </c>
    </row>
    <row r="3713" spans="1:22">
      <c r="A3713" s="3">
        <v>3712</v>
      </c>
      <c r="L3713" s="1" t="s">
        <v>2044</v>
      </c>
      <c r="N3713" s="1" t="s">
        <v>2047</v>
      </c>
      <c r="P3713" s="1" t="s">
        <v>1092</v>
      </c>
      <c r="Q3713" s="3">
        <v>1</v>
      </c>
      <c r="R3713" s="22" t="s">
        <v>3952</v>
      </c>
      <c r="S3713" s="22" t="s">
        <v>5099</v>
      </c>
      <c r="T3713" s="51">
        <v>20</v>
      </c>
      <c r="U3713" s="3" t="s">
        <v>5490</v>
      </c>
      <c r="V3713" s="41" t="str">
        <f>HYPERLINK("http://ictvonline.org/taxonomy/p/taxonomy-history?taxnode_id=20183905","ICTVonline=20183905")</f>
        <v>ICTVonline=20183905</v>
      </c>
    </row>
    <row r="3714" spans="1:22">
      <c r="A3714" s="3">
        <v>3713</v>
      </c>
      <c r="L3714" s="1" t="s">
        <v>2044</v>
      </c>
      <c r="P3714" s="1" t="s">
        <v>1093</v>
      </c>
      <c r="Q3714" s="3">
        <v>0</v>
      </c>
      <c r="R3714" s="22" t="s">
        <v>3952</v>
      </c>
      <c r="S3714" s="22" t="s">
        <v>5097</v>
      </c>
      <c r="T3714" s="51">
        <v>23</v>
      </c>
      <c r="U3714" s="3" t="s">
        <v>5872</v>
      </c>
      <c r="V3714" s="41" t="str">
        <f>HYPERLINK("http://ictvonline.org/taxonomy/p/taxonomy-history?taxnode_id=20183907","ICTVonline=20183907")</f>
        <v>ICTVonline=20183907</v>
      </c>
    </row>
    <row r="3715" spans="1:22">
      <c r="A3715" s="3">
        <v>3714</v>
      </c>
      <c r="L3715" s="1" t="s">
        <v>1094</v>
      </c>
      <c r="N3715" s="1" t="s">
        <v>1095</v>
      </c>
      <c r="P3715" s="1" t="s">
        <v>1018</v>
      </c>
      <c r="Q3715" s="3">
        <v>1</v>
      </c>
      <c r="R3715" s="22" t="s">
        <v>2766</v>
      </c>
      <c r="S3715" s="22" t="s">
        <v>5100</v>
      </c>
      <c r="T3715" s="51">
        <v>21</v>
      </c>
      <c r="U3715" s="3" t="s">
        <v>6098</v>
      </c>
      <c r="V3715" s="41" t="str">
        <f>HYPERLINK("http://ictvonline.org/taxonomy/p/taxonomy-history?taxnode_id=20183911","ICTVonline=20183911")</f>
        <v>ICTVonline=20183911</v>
      </c>
    </row>
    <row r="3716" spans="1:22">
      <c r="A3716" s="3">
        <v>3715</v>
      </c>
      <c r="L3716" s="1" t="s">
        <v>1094</v>
      </c>
      <c r="N3716" s="1" t="s">
        <v>1095</v>
      </c>
      <c r="P3716" s="1" t="s">
        <v>1020</v>
      </c>
      <c r="Q3716" s="3">
        <v>0</v>
      </c>
      <c r="R3716" s="22" t="s">
        <v>2766</v>
      </c>
      <c r="S3716" s="22" t="s">
        <v>5097</v>
      </c>
      <c r="T3716" s="51">
        <v>21</v>
      </c>
      <c r="U3716" s="3" t="s">
        <v>6098</v>
      </c>
      <c r="V3716" s="41" t="str">
        <f>HYPERLINK("http://ictvonline.org/taxonomy/p/taxonomy-history?taxnode_id=20183912","ICTVonline=20183912")</f>
        <v>ICTVonline=20183912</v>
      </c>
    </row>
    <row r="3717" spans="1:22">
      <c r="A3717" s="3">
        <v>3716</v>
      </c>
      <c r="L3717" s="1" t="s">
        <v>1094</v>
      </c>
      <c r="N3717" s="1" t="s">
        <v>1095</v>
      </c>
      <c r="P3717" s="1" t="s">
        <v>1021</v>
      </c>
      <c r="Q3717" s="3">
        <v>0</v>
      </c>
      <c r="R3717" s="22" t="s">
        <v>2766</v>
      </c>
      <c r="S3717" s="22" t="s">
        <v>5097</v>
      </c>
      <c r="T3717" s="51">
        <v>21</v>
      </c>
      <c r="U3717" s="3" t="s">
        <v>6098</v>
      </c>
      <c r="V3717" s="41" t="str">
        <f>HYPERLINK("http://ictvonline.org/taxonomy/p/taxonomy-history?taxnode_id=20183913","ICTVonline=20183913")</f>
        <v>ICTVonline=20183913</v>
      </c>
    </row>
    <row r="3718" spans="1:22">
      <c r="A3718" s="3">
        <v>3717</v>
      </c>
      <c r="L3718" s="1" t="s">
        <v>1094</v>
      </c>
      <c r="N3718" s="1" t="s">
        <v>1095</v>
      </c>
      <c r="P3718" s="1" t="s">
        <v>1022</v>
      </c>
      <c r="Q3718" s="3">
        <v>0</v>
      </c>
      <c r="R3718" s="22" t="s">
        <v>2766</v>
      </c>
      <c r="S3718" s="22" t="s">
        <v>5097</v>
      </c>
      <c r="T3718" s="51">
        <v>21</v>
      </c>
      <c r="U3718" s="3" t="s">
        <v>6098</v>
      </c>
      <c r="V3718" s="41" t="str">
        <f>HYPERLINK("http://ictvonline.org/taxonomy/p/taxonomy-history?taxnode_id=20183914","ICTVonline=20183914")</f>
        <v>ICTVonline=20183914</v>
      </c>
    </row>
    <row r="3719" spans="1:22">
      <c r="A3719" s="3">
        <v>3718</v>
      </c>
      <c r="L3719" s="1" t="s">
        <v>1094</v>
      </c>
      <c r="N3719" s="1" t="s">
        <v>1095</v>
      </c>
      <c r="P3719" s="1" t="s">
        <v>1019</v>
      </c>
      <c r="Q3719" s="3">
        <v>0</v>
      </c>
      <c r="R3719" s="22" t="s">
        <v>2766</v>
      </c>
      <c r="S3719" s="22" t="s">
        <v>5097</v>
      </c>
      <c r="T3719" s="51">
        <v>21</v>
      </c>
      <c r="U3719" s="3" t="s">
        <v>6098</v>
      </c>
      <c r="V3719" s="41" t="str">
        <f>HYPERLINK("http://ictvonline.org/taxonomy/p/taxonomy-history?taxnode_id=20183915","ICTVonline=20183915")</f>
        <v>ICTVonline=20183915</v>
      </c>
    </row>
    <row r="3720" spans="1:22">
      <c r="A3720" s="3">
        <v>3719</v>
      </c>
      <c r="L3720" s="1" t="s">
        <v>1094</v>
      </c>
      <c r="N3720" s="1" t="s">
        <v>1023</v>
      </c>
      <c r="P3720" s="1" t="s">
        <v>1024</v>
      </c>
      <c r="Q3720" s="3">
        <v>1</v>
      </c>
      <c r="R3720" s="22" t="s">
        <v>2766</v>
      </c>
      <c r="S3720" s="22" t="s">
        <v>5100</v>
      </c>
      <c r="T3720" s="51">
        <v>21</v>
      </c>
      <c r="U3720" s="3" t="s">
        <v>6098</v>
      </c>
      <c r="V3720" s="41" t="str">
        <f>HYPERLINK("http://ictvonline.org/taxonomy/p/taxonomy-history?taxnode_id=20183917","ICTVonline=20183917")</f>
        <v>ICTVonline=20183917</v>
      </c>
    </row>
    <row r="3721" spans="1:22">
      <c r="A3721" s="3">
        <v>3720</v>
      </c>
      <c r="L3721" s="1" t="s">
        <v>1094</v>
      </c>
      <c r="N3721" s="1" t="s">
        <v>1023</v>
      </c>
      <c r="P3721" s="1" t="s">
        <v>1096</v>
      </c>
      <c r="Q3721" s="3">
        <v>0</v>
      </c>
      <c r="R3721" s="22" t="s">
        <v>2766</v>
      </c>
      <c r="S3721" s="22" t="s">
        <v>5100</v>
      </c>
      <c r="T3721" s="51">
        <v>21</v>
      </c>
      <c r="U3721" s="3" t="s">
        <v>6098</v>
      </c>
      <c r="V3721" s="41" t="str">
        <f>HYPERLINK("http://ictvonline.org/taxonomy/p/taxonomy-history?taxnode_id=20183918","ICTVonline=20183918")</f>
        <v>ICTVonline=20183918</v>
      </c>
    </row>
    <row r="3722" spans="1:22">
      <c r="A3722" s="3">
        <v>3721</v>
      </c>
      <c r="L3722" s="1" t="s">
        <v>1097</v>
      </c>
      <c r="N3722" s="1" t="s">
        <v>1098</v>
      </c>
      <c r="P3722" s="1" t="s">
        <v>1099</v>
      </c>
      <c r="Q3722" s="3">
        <v>1</v>
      </c>
      <c r="R3722" s="22" t="s">
        <v>2764</v>
      </c>
      <c r="S3722" s="22" t="s">
        <v>5100</v>
      </c>
      <c r="T3722" s="51">
        <v>24</v>
      </c>
      <c r="U3722" s="3" t="s">
        <v>6099</v>
      </c>
      <c r="V3722" s="41" t="str">
        <f>HYPERLINK("http://ictvonline.org/taxonomy/p/taxonomy-history?taxnode_id=20183922","ICTVonline=20183922")</f>
        <v>ICTVonline=20183922</v>
      </c>
    </row>
    <row r="3723" spans="1:22">
      <c r="A3723" s="3">
        <v>3722</v>
      </c>
      <c r="L3723" s="1" t="s">
        <v>1100</v>
      </c>
      <c r="N3723" s="1" t="s">
        <v>1101</v>
      </c>
      <c r="P3723" s="1" t="s">
        <v>1102</v>
      </c>
      <c r="Q3723" s="3">
        <v>0</v>
      </c>
      <c r="R3723" s="22" t="s">
        <v>2766</v>
      </c>
      <c r="S3723" s="22" t="s">
        <v>5099</v>
      </c>
      <c r="T3723" s="51">
        <v>16</v>
      </c>
      <c r="U3723" s="3" t="s">
        <v>5884</v>
      </c>
      <c r="V3723" s="41" t="str">
        <f>HYPERLINK("http://ictvonline.org/taxonomy/p/taxonomy-history?taxnode_id=20183926","ICTVonline=20183926")</f>
        <v>ICTVonline=20183926</v>
      </c>
    </row>
    <row r="3724" spans="1:22">
      <c r="A3724" s="3">
        <v>3723</v>
      </c>
      <c r="L3724" s="1" t="s">
        <v>1100</v>
      </c>
      <c r="N3724" s="1" t="s">
        <v>1101</v>
      </c>
      <c r="P3724" s="1" t="s">
        <v>1103</v>
      </c>
      <c r="Q3724" s="3">
        <v>0</v>
      </c>
      <c r="R3724" s="22" t="s">
        <v>2766</v>
      </c>
      <c r="S3724" s="22" t="s">
        <v>5099</v>
      </c>
      <c r="T3724" s="51">
        <v>16</v>
      </c>
      <c r="U3724" s="3" t="s">
        <v>5884</v>
      </c>
      <c r="V3724" s="41" t="str">
        <f>HYPERLINK("http://ictvonline.org/taxonomy/p/taxonomy-history?taxnode_id=20183927","ICTVonline=20183927")</f>
        <v>ICTVonline=20183927</v>
      </c>
    </row>
    <row r="3725" spans="1:22">
      <c r="A3725" s="3">
        <v>3724</v>
      </c>
      <c r="L3725" s="1" t="s">
        <v>1100</v>
      </c>
      <c r="N3725" s="1" t="s">
        <v>1101</v>
      </c>
      <c r="P3725" s="1" t="s">
        <v>1104</v>
      </c>
      <c r="Q3725" s="3">
        <v>0</v>
      </c>
      <c r="R3725" s="22" t="s">
        <v>2766</v>
      </c>
      <c r="S3725" s="22" t="s">
        <v>5099</v>
      </c>
      <c r="T3725" s="51">
        <v>16</v>
      </c>
      <c r="U3725" s="3" t="s">
        <v>5884</v>
      </c>
      <c r="V3725" s="41" t="str">
        <f>HYPERLINK("http://ictvonline.org/taxonomy/p/taxonomy-history?taxnode_id=20183928","ICTVonline=20183928")</f>
        <v>ICTVonline=20183928</v>
      </c>
    </row>
    <row r="3726" spans="1:22">
      <c r="A3726" s="3">
        <v>3725</v>
      </c>
      <c r="L3726" s="1" t="s">
        <v>1100</v>
      </c>
      <c r="N3726" s="1" t="s">
        <v>1101</v>
      </c>
      <c r="P3726" s="1" t="s">
        <v>1105</v>
      </c>
      <c r="Q3726" s="3">
        <v>1</v>
      </c>
      <c r="R3726" s="22" t="s">
        <v>2766</v>
      </c>
      <c r="S3726" s="22" t="s">
        <v>5099</v>
      </c>
      <c r="T3726" s="51">
        <v>16</v>
      </c>
      <c r="U3726" s="3" t="s">
        <v>5884</v>
      </c>
      <c r="V3726" s="41" t="str">
        <f>HYPERLINK("http://ictvonline.org/taxonomy/p/taxonomy-history?taxnode_id=20183929","ICTVonline=20183929")</f>
        <v>ICTVonline=20183929</v>
      </c>
    </row>
    <row r="3727" spans="1:22">
      <c r="A3727" s="3">
        <v>3726</v>
      </c>
      <c r="L3727" s="1" t="s">
        <v>1100</v>
      </c>
      <c r="N3727" s="1" t="s">
        <v>1101</v>
      </c>
      <c r="P3727" s="1" t="s">
        <v>1106</v>
      </c>
      <c r="Q3727" s="3">
        <v>0</v>
      </c>
      <c r="R3727" s="22" t="s">
        <v>2766</v>
      </c>
      <c r="S3727" s="22" t="s">
        <v>5097</v>
      </c>
      <c r="T3727" s="51">
        <v>20</v>
      </c>
      <c r="U3727" s="3" t="s">
        <v>5490</v>
      </c>
      <c r="V3727" s="41" t="str">
        <f>HYPERLINK("http://ictvonline.org/taxonomy/p/taxonomy-history?taxnode_id=20183930","ICTVonline=20183930")</f>
        <v>ICTVonline=20183930</v>
      </c>
    </row>
    <row r="3728" spans="1:22">
      <c r="A3728" s="3">
        <v>3727</v>
      </c>
      <c r="L3728" s="1" t="s">
        <v>1100</v>
      </c>
      <c r="N3728" s="1" t="s">
        <v>1107</v>
      </c>
      <c r="P3728" s="1" t="s">
        <v>1108</v>
      </c>
      <c r="Q3728" s="3">
        <v>0</v>
      </c>
      <c r="R3728" s="22" t="s">
        <v>2766</v>
      </c>
      <c r="S3728" s="22" t="s">
        <v>5099</v>
      </c>
      <c r="T3728" s="51">
        <v>16</v>
      </c>
      <c r="U3728" s="3" t="s">
        <v>5884</v>
      </c>
      <c r="V3728" s="41" t="str">
        <f>HYPERLINK("http://ictvonline.org/taxonomy/p/taxonomy-history?taxnode_id=20183932","ICTVonline=20183932")</f>
        <v>ICTVonline=20183932</v>
      </c>
    </row>
    <row r="3729" spans="1:22">
      <c r="A3729" s="3">
        <v>3728</v>
      </c>
      <c r="L3729" s="1" t="s">
        <v>1100</v>
      </c>
      <c r="N3729" s="1" t="s">
        <v>1107</v>
      </c>
      <c r="P3729" s="1" t="s">
        <v>1629</v>
      </c>
      <c r="Q3729" s="3">
        <v>0</v>
      </c>
      <c r="R3729" s="22" t="s">
        <v>2766</v>
      </c>
      <c r="S3729" s="22" t="s">
        <v>5099</v>
      </c>
      <c r="T3729" s="51">
        <v>16</v>
      </c>
      <c r="U3729" s="3" t="s">
        <v>5884</v>
      </c>
      <c r="V3729" s="41" t="str">
        <f>HYPERLINK("http://ictvonline.org/taxonomy/p/taxonomy-history?taxnode_id=20183933","ICTVonline=20183933")</f>
        <v>ICTVonline=20183933</v>
      </c>
    </row>
    <row r="3730" spans="1:22">
      <c r="A3730" s="3">
        <v>3729</v>
      </c>
      <c r="L3730" s="1" t="s">
        <v>1100</v>
      </c>
      <c r="N3730" s="1" t="s">
        <v>1107</v>
      </c>
      <c r="P3730" s="1" t="s">
        <v>1630</v>
      </c>
      <c r="Q3730" s="3">
        <v>1</v>
      </c>
      <c r="R3730" s="22" t="s">
        <v>2766</v>
      </c>
      <c r="S3730" s="22" t="s">
        <v>5100</v>
      </c>
      <c r="T3730" s="51">
        <v>18</v>
      </c>
      <c r="U3730" s="3" t="s">
        <v>5486</v>
      </c>
      <c r="V3730" s="41" t="str">
        <f>HYPERLINK("http://ictvonline.org/taxonomy/p/taxonomy-history?taxnode_id=20183934","ICTVonline=20183934")</f>
        <v>ICTVonline=20183934</v>
      </c>
    </row>
    <row r="3731" spans="1:22">
      <c r="A3731" s="3">
        <v>3730</v>
      </c>
      <c r="L3731" s="1" t="s">
        <v>1100</v>
      </c>
      <c r="N3731" s="1" t="s">
        <v>1107</v>
      </c>
      <c r="P3731" s="1" t="s">
        <v>1631</v>
      </c>
      <c r="Q3731" s="3">
        <v>0</v>
      </c>
      <c r="R3731" s="22" t="s">
        <v>2766</v>
      </c>
      <c r="S3731" s="22" t="s">
        <v>5099</v>
      </c>
      <c r="T3731" s="51">
        <v>16</v>
      </c>
      <c r="U3731" s="3" t="s">
        <v>5884</v>
      </c>
      <c r="V3731" s="41" t="str">
        <f>HYPERLINK("http://ictvonline.org/taxonomy/p/taxonomy-history?taxnode_id=20183935","ICTVonline=20183935")</f>
        <v>ICTVonline=20183935</v>
      </c>
    </row>
    <row r="3732" spans="1:22">
      <c r="A3732" s="3">
        <v>3731</v>
      </c>
      <c r="L3732" s="1" t="s">
        <v>2494</v>
      </c>
      <c r="N3732" s="1" t="s">
        <v>2495</v>
      </c>
      <c r="P3732" s="1" t="s">
        <v>2496</v>
      </c>
      <c r="Q3732" s="3">
        <v>0</v>
      </c>
      <c r="R3732" s="22" t="s">
        <v>2764</v>
      </c>
      <c r="S3732" s="22" t="s">
        <v>5097</v>
      </c>
      <c r="T3732" s="51">
        <v>28</v>
      </c>
      <c r="U3732" s="3" t="s">
        <v>6100</v>
      </c>
      <c r="V3732" s="41" t="str">
        <f>HYPERLINK("http://ictvonline.org/taxonomy/p/taxonomy-history?taxnode_id=20183939","ICTVonline=20183939")</f>
        <v>ICTVonline=20183939</v>
      </c>
    </row>
    <row r="3733" spans="1:22">
      <c r="A3733" s="3">
        <v>3732</v>
      </c>
      <c r="L3733" s="1" t="s">
        <v>2494</v>
      </c>
      <c r="N3733" s="1" t="s">
        <v>2495</v>
      </c>
      <c r="P3733" s="1" t="s">
        <v>2497</v>
      </c>
      <c r="Q3733" s="3">
        <v>1</v>
      </c>
      <c r="R3733" s="22" t="s">
        <v>2764</v>
      </c>
      <c r="S3733" s="22" t="s">
        <v>5097</v>
      </c>
      <c r="T3733" s="51">
        <v>28</v>
      </c>
      <c r="U3733" s="3" t="s">
        <v>6100</v>
      </c>
      <c r="V3733" s="41" t="str">
        <f>HYPERLINK("http://ictvonline.org/taxonomy/p/taxonomy-history?taxnode_id=20183940","ICTVonline=20183940")</f>
        <v>ICTVonline=20183940</v>
      </c>
    </row>
    <row r="3734" spans="1:22">
      <c r="A3734" s="3">
        <v>3733</v>
      </c>
      <c r="L3734" s="1" t="s">
        <v>2494</v>
      </c>
      <c r="N3734" s="1" t="s">
        <v>2498</v>
      </c>
      <c r="P3734" s="1" t="s">
        <v>2499</v>
      </c>
      <c r="Q3734" s="3">
        <v>1</v>
      </c>
      <c r="R3734" s="22" t="s">
        <v>2764</v>
      </c>
      <c r="S3734" s="22" t="s">
        <v>5097</v>
      </c>
      <c r="T3734" s="51">
        <v>28</v>
      </c>
      <c r="U3734" s="3" t="s">
        <v>6100</v>
      </c>
      <c r="V3734" s="41" t="str">
        <f>HYPERLINK("http://ictvonline.org/taxonomy/p/taxonomy-history?taxnode_id=20183942","ICTVonline=20183942")</f>
        <v>ICTVonline=20183942</v>
      </c>
    </row>
    <row r="3735" spans="1:22">
      <c r="A3735" s="3">
        <v>3734</v>
      </c>
      <c r="L3735" s="1" t="s">
        <v>832</v>
      </c>
      <c r="M3735" s="1" t="s">
        <v>6110</v>
      </c>
      <c r="N3735" s="1" t="s">
        <v>833</v>
      </c>
      <c r="P3735" s="1" t="s">
        <v>106</v>
      </c>
      <c r="Q3735" s="3">
        <v>1</v>
      </c>
      <c r="R3735" s="22" t="s">
        <v>2764</v>
      </c>
      <c r="S3735" s="22" t="s">
        <v>5097</v>
      </c>
      <c r="T3735" s="51">
        <v>32</v>
      </c>
      <c r="U3735" s="3" t="s">
        <v>6111</v>
      </c>
      <c r="V3735" s="41" t="str">
        <f>HYPERLINK("http://ictvonline.org/taxonomy/p/taxonomy-history?taxnode_id=20183974","ICTVonline=20183974")</f>
        <v>ICTVonline=20183974</v>
      </c>
    </row>
    <row r="3736" spans="1:22">
      <c r="A3736" s="3">
        <v>3735</v>
      </c>
      <c r="L3736" s="1" t="s">
        <v>832</v>
      </c>
      <c r="M3736" s="1" t="s">
        <v>6110</v>
      </c>
      <c r="N3736" s="1" t="s">
        <v>833</v>
      </c>
      <c r="P3736" s="1" t="s">
        <v>112</v>
      </c>
      <c r="Q3736" s="3">
        <v>0</v>
      </c>
      <c r="R3736" s="22" t="s">
        <v>2764</v>
      </c>
      <c r="S3736" s="22" t="s">
        <v>5097</v>
      </c>
      <c r="T3736" s="51">
        <v>32</v>
      </c>
      <c r="U3736" s="3" t="s">
        <v>6111</v>
      </c>
      <c r="V3736" s="41" t="str">
        <f>HYPERLINK("http://ictvonline.org/taxonomy/p/taxonomy-history?taxnode_id=20183975","ICTVonline=20183975")</f>
        <v>ICTVonline=20183975</v>
      </c>
    </row>
    <row r="3737" spans="1:22">
      <c r="A3737" s="3">
        <v>3736</v>
      </c>
      <c r="L3737" s="1" t="s">
        <v>832</v>
      </c>
      <c r="M3737" s="1" t="s">
        <v>6110</v>
      </c>
      <c r="N3737" s="1" t="s">
        <v>833</v>
      </c>
      <c r="P3737" s="1" t="s">
        <v>113</v>
      </c>
      <c r="Q3737" s="3">
        <v>0</v>
      </c>
      <c r="R3737" s="22" t="s">
        <v>2764</v>
      </c>
      <c r="S3737" s="22" t="s">
        <v>5097</v>
      </c>
      <c r="T3737" s="51">
        <v>32</v>
      </c>
      <c r="U3737" s="3" t="s">
        <v>6111</v>
      </c>
      <c r="V3737" s="41" t="str">
        <f>HYPERLINK("http://ictvonline.org/taxonomy/p/taxonomy-history?taxnode_id=20183976","ICTVonline=20183976")</f>
        <v>ICTVonline=20183976</v>
      </c>
    </row>
    <row r="3738" spans="1:22">
      <c r="A3738" s="3">
        <v>3737</v>
      </c>
      <c r="L3738" s="1" t="s">
        <v>832</v>
      </c>
      <c r="M3738" s="1" t="s">
        <v>6110</v>
      </c>
      <c r="N3738" s="1" t="s">
        <v>833</v>
      </c>
      <c r="P3738" s="1" t="s">
        <v>114</v>
      </c>
      <c r="Q3738" s="3">
        <v>0</v>
      </c>
      <c r="R3738" s="22" t="s">
        <v>2764</v>
      </c>
      <c r="S3738" s="22" t="s">
        <v>5097</v>
      </c>
      <c r="T3738" s="51">
        <v>32</v>
      </c>
      <c r="U3738" s="3" t="s">
        <v>6111</v>
      </c>
      <c r="V3738" s="41" t="str">
        <f>HYPERLINK("http://ictvonline.org/taxonomy/p/taxonomy-history?taxnode_id=20183977","ICTVonline=20183977")</f>
        <v>ICTVonline=20183977</v>
      </c>
    </row>
    <row r="3739" spans="1:22">
      <c r="A3739" s="3">
        <v>3738</v>
      </c>
      <c r="L3739" s="1" t="s">
        <v>832</v>
      </c>
      <c r="M3739" s="1" t="s">
        <v>6110</v>
      </c>
      <c r="N3739" s="1" t="s">
        <v>833</v>
      </c>
      <c r="P3739" s="1" t="s">
        <v>115</v>
      </c>
      <c r="Q3739" s="3">
        <v>0</v>
      </c>
      <c r="R3739" s="22" t="s">
        <v>2764</v>
      </c>
      <c r="S3739" s="22" t="s">
        <v>5097</v>
      </c>
      <c r="T3739" s="51">
        <v>32</v>
      </c>
      <c r="U3739" s="3" t="s">
        <v>6111</v>
      </c>
      <c r="V3739" s="41" t="str">
        <f>HYPERLINK("http://ictvonline.org/taxonomy/p/taxonomy-history?taxnode_id=20183978","ICTVonline=20183978")</f>
        <v>ICTVonline=20183978</v>
      </c>
    </row>
    <row r="3740" spans="1:22">
      <c r="A3740" s="3">
        <v>3739</v>
      </c>
      <c r="L3740" s="1" t="s">
        <v>832</v>
      </c>
      <c r="M3740" s="1" t="s">
        <v>6110</v>
      </c>
      <c r="N3740" s="1" t="s">
        <v>833</v>
      </c>
      <c r="P3740" s="1" t="s">
        <v>116</v>
      </c>
      <c r="Q3740" s="3">
        <v>0</v>
      </c>
      <c r="R3740" s="22" t="s">
        <v>2764</v>
      </c>
      <c r="S3740" s="22" t="s">
        <v>5097</v>
      </c>
      <c r="T3740" s="51">
        <v>32</v>
      </c>
      <c r="U3740" s="3" t="s">
        <v>6111</v>
      </c>
      <c r="V3740" s="41" t="str">
        <f>HYPERLINK("http://ictvonline.org/taxonomy/p/taxonomy-history?taxnode_id=20183979","ICTVonline=20183979")</f>
        <v>ICTVonline=20183979</v>
      </c>
    </row>
    <row r="3741" spans="1:22">
      <c r="A3741" s="3">
        <v>3740</v>
      </c>
      <c r="L3741" s="1" t="s">
        <v>832</v>
      </c>
      <c r="M3741" s="1" t="s">
        <v>6110</v>
      </c>
      <c r="N3741" s="1" t="s">
        <v>833</v>
      </c>
      <c r="P3741" s="1" t="s">
        <v>117</v>
      </c>
      <c r="Q3741" s="3">
        <v>0</v>
      </c>
      <c r="R3741" s="22" t="s">
        <v>2764</v>
      </c>
      <c r="S3741" s="22" t="s">
        <v>5097</v>
      </c>
      <c r="T3741" s="51">
        <v>32</v>
      </c>
      <c r="U3741" s="3" t="s">
        <v>6111</v>
      </c>
      <c r="V3741" s="41" t="str">
        <f>HYPERLINK("http://ictvonline.org/taxonomy/p/taxonomy-history?taxnode_id=20183980","ICTVonline=20183980")</f>
        <v>ICTVonline=20183980</v>
      </c>
    </row>
    <row r="3742" spans="1:22">
      <c r="A3742" s="3">
        <v>3741</v>
      </c>
      <c r="L3742" s="1" t="s">
        <v>832</v>
      </c>
      <c r="M3742" s="1" t="s">
        <v>6110</v>
      </c>
      <c r="N3742" s="1" t="s">
        <v>833</v>
      </c>
      <c r="P3742" s="1" t="s">
        <v>118</v>
      </c>
      <c r="Q3742" s="3">
        <v>0</v>
      </c>
      <c r="R3742" s="22" t="s">
        <v>2764</v>
      </c>
      <c r="S3742" s="22" t="s">
        <v>5097</v>
      </c>
      <c r="T3742" s="51">
        <v>32</v>
      </c>
      <c r="U3742" s="3" t="s">
        <v>6111</v>
      </c>
      <c r="V3742" s="41" t="str">
        <f>HYPERLINK("http://ictvonline.org/taxonomy/p/taxonomy-history?taxnode_id=20183981","ICTVonline=20183981")</f>
        <v>ICTVonline=20183981</v>
      </c>
    </row>
    <row r="3743" spans="1:22">
      <c r="A3743" s="3">
        <v>3742</v>
      </c>
      <c r="L3743" s="1" t="s">
        <v>832</v>
      </c>
      <c r="M3743" s="1" t="s">
        <v>6110</v>
      </c>
      <c r="N3743" s="1" t="s">
        <v>833</v>
      </c>
      <c r="P3743" s="1" t="s">
        <v>119</v>
      </c>
      <c r="Q3743" s="3">
        <v>0</v>
      </c>
      <c r="R3743" s="22" t="s">
        <v>2764</v>
      </c>
      <c r="S3743" s="22" t="s">
        <v>5097</v>
      </c>
      <c r="T3743" s="51">
        <v>32</v>
      </c>
      <c r="U3743" s="3" t="s">
        <v>6111</v>
      </c>
      <c r="V3743" s="41" t="str">
        <f>HYPERLINK("http://ictvonline.org/taxonomy/p/taxonomy-history?taxnode_id=20183982","ICTVonline=20183982")</f>
        <v>ICTVonline=20183982</v>
      </c>
    </row>
    <row r="3744" spans="1:22">
      <c r="A3744" s="3">
        <v>3743</v>
      </c>
      <c r="L3744" s="1" t="s">
        <v>832</v>
      </c>
      <c r="M3744" s="1" t="s">
        <v>6110</v>
      </c>
      <c r="N3744" s="1" t="s">
        <v>833</v>
      </c>
      <c r="P3744" s="1" t="s">
        <v>107</v>
      </c>
      <c r="Q3744" s="3">
        <v>0</v>
      </c>
      <c r="R3744" s="22" t="s">
        <v>2764</v>
      </c>
      <c r="S3744" s="22" t="s">
        <v>5097</v>
      </c>
      <c r="T3744" s="51">
        <v>32</v>
      </c>
      <c r="U3744" s="3" t="s">
        <v>6111</v>
      </c>
      <c r="V3744" s="41" t="str">
        <f>HYPERLINK("http://ictvonline.org/taxonomy/p/taxonomy-history?taxnode_id=20183983","ICTVonline=20183983")</f>
        <v>ICTVonline=20183983</v>
      </c>
    </row>
    <row r="3745" spans="1:22">
      <c r="A3745" s="3">
        <v>3744</v>
      </c>
      <c r="L3745" s="1" t="s">
        <v>832</v>
      </c>
      <c r="M3745" s="1" t="s">
        <v>6110</v>
      </c>
      <c r="N3745" s="1" t="s">
        <v>833</v>
      </c>
      <c r="P3745" s="1" t="s">
        <v>108</v>
      </c>
      <c r="Q3745" s="3">
        <v>0</v>
      </c>
      <c r="R3745" s="22" t="s">
        <v>2764</v>
      </c>
      <c r="S3745" s="22" t="s">
        <v>5097</v>
      </c>
      <c r="T3745" s="51">
        <v>32</v>
      </c>
      <c r="U3745" s="3" t="s">
        <v>6111</v>
      </c>
      <c r="V3745" s="41" t="str">
        <f>HYPERLINK("http://ictvonline.org/taxonomy/p/taxonomy-history?taxnode_id=20183984","ICTVonline=20183984")</f>
        <v>ICTVonline=20183984</v>
      </c>
    </row>
    <row r="3746" spans="1:22">
      <c r="A3746" s="3">
        <v>3745</v>
      </c>
      <c r="L3746" s="1" t="s">
        <v>832</v>
      </c>
      <c r="M3746" s="1" t="s">
        <v>6110</v>
      </c>
      <c r="N3746" s="1" t="s">
        <v>833</v>
      </c>
      <c r="P3746" s="1" t="s">
        <v>109</v>
      </c>
      <c r="Q3746" s="3">
        <v>0</v>
      </c>
      <c r="R3746" s="22" t="s">
        <v>2764</v>
      </c>
      <c r="S3746" s="22" t="s">
        <v>5097</v>
      </c>
      <c r="T3746" s="51">
        <v>32</v>
      </c>
      <c r="U3746" s="3" t="s">
        <v>6111</v>
      </c>
      <c r="V3746" s="41" t="str">
        <f>HYPERLINK("http://ictvonline.org/taxonomy/p/taxonomy-history?taxnode_id=20183985","ICTVonline=20183985")</f>
        <v>ICTVonline=20183985</v>
      </c>
    </row>
    <row r="3747" spans="1:22">
      <c r="A3747" s="3">
        <v>3746</v>
      </c>
      <c r="L3747" s="1" t="s">
        <v>832</v>
      </c>
      <c r="M3747" s="1" t="s">
        <v>6110</v>
      </c>
      <c r="N3747" s="1" t="s">
        <v>833</v>
      </c>
      <c r="P3747" s="1" t="s">
        <v>110</v>
      </c>
      <c r="Q3747" s="3">
        <v>0</v>
      </c>
      <c r="R3747" s="22" t="s">
        <v>2764</v>
      </c>
      <c r="S3747" s="22" t="s">
        <v>5097</v>
      </c>
      <c r="T3747" s="51">
        <v>32</v>
      </c>
      <c r="U3747" s="3" t="s">
        <v>6111</v>
      </c>
      <c r="V3747" s="41" t="str">
        <f>HYPERLINK("http://ictvonline.org/taxonomy/p/taxonomy-history?taxnode_id=20183986","ICTVonline=20183986")</f>
        <v>ICTVonline=20183986</v>
      </c>
    </row>
    <row r="3748" spans="1:22">
      <c r="A3748" s="3">
        <v>3747</v>
      </c>
      <c r="L3748" s="1" t="s">
        <v>832</v>
      </c>
      <c r="M3748" s="1" t="s">
        <v>6110</v>
      </c>
      <c r="N3748" s="1" t="s">
        <v>833</v>
      </c>
      <c r="P3748" s="1" t="s">
        <v>111</v>
      </c>
      <c r="Q3748" s="3">
        <v>0</v>
      </c>
      <c r="R3748" s="22" t="s">
        <v>2764</v>
      </c>
      <c r="S3748" s="22" t="s">
        <v>5097</v>
      </c>
      <c r="T3748" s="51">
        <v>32</v>
      </c>
      <c r="U3748" s="3" t="s">
        <v>6111</v>
      </c>
      <c r="V3748" s="41" t="str">
        <f>HYPERLINK("http://ictvonline.org/taxonomy/p/taxonomy-history?taxnode_id=20183987","ICTVonline=20183987")</f>
        <v>ICTVonline=20183987</v>
      </c>
    </row>
    <row r="3749" spans="1:22">
      <c r="A3749" s="3">
        <v>3748</v>
      </c>
      <c r="L3749" s="1" t="s">
        <v>832</v>
      </c>
      <c r="M3749" s="1" t="s">
        <v>6110</v>
      </c>
      <c r="N3749" s="1" t="s">
        <v>866</v>
      </c>
      <c r="P3749" s="1" t="s">
        <v>120</v>
      </c>
      <c r="Q3749" s="3">
        <v>1</v>
      </c>
      <c r="R3749" s="22" t="s">
        <v>2764</v>
      </c>
      <c r="S3749" s="22" t="s">
        <v>5097</v>
      </c>
      <c r="T3749" s="51">
        <v>32</v>
      </c>
      <c r="U3749" s="3" t="s">
        <v>6111</v>
      </c>
      <c r="V3749" s="41" t="str">
        <f>HYPERLINK("http://ictvonline.org/taxonomy/p/taxonomy-history?taxnode_id=20183989","ICTVonline=20183989")</f>
        <v>ICTVonline=20183989</v>
      </c>
    </row>
    <row r="3750" spans="1:22">
      <c r="A3750" s="3">
        <v>3749</v>
      </c>
      <c r="L3750" s="1" t="s">
        <v>832</v>
      </c>
      <c r="M3750" s="1" t="s">
        <v>6110</v>
      </c>
      <c r="N3750" s="1" t="s">
        <v>866</v>
      </c>
      <c r="P3750" s="1" t="s">
        <v>121</v>
      </c>
      <c r="Q3750" s="3">
        <v>0</v>
      </c>
      <c r="R3750" s="22" t="s">
        <v>2764</v>
      </c>
      <c r="S3750" s="22" t="s">
        <v>5097</v>
      </c>
      <c r="T3750" s="51">
        <v>32</v>
      </c>
      <c r="U3750" s="3" t="s">
        <v>6111</v>
      </c>
      <c r="V3750" s="41" t="str">
        <f>HYPERLINK("http://ictvonline.org/taxonomy/p/taxonomy-history?taxnode_id=20183990","ICTVonline=20183990")</f>
        <v>ICTVonline=20183990</v>
      </c>
    </row>
    <row r="3751" spans="1:22">
      <c r="A3751" s="3">
        <v>3750</v>
      </c>
      <c r="L3751" s="1" t="s">
        <v>832</v>
      </c>
      <c r="M3751" s="1" t="s">
        <v>6110</v>
      </c>
      <c r="N3751" s="1" t="s">
        <v>866</v>
      </c>
      <c r="P3751" s="1" t="s">
        <v>122</v>
      </c>
      <c r="Q3751" s="3">
        <v>0</v>
      </c>
      <c r="R3751" s="22" t="s">
        <v>2764</v>
      </c>
      <c r="S3751" s="22" t="s">
        <v>5097</v>
      </c>
      <c r="T3751" s="51">
        <v>32</v>
      </c>
      <c r="U3751" s="3" t="s">
        <v>6111</v>
      </c>
      <c r="V3751" s="41" t="str">
        <f>HYPERLINK("http://ictvonline.org/taxonomy/p/taxonomy-history?taxnode_id=20183991","ICTVonline=20183991")</f>
        <v>ICTVonline=20183991</v>
      </c>
    </row>
    <row r="3752" spans="1:22">
      <c r="A3752" s="3">
        <v>3751</v>
      </c>
      <c r="L3752" s="1" t="s">
        <v>832</v>
      </c>
      <c r="M3752" s="1" t="s">
        <v>6110</v>
      </c>
      <c r="N3752" s="1" t="s">
        <v>866</v>
      </c>
      <c r="P3752" s="1" t="s">
        <v>123</v>
      </c>
      <c r="Q3752" s="3">
        <v>0</v>
      </c>
      <c r="R3752" s="22" t="s">
        <v>2764</v>
      </c>
      <c r="S3752" s="22" t="s">
        <v>5097</v>
      </c>
      <c r="T3752" s="51">
        <v>32</v>
      </c>
      <c r="U3752" s="3" t="s">
        <v>6111</v>
      </c>
      <c r="V3752" s="41" t="str">
        <f>HYPERLINK("http://ictvonline.org/taxonomy/p/taxonomy-history?taxnode_id=20183992","ICTVonline=20183992")</f>
        <v>ICTVonline=20183992</v>
      </c>
    </row>
    <row r="3753" spans="1:22">
      <c r="A3753" s="3">
        <v>3752</v>
      </c>
      <c r="L3753" s="1" t="s">
        <v>832</v>
      </c>
      <c r="M3753" s="1" t="s">
        <v>6110</v>
      </c>
      <c r="N3753" s="1" t="s">
        <v>866</v>
      </c>
      <c r="P3753" s="1" t="s">
        <v>124</v>
      </c>
      <c r="Q3753" s="3">
        <v>0</v>
      </c>
      <c r="R3753" s="22" t="s">
        <v>2764</v>
      </c>
      <c r="S3753" s="22" t="s">
        <v>5097</v>
      </c>
      <c r="T3753" s="51">
        <v>32</v>
      </c>
      <c r="U3753" s="3" t="s">
        <v>6111</v>
      </c>
      <c r="V3753" s="41" t="str">
        <f>HYPERLINK("http://ictvonline.org/taxonomy/p/taxonomy-history?taxnode_id=20183993","ICTVonline=20183993")</f>
        <v>ICTVonline=20183993</v>
      </c>
    </row>
    <row r="3754" spans="1:22">
      <c r="A3754" s="3">
        <v>3753</v>
      </c>
      <c r="L3754" s="1" t="s">
        <v>832</v>
      </c>
      <c r="M3754" s="1" t="s">
        <v>6110</v>
      </c>
      <c r="N3754" s="1" t="s">
        <v>866</v>
      </c>
      <c r="P3754" s="1" t="s">
        <v>125</v>
      </c>
      <c r="Q3754" s="3">
        <v>0</v>
      </c>
      <c r="R3754" s="22" t="s">
        <v>2764</v>
      </c>
      <c r="S3754" s="22" t="s">
        <v>5097</v>
      </c>
      <c r="T3754" s="51">
        <v>32</v>
      </c>
      <c r="U3754" s="3" t="s">
        <v>6111</v>
      </c>
      <c r="V3754" s="41" t="str">
        <f>HYPERLINK("http://ictvonline.org/taxonomy/p/taxonomy-history?taxnode_id=20183994","ICTVonline=20183994")</f>
        <v>ICTVonline=20183994</v>
      </c>
    </row>
    <row r="3755" spans="1:22">
      <c r="A3755" s="3">
        <v>3754</v>
      </c>
      <c r="L3755" s="1" t="s">
        <v>832</v>
      </c>
      <c r="M3755" s="1" t="s">
        <v>6110</v>
      </c>
      <c r="N3755" s="1" t="s">
        <v>126</v>
      </c>
      <c r="P3755" s="1" t="s">
        <v>127</v>
      </c>
      <c r="Q3755" s="3">
        <v>1</v>
      </c>
      <c r="R3755" s="22" t="s">
        <v>2764</v>
      </c>
      <c r="S3755" s="22" t="s">
        <v>5097</v>
      </c>
      <c r="T3755" s="51">
        <v>32</v>
      </c>
      <c r="U3755" s="3" t="s">
        <v>6111</v>
      </c>
      <c r="V3755" s="41" t="str">
        <f>HYPERLINK("http://ictvonline.org/taxonomy/p/taxonomy-history?taxnode_id=20183996","ICTVonline=20183996")</f>
        <v>ICTVonline=20183996</v>
      </c>
    </row>
    <row r="3756" spans="1:22">
      <c r="A3756" s="3">
        <v>3755</v>
      </c>
      <c r="L3756" s="1" t="s">
        <v>832</v>
      </c>
      <c r="M3756" s="1" t="s">
        <v>6110</v>
      </c>
      <c r="N3756" s="1" t="s">
        <v>126</v>
      </c>
      <c r="P3756" s="1" t="s">
        <v>128</v>
      </c>
      <c r="Q3756" s="3">
        <v>0</v>
      </c>
      <c r="R3756" s="22" t="s">
        <v>2764</v>
      </c>
      <c r="S3756" s="22" t="s">
        <v>5097</v>
      </c>
      <c r="T3756" s="51">
        <v>32</v>
      </c>
      <c r="U3756" s="3" t="s">
        <v>6111</v>
      </c>
      <c r="V3756" s="41" t="str">
        <f>HYPERLINK("http://ictvonline.org/taxonomy/p/taxonomy-history?taxnode_id=20183997","ICTVonline=20183997")</f>
        <v>ICTVonline=20183997</v>
      </c>
    </row>
    <row r="3757" spans="1:22">
      <c r="A3757" s="3">
        <v>3756</v>
      </c>
      <c r="L3757" s="1" t="s">
        <v>832</v>
      </c>
      <c r="M3757" s="1" t="s">
        <v>6110</v>
      </c>
      <c r="N3757" s="1" t="s">
        <v>126</v>
      </c>
      <c r="P3757" s="1" t="s">
        <v>2500</v>
      </c>
      <c r="Q3757" s="3">
        <v>0</v>
      </c>
      <c r="R3757" s="22" t="s">
        <v>2764</v>
      </c>
      <c r="S3757" s="22" t="s">
        <v>5097</v>
      </c>
      <c r="T3757" s="51">
        <v>32</v>
      </c>
      <c r="U3757" s="3" t="s">
        <v>6111</v>
      </c>
      <c r="V3757" s="41" t="str">
        <f>HYPERLINK("http://ictvonline.org/taxonomy/p/taxonomy-history?taxnode_id=20183998","ICTVonline=20183998")</f>
        <v>ICTVonline=20183998</v>
      </c>
    </row>
    <row r="3758" spans="1:22">
      <c r="A3758" s="3">
        <v>3757</v>
      </c>
      <c r="L3758" s="1" t="s">
        <v>832</v>
      </c>
      <c r="M3758" s="1" t="s">
        <v>6110</v>
      </c>
      <c r="N3758" s="1" t="s">
        <v>1892</v>
      </c>
      <c r="P3758" s="1" t="s">
        <v>129</v>
      </c>
      <c r="Q3758" s="3">
        <v>1</v>
      </c>
      <c r="R3758" s="22" t="s">
        <v>2764</v>
      </c>
      <c r="S3758" s="22" t="s">
        <v>5097</v>
      </c>
      <c r="T3758" s="51">
        <v>32</v>
      </c>
      <c r="U3758" s="3" t="s">
        <v>6111</v>
      </c>
      <c r="V3758" s="41" t="str">
        <f>HYPERLINK("http://ictvonline.org/taxonomy/p/taxonomy-history?taxnode_id=20184000","ICTVonline=20184000")</f>
        <v>ICTVonline=20184000</v>
      </c>
    </row>
    <row r="3759" spans="1:22">
      <c r="A3759" s="3">
        <v>3758</v>
      </c>
      <c r="L3759" s="1" t="s">
        <v>832</v>
      </c>
      <c r="M3759" s="1" t="s">
        <v>6110</v>
      </c>
      <c r="N3759" s="1" t="s">
        <v>1892</v>
      </c>
      <c r="P3759" s="1" t="s">
        <v>130</v>
      </c>
      <c r="Q3759" s="3">
        <v>0</v>
      </c>
      <c r="R3759" s="22" t="s">
        <v>2764</v>
      </c>
      <c r="S3759" s="22" t="s">
        <v>5097</v>
      </c>
      <c r="T3759" s="51">
        <v>32</v>
      </c>
      <c r="U3759" s="3" t="s">
        <v>6111</v>
      </c>
      <c r="V3759" s="41" t="str">
        <f>HYPERLINK("http://ictvonline.org/taxonomy/p/taxonomy-history?taxnode_id=20184001","ICTVonline=20184001")</f>
        <v>ICTVonline=20184001</v>
      </c>
    </row>
    <row r="3760" spans="1:22">
      <c r="A3760" s="3">
        <v>3759</v>
      </c>
      <c r="L3760" s="1" t="s">
        <v>832</v>
      </c>
      <c r="M3760" s="1" t="s">
        <v>6110</v>
      </c>
      <c r="N3760" s="1" t="s">
        <v>1892</v>
      </c>
      <c r="P3760" s="1" t="s">
        <v>131</v>
      </c>
      <c r="Q3760" s="3">
        <v>0</v>
      </c>
      <c r="R3760" s="22" t="s">
        <v>2764</v>
      </c>
      <c r="S3760" s="22" t="s">
        <v>5097</v>
      </c>
      <c r="T3760" s="51">
        <v>32</v>
      </c>
      <c r="U3760" s="3" t="s">
        <v>6111</v>
      </c>
      <c r="V3760" s="41" t="str">
        <f>HYPERLINK("http://ictvonline.org/taxonomy/p/taxonomy-history?taxnode_id=20184002","ICTVonline=20184002")</f>
        <v>ICTVonline=20184002</v>
      </c>
    </row>
    <row r="3761" spans="1:22">
      <c r="A3761" s="3">
        <v>3760</v>
      </c>
      <c r="L3761" s="1" t="s">
        <v>832</v>
      </c>
      <c r="M3761" s="1" t="s">
        <v>6110</v>
      </c>
      <c r="N3761" s="1" t="s">
        <v>1892</v>
      </c>
      <c r="P3761" s="1" t="s">
        <v>132</v>
      </c>
      <c r="Q3761" s="3">
        <v>0</v>
      </c>
      <c r="R3761" s="22" t="s">
        <v>2764</v>
      </c>
      <c r="S3761" s="22" t="s">
        <v>5097</v>
      </c>
      <c r="T3761" s="51">
        <v>32</v>
      </c>
      <c r="U3761" s="3" t="s">
        <v>6111</v>
      </c>
      <c r="V3761" s="41" t="str">
        <f>HYPERLINK("http://ictvonline.org/taxonomy/p/taxonomy-history?taxnode_id=20184003","ICTVonline=20184003")</f>
        <v>ICTVonline=20184003</v>
      </c>
    </row>
    <row r="3762" spans="1:22">
      <c r="A3762" s="3">
        <v>3761</v>
      </c>
      <c r="L3762" s="1" t="s">
        <v>832</v>
      </c>
      <c r="M3762" s="1" t="s">
        <v>6110</v>
      </c>
      <c r="N3762" s="1" t="s">
        <v>1892</v>
      </c>
      <c r="P3762" s="1" t="s">
        <v>133</v>
      </c>
      <c r="Q3762" s="3">
        <v>0</v>
      </c>
      <c r="R3762" s="22" t="s">
        <v>2764</v>
      </c>
      <c r="S3762" s="22" t="s">
        <v>5097</v>
      </c>
      <c r="T3762" s="51">
        <v>32</v>
      </c>
      <c r="U3762" s="3" t="s">
        <v>6111</v>
      </c>
      <c r="V3762" s="41" t="str">
        <f>HYPERLINK("http://ictvonline.org/taxonomy/p/taxonomy-history?taxnode_id=20184004","ICTVonline=20184004")</f>
        <v>ICTVonline=20184004</v>
      </c>
    </row>
    <row r="3763" spans="1:22">
      <c r="A3763" s="3">
        <v>3762</v>
      </c>
      <c r="L3763" s="1" t="s">
        <v>832</v>
      </c>
      <c r="M3763" s="1" t="s">
        <v>6110</v>
      </c>
      <c r="N3763" s="1" t="s">
        <v>1892</v>
      </c>
      <c r="P3763" s="1" t="s">
        <v>2501</v>
      </c>
      <c r="Q3763" s="3">
        <v>0</v>
      </c>
      <c r="R3763" s="22" t="s">
        <v>2764</v>
      </c>
      <c r="S3763" s="22" t="s">
        <v>5097</v>
      </c>
      <c r="T3763" s="51">
        <v>32</v>
      </c>
      <c r="U3763" s="3" t="s">
        <v>6111</v>
      </c>
      <c r="V3763" s="41" t="str">
        <f>HYPERLINK("http://ictvonline.org/taxonomy/p/taxonomy-history?taxnode_id=20184005","ICTVonline=20184005")</f>
        <v>ICTVonline=20184005</v>
      </c>
    </row>
    <row r="3764" spans="1:22">
      <c r="A3764" s="3">
        <v>3763</v>
      </c>
      <c r="L3764" s="1" t="s">
        <v>832</v>
      </c>
      <c r="M3764" s="1" t="s">
        <v>6110</v>
      </c>
      <c r="N3764" s="1" t="s">
        <v>1892</v>
      </c>
      <c r="P3764" s="1" t="s">
        <v>6112</v>
      </c>
      <c r="Q3764" s="3">
        <v>0</v>
      </c>
      <c r="R3764" s="22" t="s">
        <v>2764</v>
      </c>
      <c r="S3764" s="22" t="s">
        <v>5097</v>
      </c>
      <c r="T3764" s="51">
        <v>32</v>
      </c>
      <c r="U3764" s="3" t="s">
        <v>6111</v>
      </c>
      <c r="V3764" s="41" t="str">
        <f>HYPERLINK("http://ictvonline.org/taxonomy/p/taxonomy-history?taxnode_id=20185864","ICTVonline=20185864")</f>
        <v>ICTVonline=20185864</v>
      </c>
    </row>
    <row r="3765" spans="1:22">
      <c r="A3765" s="3">
        <v>3764</v>
      </c>
      <c r="L3765" s="1" t="s">
        <v>832</v>
      </c>
      <c r="M3765" s="1" t="s">
        <v>6110</v>
      </c>
      <c r="N3765" s="1" t="s">
        <v>4003</v>
      </c>
      <c r="P3765" s="1" t="s">
        <v>4004</v>
      </c>
      <c r="Q3765" s="3">
        <v>1</v>
      </c>
      <c r="R3765" s="22" t="s">
        <v>2764</v>
      </c>
      <c r="S3765" s="22" t="s">
        <v>5097</v>
      </c>
      <c r="T3765" s="51">
        <v>32</v>
      </c>
      <c r="U3765" s="3" t="s">
        <v>6111</v>
      </c>
      <c r="V3765" s="41" t="str">
        <f>HYPERLINK("http://ictvonline.org/taxonomy/p/taxonomy-history?taxnode_id=20184007","ICTVonline=20184007")</f>
        <v>ICTVonline=20184007</v>
      </c>
    </row>
    <row r="3766" spans="1:22">
      <c r="A3766" s="3">
        <v>3765</v>
      </c>
      <c r="L3766" s="1" t="s">
        <v>832</v>
      </c>
      <c r="M3766" s="1" t="s">
        <v>6110</v>
      </c>
      <c r="N3766" s="1" t="s">
        <v>134</v>
      </c>
      <c r="P3766" s="1" t="s">
        <v>135</v>
      </c>
      <c r="Q3766" s="3">
        <v>1</v>
      </c>
      <c r="R3766" s="22" t="s">
        <v>2764</v>
      </c>
      <c r="S3766" s="22" t="s">
        <v>5097</v>
      </c>
      <c r="T3766" s="51">
        <v>32</v>
      </c>
      <c r="U3766" s="3" t="s">
        <v>6111</v>
      </c>
      <c r="V3766" s="41" t="str">
        <f>HYPERLINK("http://ictvonline.org/taxonomy/p/taxonomy-history?taxnode_id=20184009","ICTVonline=20184009")</f>
        <v>ICTVonline=20184009</v>
      </c>
    </row>
    <row r="3767" spans="1:22">
      <c r="A3767" s="3">
        <v>3766</v>
      </c>
      <c r="L3767" s="1" t="s">
        <v>832</v>
      </c>
      <c r="M3767" s="1" t="s">
        <v>6110</v>
      </c>
      <c r="N3767" s="1" t="s">
        <v>136</v>
      </c>
      <c r="P3767" s="1" t="s">
        <v>137</v>
      </c>
      <c r="Q3767" s="3">
        <v>1</v>
      </c>
      <c r="R3767" s="22" t="s">
        <v>2764</v>
      </c>
      <c r="S3767" s="22" t="s">
        <v>5097</v>
      </c>
      <c r="T3767" s="51">
        <v>32</v>
      </c>
      <c r="U3767" s="3" t="s">
        <v>6111</v>
      </c>
      <c r="V3767" s="41" t="str">
        <f>HYPERLINK("http://ictvonline.org/taxonomy/p/taxonomy-history?taxnode_id=20184011","ICTVonline=20184011")</f>
        <v>ICTVonline=20184011</v>
      </c>
    </row>
    <row r="3768" spans="1:22">
      <c r="A3768" s="3">
        <v>3767</v>
      </c>
      <c r="L3768" s="1" t="s">
        <v>832</v>
      </c>
      <c r="M3768" s="1" t="s">
        <v>6110</v>
      </c>
      <c r="N3768" s="1" t="s">
        <v>138</v>
      </c>
      <c r="P3768" s="1" t="s">
        <v>139</v>
      </c>
      <c r="Q3768" s="3">
        <v>1</v>
      </c>
      <c r="R3768" s="22" t="s">
        <v>2764</v>
      </c>
      <c r="S3768" s="22" t="s">
        <v>5097</v>
      </c>
      <c r="T3768" s="51">
        <v>32</v>
      </c>
      <c r="U3768" s="3" t="s">
        <v>6111</v>
      </c>
      <c r="V3768" s="41" t="str">
        <f>HYPERLINK("http://ictvonline.org/taxonomy/p/taxonomy-history?taxnode_id=20184013","ICTVonline=20184013")</f>
        <v>ICTVonline=20184013</v>
      </c>
    </row>
    <row r="3769" spans="1:22">
      <c r="A3769" s="3">
        <v>3768</v>
      </c>
      <c r="L3769" s="1" t="s">
        <v>832</v>
      </c>
      <c r="M3769" s="1" t="s">
        <v>6110</v>
      </c>
      <c r="N3769" s="1" t="s">
        <v>140</v>
      </c>
      <c r="P3769" s="1" t="s">
        <v>141</v>
      </c>
      <c r="Q3769" s="3">
        <v>1</v>
      </c>
      <c r="R3769" s="22" t="s">
        <v>2764</v>
      </c>
      <c r="S3769" s="22" t="s">
        <v>5097</v>
      </c>
      <c r="T3769" s="51">
        <v>32</v>
      </c>
      <c r="U3769" s="3" t="s">
        <v>6111</v>
      </c>
      <c r="V3769" s="41" t="str">
        <f>HYPERLINK("http://ictvonline.org/taxonomy/p/taxonomy-history?taxnode_id=20184015","ICTVonline=20184015")</f>
        <v>ICTVonline=20184015</v>
      </c>
    </row>
    <row r="3770" spans="1:22">
      <c r="A3770" s="3">
        <v>3769</v>
      </c>
      <c r="L3770" s="1" t="s">
        <v>832</v>
      </c>
      <c r="M3770" s="1" t="s">
        <v>6110</v>
      </c>
      <c r="N3770" s="1" t="s">
        <v>140</v>
      </c>
      <c r="P3770" s="1" t="s">
        <v>2502</v>
      </c>
      <c r="Q3770" s="3">
        <v>0</v>
      </c>
      <c r="R3770" s="22" t="s">
        <v>2764</v>
      </c>
      <c r="S3770" s="22" t="s">
        <v>5097</v>
      </c>
      <c r="T3770" s="51">
        <v>32</v>
      </c>
      <c r="U3770" s="3" t="s">
        <v>6111</v>
      </c>
      <c r="V3770" s="41" t="str">
        <f>HYPERLINK("http://ictvonline.org/taxonomy/p/taxonomy-history?taxnode_id=20184016","ICTVonline=20184016")</f>
        <v>ICTVonline=20184016</v>
      </c>
    </row>
    <row r="3771" spans="1:22">
      <c r="A3771" s="3">
        <v>3770</v>
      </c>
      <c r="L3771" s="1" t="s">
        <v>832</v>
      </c>
      <c r="M3771" s="1" t="s">
        <v>6110</v>
      </c>
      <c r="N3771" s="1" t="s">
        <v>2503</v>
      </c>
      <c r="P3771" s="1" t="s">
        <v>2504</v>
      </c>
      <c r="Q3771" s="3">
        <v>1</v>
      </c>
      <c r="R3771" s="22" t="s">
        <v>2764</v>
      </c>
      <c r="S3771" s="22" t="s">
        <v>5097</v>
      </c>
      <c r="T3771" s="51">
        <v>32</v>
      </c>
      <c r="U3771" s="3" t="s">
        <v>6111</v>
      </c>
      <c r="V3771" s="41" t="str">
        <f>HYPERLINK("http://ictvonline.org/taxonomy/p/taxonomy-history?taxnode_id=20184018","ICTVonline=20184018")</f>
        <v>ICTVonline=20184018</v>
      </c>
    </row>
    <row r="3772" spans="1:22">
      <c r="A3772" s="3">
        <v>3771</v>
      </c>
      <c r="L3772" s="1" t="s">
        <v>832</v>
      </c>
      <c r="M3772" s="1" t="s">
        <v>6110</v>
      </c>
      <c r="N3772" s="1" t="s">
        <v>2503</v>
      </c>
      <c r="P3772" s="1" t="s">
        <v>4005</v>
      </c>
      <c r="Q3772" s="3">
        <v>0</v>
      </c>
      <c r="R3772" s="22" t="s">
        <v>2764</v>
      </c>
      <c r="S3772" s="22" t="s">
        <v>5097</v>
      </c>
      <c r="T3772" s="51">
        <v>32</v>
      </c>
      <c r="U3772" s="3" t="s">
        <v>6111</v>
      </c>
      <c r="V3772" s="41" t="str">
        <f>HYPERLINK("http://ictvonline.org/taxonomy/p/taxonomy-history?taxnode_id=20184019","ICTVonline=20184019")</f>
        <v>ICTVonline=20184019</v>
      </c>
    </row>
    <row r="3773" spans="1:22">
      <c r="A3773" s="3">
        <v>3772</v>
      </c>
      <c r="L3773" s="1" t="s">
        <v>832</v>
      </c>
      <c r="M3773" s="1" t="s">
        <v>6110</v>
      </c>
      <c r="N3773" s="1" t="s">
        <v>2503</v>
      </c>
      <c r="P3773" s="1" t="s">
        <v>6113</v>
      </c>
      <c r="Q3773" s="3">
        <v>0</v>
      </c>
      <c r="R3773" s="22" t="s">
        <v>2764</v>
      </c>
      <c r="S3773" s="22" t="s">
        <v>5097</v>
      </c>
      <c r="T3773" s="51">
        <v>32</v>
      </c>
      <c r="U3773" s="3" t="s">
        <v>6111</v>
      </c>
      <c r="V3773" s="41" t="str">
        <f>HYPERLINK("http://ictvonline.org/taxonomy/p/taxonomy-history?taxnode_id=20185865","ICTVonline=20185865")</f>
        <v>ICTVonline=20185865</v>
      </c>
    </row>
    <row r="3774" spans="1:22">
      <c r="A3774" s="3">
        <v>3773</v>
      </c>
      <c r="L3774" s="1" t="s">
        <v>832</v>
      </c>
      <c r="M3774" s="1" t="s">
        <v>6110</v>
      </c>
      <c r="N3774" s="1" t="s">
        <v>2503</v>
      </c>
      <c r="P3774" s="1" t="s">
        <v>6114</v>
      </c>
      <c r="Q3774" s="3">
        <v>0</v>
      </c>
      <c r="R3774" s="22" t="s">
        <v>2764</v>
      </c>
      <c r="S3774" s="22" t="s">
        <v>5097</v>
      </c>
      <c r="T3774" s="51">
        <v>32</v>
      </c>
      <c r="U3774" s="3" t="s">
        <v>6111</v>
      </c>
      <c r="V3774" s="41" t="str">
        <f>HYPERLINK("http://ictvonline.org/taxonomy/p/taxonomy-history?taxnode_id=20185866","ICTVonline=20185866")</f>
        <v>ICTVonline=20185866</v>
      </c>
    </row>
    <row r="3775" spans="1:22">
      <c r="A3775" s="3">
        <v>3774</v>
      </c>
      <c r="L3775" s="1" t="s">
        <v>832</v>
      </c>
      <c r="M3775" s="1" t="s">
        <v>6110</v>
      </c>
      <c r="N3775" s="1" t="s">
        <v>2503</v>
      </c>
      <c r="P3775" s="1" t="s">
        <v>6115</v>
      </c>
      <c r="Q3775" s="3">
        <v>0</v>
      </c>
      <c r="R3775" s="22" t="s">
        <v>2764</v>
      </c>
      <c r="S3775" s="22" t="s">
        <v>5097</v>
      </c>
      <c r="T3775" s="51">
        <v>32</v>
      </c>
      <c r="U3775" s="3" t="s">
        <v>6111</v>
      </c>
      <c r="V3775" s="41" t="str">
        <f>HYPERLINK("http://ictvonline.org/taxonomy/p/taxonomy-history?taxnode_id=20185867","ICTVonline=20185867")</f>
        <v>ICTVonline=20185867</v>
      </c>
    </row>
    <row r="3776" spans="1:22">
      <c r="A3776" s="3">
        <v>3775</v>
      </c>
      <c r="L3776" s="1" t="s">
        <v>832</v>
      </c>
      <c r="M3776" s="1" t="s">
        <v>6110</v>
      </c>
      <c r="N3776" s="1" t="s">
        <v>2505</v>
      </c>
      <c r="P3776" s="1" t="s">
        <v>2506</v>
      </c>
      <c r="Q3776" s="3">
        <v>1</v>
      </c>
      <c r="R3776" s="22" t="s">
        <v>2764</v>
      </c>
      <c r="S3776" s="22" t="s">
        <v>5097</v>
      </c>
      <c r="T3776" s="51">
        <v>32</v>
      </c>
      <c r="U3776" s="3" t="s">
        <v>6111</v>
      </c>
      <c r="V3776" s="41" t="str">
        <f>HYPERLINK("http://ictvonline.org/taxonomy/p/taxonomy-history?taxnode_id=20184021","ICTVonline=20184021")</f>
        <v>ICTVonline=20184021</v>
      </c>
    </row>
    <row r="3777" spans="1:22">
      <c r="A3777" s="3">
        <v>3776</v>
      </c>
      <c r="L3777" s="1" t="s">
        <v>832</v>
      </c>
      <c r="M3777" s="1" t="s">
        <v>6110</v>
      </c>
      <c r="N3777" s="1" t="s">
        <v>2507</v>
      </c>
      <c r="P3777" s="1" t="s">
        <v>2508</v>
      </c>
      <c r="Q3777" s="3">
        <v>1</v>
      </c>
      <c r="R3777" s="22" t="s">
        <v>2764</v>
      </c>
      <c r="S3777" s="22" t="s">
        <v>5097</v>
      </c>
      <c r="T3777" s="51">
        <v>32</v>
      </c>
      <c r="U3777" s="3" t="s">
        <v>6111</v>
      </c>
      <c r="V3777" s="41" t="str">
        <f>HYPERLINK("http://ictvonline.org/taxonomy/p/taxonomy-history?taxnode_id=20184023","ICTVonline=20184023")</f>
        <v>ICTVonline=20184023</v>
      </c>
    </row>
    <row r="3778" spans="1:22">
      <c r="A3778" s="3">
        <v>3777</v>
      </c>
      <c r="L3778" s="1" t="s">
        <v>832</v>
      </c>
      <c r="M3778" s="1" t="s">
        <v>6110</v>
      </c>
      <c r="N3778" s="1" t="s">
        <v>2509</v>
      </c>
      <c r="P3778" s="1" t="s">
        <v>2510</v>
      </c>
      <c r="Q3778" s="3">
        <v>1</v>
      </c>
      <c r="R3778" s="22" t="s">
        <v>2764</v>
      </c>
      <c r="S3778" s="22" t="s">
        <v>5097</v>
      </c>
      <c r="T3778" s="51">
        <v>32</v>
      </c>
      <c r="U3778" s="3" t="s">
        <v>6111</v>
      </c>
      <c r="V3778" s="41" t="str">
        <f>HYPERLINK("http://ictvonline.org/taxonomy/p/taxonomy-history?taxnode_id=20184025","ICTVonline=20184025")</f>
        <v>ICTVonline=20184025</v>
      </c>
    </row>
    <row r="3779" spans="1:22">
      <c r="A3779" s="3">
        <v>3778</v>
      </c>
      <c r="L3779" s="1" t="s">
        <v>832</v>
      </c>
      <c r="M3779" s="1" t="s">
        <v>6110</v>
      </c>
      <c r="N3779" s="1" t="s">
        <v>4168</v>
      </c>
      <c r="P3779" s="1" t="s">
        <v>4006</v>
      </c>
      <c r="Q3779" s="3">
        <v>1</v>
      </c>
      <c r="R3779" s="22" t="s">
        <v>2764</v>
      </c>
      <c r="S3779" s="22" t="s">
        <v>5097</v>
      </c>
      <c r="T3779" s="51">
        <v>32</v>
      </c>
      <c r="U3779" s="3" t="s">
        <v>6111</v>
      </c>
      <c r="V3779" s="41" t="str">
        <f>HYPERLINK("http://ictvonline.org/taxonomy/p/taxonomy-history?taxnode_id=20184027","ICTVonline=20184027")</f>
        <v>ICTVonline=20184027</v>
      </c>
    </row>
    <row r="3780" spans="1:22">
      <c r="A3780" s="3">
        <v>3779</v>
      </c>
      <c r="L3780" s="1" t="s">
        <v>832</v>
      </c>
      <c r="M3780" s="1" t="s">
        <v>6110</v>
      </c>
      <c r="N3780" s="1" t="s">
        <v>2511</v>
      </c>
      <c r="P3780" s="1" t="s">
        <v>2512</v>
      </c>
      <c r="Q3780" s="3">
        <v>1</v>
      </c>
      <c r="R3780" s="22" t="s">
        <v>2764</v>
      </c>
      <c r="S3780" s="22" t="s">
        <v>5097</v>
      </c>
      <c r="T3780" s="51">
        <v>32</v>
      </c>
      <c r="U3780" s="3" t="s">
        <v>6111</v>
      </c>
      <c r="V3780" s="41" t="str">
        <f>HYPERLINK("http://ictvonline.org/taxonomy/p/taxonomy-history?taxnode_id=20184029","ICTVonline=20184029")</f>
        <v>ICTVonline=20184029</v>
      </c>
    </row>
    <row r="3781" spans="1:22">
      <c r="A3781" s="3">
        <v>3780</v>
      </c>
      <c r="L3781" s="1" t="s">
        <v>832</v>
      </c>
      <c r="M3781" s="1" t="s">
        <v>6110</v>
      </c>
      <c r="N3781" s="1" t="s">
        <v>4007</v>
      </c>
      <c r="P3781" s="1" t="s">
        <v>4008</v>
      </c>
      <c r="Q3781" s="3">
        <v>1</v>
      </c>
      <c r="R3781" s="22" t="s">
        <v>2764</v>
      </c>
      <c r="S3781" s="22" t="s">
        <v>5097</v>
      </c>
      <c r="T3781" s="51">
        <v>32</v>
      </c>
      <c r="U3781" s="3" t="s">
        <v>6111</v>
      </c>
      <c r="V3781" s="41" t="str">
        <f>HYPERLINK("http://ictvonline.org/taxonomy/p/taxonomy-history?taxnode_id=20184031","ICTVonline=20184031")</f>
        <v>ICTVonline=20184031</v>
      </c>
    </row>
    <row r="3782" spans="1:22">
      <c r="A3782" s="3">
        <v>3781</v>
      </c>
      <c r="L3782" s="1" t="s">
        <v>832</v>
      </c>
      <c r="M3782" s="1" t="s">
        <v>6110</v>
      </c>
      <c r="N3782" s="1" t="s">
        <v>2513</v>
      </c>
      <c r="P3782" s="1" t="s">
        <v>2514</v>
      </c>
      <c r="Q3782" s="3">
        <v>1</v>
      </c>
      <c r="R3782" s="22" t="s">
        <v>2764</v>
      </c>
      <c r="S3782" s="22" t="s">
        <v>5097</v>
      </c>
      <c r="T3782" s="51">
        <v>32</v>
      </c>
      <c r="U3782" s="3" t="s">
        <v>6111</v>
      </c>
      <c r="V3782" s="41" t="str">
        <f>HYPERLINK("http://ictvonline.org/taxonomy/p/taxonomy-history?taxnode_id=20184033","ICTVonline=20184033")</f>
        <v>ICTVonline=20184033</v>
      </c>
    </row>
    <row r="3783" spans="1:22">
      <c r="A3783" s="3">
        <v>3782</v>
      </c>
      <c r="L3783" s="1" t="s">
        <v>832</v>
      </c>
      <c r="M3783" s="1" t="s">
        <v>6110</v>
      </c>
      <c r="N3783" s="1" t="s">
        <v>4009</v>
      </c>
      <c r="P3783" s="1" t="s">
        <v>4010</v>
      </c>
      <c r="Q3783" s="3">
        <v>1</v>
      </c>
      <c r="R3783" s="22" t="s">
        <v>2764</v>
      </c>
      <c r="S3783" s="22" t="s">
        <v>5097</v>
      </c>
      <c r="T3783" s="51">
        <v>32</v>
      </c>
      <c r="U3783" s="3" t="s">
        <v>6111</v>
      </c>
      <c r="V3783" s="41" t="str">
        <f>HYPERLINK("http://ictvonline.org/taxonomy/p/taxonomy-history?taxnode_id=20184035","ICTVonline=20184035")</f>
        <v>ICTVonline=20184035</v>
      </c>
    </row>
    <row r="3784" spans="1:22">
      <c r="A3784" s="3">
        <v>3783</v>
      </c>
      <c r="L3784" s="1" t="s">
        <v>832</v>
      </c>
      <c r="M3784" s="1" t="s">
        <v>6110</v>
      </c>
      <c r="N3784" s="1" t="s">
        <v>2515</v>
      </c>
      <c r="P3784" s="1" t="s">
        <v>2516</v>
      </c>
      <c r="Q3784" s="3">
        <v>1</v>
      </c>
      <c r="R3784" s="22" t="s">
        <v>2764</v>
      </c>
      <c r="S3784" s="22" t="s">
        <v>5097</v>
      </c>
      <c r="T3784" s="51">
        <v>32</v>
      </c>
      <c r="U3784" s="3" t="s">
        <v>6111</v>
      </c>
      <c r="V3784" s="41" t="str">
        <f>HYPERLINK("http://ictvonline.org/taxonomy/p/taxonomy-history?taxnode_id=20184037","ICTVonline=20184037")</f>
        <v>ICTVonline=20184037</v>
      </c>
    </row>
    <row r="3785" spans="1:22">
      <c r="A3785" s="3">
        <v>3784</v>
      </c>
      <c r="L3785" s="1" t="s">
        <v>832</v>
      </c>
      <c r="M3785" s="1" t="s">
        <v>6110</v>
      </c>
      <c r="N3785" s="1" t="s">
        <v>2517</v>
      </c>
      <c r="P3785" s="1" t="s">
        <v>2518</v>
      </c>
      <c r="Q3785" s="3">
        <v>1</v>
      </c>
      <c r="R3785" s="22" t="s">
        <v>2764</v>
      </c>
      <c r="S3785" s="22" t="s">
        <v>5097</v>
      </c>
      <c r="T3785" s="51">
        <v>32</v>
      </c>
      <c r="U3785" s="3" t="s">
        <v>6111</v>
      </c>
      <c r="V3785" s="41" t="str">
        <f>HYPERLINK("http://ictvonline.org/taxonomy/p/taxonomy-history?taxnode_id=20184039","ICTVonline=20184039")</f>
        <v>ICTVonline=20184039</v>
      </c>
    </row>
    <row r="3786" spans="1:22">
      <c r="A3786" s="3">
        <v>3785</v>
      </c>
      <c r="L3786" s="1" t="s">
        <v>832</v>
      </c>
      <c r="M3786" s="1" t="s">
        <v>6110</v>
      </c>
      <c r="N3786" s="1" t="s">
        <v>4011</v>
      </c>
      <c r="P3786" s="1" t="s">
        <v>4012</v>
      </c>
      <c r="Q3786" s="3">
        <v>1</v>
      </c>
      <c r="R3786" s="22" t="s">
        <v>2764</v>
      </c>
      <c r="S3786" s="22" t="s">
        <v>5097</v>
      </c>
      <c r="T3786" s="51">
        <v>32</v>
      </c>
      <c r="U3786" s="3" t="s">
        <v>6111</v>
      </c>
      <c r="V3786" s="41" t="str">
        <f>HYPERLINK("http://ictvonline.org/taxonomy/p/taxonomy-history?taxnode_id=20184041","ICTVonline=20184041")</f>
        <v>ICTVonline=20184041</v>
      </c>
    </row>
    <row r="3787" spans="1:22">
      <c r="A3787" s="3">
        <v>3786</v>
      </c>
      <c r="L3787" s="1" t="s">
        <v>832</v>
      </c>
      <c r="M3787" s="1" t="s">
        <v>6110</v>
      </c>
      <c r="N3787" s="1" t="s">
        <v>142</v>
      </c>
      <c r="P3787" s="1" t="s">
        <v>143</v>
      </c>
      <c r="Q3787" s="3">
        <v>1</v>
      </c>
      <c r="R3787" s="22" t="s">
        <v>2764</v>
      </c>
      <c r="S3787" s="22" t="s">
        <v>5097</v>
      </c>
      <c r="T3787" s="51">
        <v>32</v>
      </c>
      <c r="U3787" s="3" t="s">
        <v>6111</v>
      </c>
      <c r="V3787" s="41" t="str">
        <f>HYPERLINK("http://ictvonline.org/taxonomy/p/taxonomy-history?taxnode_id=20184043","ICTVonline=20184043")</f>
        <v>ICTVonline=20184043</v>
      </c>
    </row>
    <row r="3788" spans="1:22">
      <c r="A3788" s="3">
        <v>3787</v>
      </c>
      <c r="L3788" s="1" t="s">
        <v>832</v>
      </c>
      <c r="M3788" s="1" t="s">
        <v>6110</v>
      </c>
      <c r="N3788" s="1" t="s">
        <v>4013</v>
      </c>
      <c r="P3788" s="1" t="s">
        <v>4014</v>
      </c>
      <c r="Q3788" s="3">
        <v>1</v>
      </c>
      <c r="R3788" s="22" t="s">
        <v>2764</v>
      </c>
      <c r="S3788" s="22" t="s">
        <v>5097</v>
      </c>
      <c r="T3788" s="51">
        <v>32</v>
      </c>
      <c r="U3788" s="3" t="s">
        <v>6111</v>
      </c>
      <c r="V3788" s="41" t="str">
        <f>HYPERLINK("http://ictvonline.org/taxonomy/p/taxonomy-history?taxnode_id=20184045","ICTVonline=20184045")</f>
        <v>ICTVonline=20184045</v>
      </c>
    </row>
    <row r="3789" spans="1:22">
      <c r="A3789" s="3">
        <v>3788</v>
      </c>
      <c r="L3789" s="1" t="s">
        <v>832</v>
      </c>
      <c r="M3789" s="1" t="s">
        <v>6110</v>
      </c>
      <c r="N3789" s="1" t="s">
        <v>2519</v>
      </c>
      <c r="P3789" s="1" t="s">
        <v>2520</v>
      </c>
      <c r="Q3789" s="3">
        <v>1</v>
      </c>
      <c r="R3789" s="22" t="s">
        <v>2764</v>
      </c>
      <c r="S3789" s="22" t="s">
        <v>5097</v>
      </c>
      <c r="T3789" s="51">
        <v>32</v>
      </c>
      <c r="U3789" s="3" t="s">
        <v>6111</v>
      </c>
      <c r="V3789" s="41" t="str">
        <f>HYPERLINK("http://ictvonline.org/taxonomy/p/taxonomy-history?taxnode_id=20184047","ICTVonline=20184047")</f>
        <v>ICTVonline=20184047</v>
      </c>
    </row>
    <row r="3790" spans="1:22">
      <c r="A3790" s="3">
        <v>3789</v>
      </c>
      <c r="L3790" s="1" t="s">
        <v>832</v>
      </c>
      <c r="M3790" s="1" t="s">
        <v>6110</v>
      </c>
      <c r="N3790" s="1" t="s">
        <v>2519</v>
      </c>
      <c r="P3790" s="1" t="s">
        <v>6116</v>
      </c>
      <c r="Q3790" s="3">
        <v>0</v>
      </c>
      <c r="R3790" s="22" t="s">
        <v>2764</v>
      </c>
      <c r="S3790" s="22" t="s">
        <v>5097</v>
      </c>
      <c r="T3790" s="51">
        <v>32</v>
      </c>
      <c r="U3790" s="3" t="s">
        <v>6111</v>
      </c>
      <c r="V3790" s="41" t="str">
        <f>HYPERLINK("http://ictvonline.org/taxonomy/p/taxonomy-history?taxnode_id=20185868","ICTVonline=20185868")</f>
        <v>ICTVonline=20185868</v>
      </c>
    </row>
    <row r="3791" spans="1:22">
      <c r="A3791" s="3">
        <v>3790</v>
      </c>
      <c r="L3791" s="1" t="s">
        <v>832</v>
      </c>
      <c r="M3791" s="1" t="s">
        <v>6110</v>
      </c>
      <c r="N3791" s="1" t="s">
        <v>144</v>
      </c>
      <c r="P3791" s="1" t="s">
        <v>145</v>
      </c>
      <c r="Q3791" s="3">
        <v>1</v>
      </c>
      <c r="R3791" s="22" t="s">
        <v>2764</v>
      </c>
      <c r="S3791" s="22" t="s">
        <v>5097</v>
      </c>
      <c r="T3791" s="51">
        <v>32</v>
      </c>
      <c r="U3791" s="3" t="s">
        <v>6111</v>
      </c>
      <c r="V3791" s="41" t="str">
        <f>HYPERLINK("http://ictvonline.org/taxonomy/p/taxonomy-history?taxnode_id=20184049","ICTVonline=20184049")</f>
        <v>ICTVonline=20184049</v>
      </c>
    </row>
    <row r="3792" spans="1:22">
      <c r="A3792" s="3">
        <v>3791</v>
      </c>
      <c r="L3792" s="1" t="s">
        <v>832</v>
      </c>
      <c r="M3792" s="1" t="s">
        <v>6110</v>
      </c>
      <c r="N3792" s="1" t="s">
        <v>843</v>
      </c>
      <c r="P3792" s="1" t="s">
        <v>146</v>
      </c>
      <c r="Q3792" s="3">
        <v>1</v>
      </c>
      <c r="R3792" s="22" t="s">
        <v>2764</v>
      </c>
      <c r="S3792" s="22" t="s">
        <v>5097</v>
      </c>
      <c r="T3792" s="51">
        <v>32</v>
      </c>
      <c r="U3792" s="3" t="s">
        <v>6111</v>
      </c>
      <c r="V3792" s="41" t="str">
        <f>HYPERLINK("http://ictvonline.org/taxonomy/p/taxonomy-history?taxnode_id=20184051","ICTVonline=20184051")</f>
        <v>ICTVonline=20184051</v>
      </c>
    </row>
    <row r="3793" spans="1:22">
      <c r="A3793" s="3">
        <v>3792</v>
      </c>
      <c r="L3793" s="1" t="s">
        <v>832</v>
      </c>
      <c r="M3793" s="1" t="s">
        <v>6110</v>
      </c>
      <c r="N3793" s="1" t="s">
        <v>843</v>
      </c>
      <c r="P3793" s="1" t="s">
        <v>6117</v>
      </c>
      <c r="Q3793" s="3">
        <v>0</v>
      </c>
      <c r="R3793" s="22" t="s">
        <v>2764</v>
      </c>
      <c r="S3793" s="22" t="s">
        <v>5097</v>
      </c>
      <c r="T3793" s="51">
        <v>32</v>
      </c>
      <c r="U3793" s="3" t="s">
        <v>6111</v>
      </c>
      <c r="V3793" s="41" t="str">
        <f>HYPERLINK("http://ictvonline.org/taxonomy/p/taxonomy-history?taxnode_id=20185869","ICTVonline=20185869")</f>
        <v>ICTVonline=20185869</v>
      </c>
    </row>
    <row r="3794" spans="1:22">
      <c r="A3794" s="3">
        <v>3793</v>
      </c>
      <c r="L3794" s="1" t="s">
        <v>832</v>
      </c>
      <c r="M3794" s="1" t="s">
        <v>6110</v>
      </c>
      <c r="N3794" s="1" t="s">
        <v>930</v>
      </c>
      <c r="P3794" s="1" t="s">
        <v>147</v>
      </c>
      <c r="Q3794" s="3">
        <v>1</v>
      </c>
      <c r="R3794" s="22" t="s">
        <v>2764</v>
      </c>
      <c r="S3794" s="22" t="s">
        <v>5097</v>
      </c>
      <c r="T3794" s="51">
        <v>32</v>
      </c>
      <c r="U3794" s="3" t="s">
        <v>6111</v>
      </c>
      <c r="V3794" s="41" t="str">
        <f>HYPERLINK("http://ictvonline.org/taxonomy/p/taxonomy-history?taxnode_id=20184053","ICTVonline=20184053")</f>
        <v>ICTVonline=20184053</v>
      </c>
    </row>
    <row r="3795" spans="1:22">
      <c r="A3795" s="3">
        <v>3794</v>
      </c>
      <c r="L3795" s="1" t="s">
        <v>832</v>
      </c>
      <c r="M3795" s="1" t="s">
        <v>6110</v>
      </c>
      <c r="N3795" s="1" t="s">
        <v>931</v>
      </c>
      <c r="P3795" s="1" t="s">
        <v>148</v>
      </c>
      <c r="Q3795" s="3">
        <v>1</v>
      </c>
      <c r="R3795" s="22" t="s">
        <v>2764</v>
      </c>
      <c r="S3795" s="22" t="s">
        <v>5097</v>
      </c>
      <c r="T3795" s="51">
        <v>32</v>
      </c>
      <c r="U3795" s="3" t="s">
        <v>6111</v>
      </c>
      <c r="V3795" s="41" t="str">
        <f>HYPERLINK("http://ictvonline.org/taxonomy/p/taxonomy-history?taxnode_id=20184055","ICTVonline=20184055")</f>
        <v>ICTVonline=20184055</v>
      </c>
    </row>
    <row r="3796" spans="1:22">
      <c r="A3796" s="3">
        <v>3795</v>
      </c>
      <c r="L3796" s="1" t="s">
        <v>832</v>
      </c>
      <c r="M3796" s="1" t="s">
        <v>6110</v>
      </c>
      <c r="N3796" s="1" t="s">
        <v>931</v>
      </c>
      <c r="P3796" s="1" t="s">
        <v>150</v>
      </c>
      <c r="Q3796" s="3">
        <v>0</v>
      </c>
      <c r="R3796" s="22" t="s">
        <v>2764</v>
      </c>
      <c r="S3796" s="22" t="s">
        <v>5097</v>
      </c>
      <c r="T3796" s="51">
        <v>32</v>
      </c>
      <c r="U3796" s="3" t="s">
        <v>6111</v>
      </c>
      <c r="V3796" s="41" t="str">
        <f>HYPERLINK("http://ictvonline.org/taxonomy/p/taxonomy-history?taxnode_id=20184056","ICTVonline=20184056")</f>
        <v>ICTVonline=20184056</v>
      </c>
    </row>
    <row r="3797" spans="1:22">
      <c r="A3797" s="3">
        <v>3796</v>
      </c>
      <c r="L3797" s="1" t="s">
        <v>832</v>
      </c>
      <c r="M3797" s="1" t="s">
        <v>6110</v>
      </c>
      <c r="N3797" s="1" t="s">
        <v>931</v>
      </c>
      <c r="P3797" s="1" t="s">
        <v>151</v>
      </c>
      <c r="Q3797" s="3">
        <v>0</v>
      </c>
      <c r="R3797" s="22" t="s">
        <v>2764</v>
      </c>
      <c r="S3797" s="22" t="s">
        <v>5097</v>
      </c>
      <c r="T3797" s="51">
        <v>32</v>
      </c>
      <c r="U3797" s="3" t="s">
        <v>6111</v>
      </c>
      <c r="V3797" s="41" t="str">
        <f>HYPERLINK("http://ictvonline.org/taxonomy/p/taxonomy-history?taxnode_id=20184057","ICTVonline=20184057")</f>
        <v>ICTVonline=20184057</v>
      </c>
    </row>
    <row r="3798" spans="1:22">
      <c r="A3798" s="3">
        <v>3797</v>
      </c>
      <c r="L3798" s="1" t="s">
        <v>832</v>
      </c>
      <c r="M3798" s="1" t="s">
        <v>6110</v>
      </c>
      <c r="N3798" s="1" t="s">
        <v>931</v>
      </c>
      <c r="P3798" s="1" t="s">
        <v>152</v>
      </c>
      <c r="Q3798" s="3">
        <v>0</v>
      </c>
      <c r="R3798" s="22" t="s">
        <v>2764</v>
      </c>
      <c r="S3798" s="22" t="s">
        <v>5097</v>
      </c>
      <c r="T3798" s="51">
        <v>32</v>
      </c>
      <c r="U3798" s="3" t="s">
        <v>6111</v>
      </c>
      <c r="V3798" s="41" t="str">
        <f>HYPERLINK("http://ictvonline.org/taxonomy/p/taxonomy-history?taxnode_id=20184058","ICTVonline=20184058")</f>
        <v>ICTVonline=20184058</v>
      </c>
    </row>
    <row r="3799" spans="1:22">
      <c r="A3799" s="3">
        <v>3798</v>
      </c>
      <c r="L3799" s="1" t="s">
        <v>832</v>
      </c>
      <c r="M3799" s="1" t="s">
        <v>6110</v>
      </c>
      <c r="N3799" s="1" t="s">
        <v>931</v>
      </c>
      <c r="P3799" s="1" t="s">
        <v>153</v>
      </c>
      <c r="Q3799" s="3">
        <v>0</v>
      </c>
      <c r="R3799" s="22" t="s">
        <v>2764</v>
      </c>
      <c r="S3799" s="22" t="s">
        <v>5097</v>
      </c>
      <c r="T3799" s="51">
        <v>32</v>
      </c>
      <c r="U3799" s="3" t="s">
        <v>6111</v>
      </c>
      <c r="V3799" s="41" t="str">
        <f>HYPERLINK("http://ictvonline.org/taxonomy/p/taxonomy-history?taxnode_id=20184059","ICTVonline=20184059")</f>
        <v>ICTVonline=20184059</v>
      </c>
    </row>
    <row r="3800" spans="1:22">
      <c r="A3800" s="3">
        <v>3799</v>
      </c>
      <c r="L3800" s="1" t="s">
        <v>832</v>
      </c>
      <c r="M3800" s="1" t="s">
        <v>6110</v>
      </c>
      <c r="N3800" s="1" t="s">
        <v>931</v>
      </c>
      <c r="P3800" s="1" t="s">
        <v>154</v>
      </c>
      <c r="Q3800" s="3">
        <v>0</v>
      </c>
      <c r="R3800" s="22" t="s">
        <v>2764</v>
      </c>
      <c r="S3800" s="22" t="s">
        <v>5097</v>
      </c>
      <c r="T3800" s="51">
        <v>32</v>
      </c>
      <c r="U3800" s="3" t="s">
        <v>6111</v>
      </c>
      <c r="V3800" s="41" t="str">
        <f>HYPERLINK("http://ictvonline.org/taxonomy/p/taxonomy-history?taxnode_id=20184060","ICTVonline=20184060")</f>
        <v>ICTVonline=20184060</v>
      </c>
    </row>
    <row r="3801" spans="1:22">
      <c r="A3801" s="3">
        <v>3800</v>
      </c>
      <c r="L3801" s="1" t="s">
        <v>832</v>
      </c>
      <c r="M3801" s="1" t="s">
        <v>6110</v>
      </c>
      <c r="N3801" s="1" t="s">
        <v>931</v>
      </c>
      <c r="P3801" s="1" t="s">
        <v>155</v>
      </c>
      <c r="Q3801" s="3">
        <v>0</v>
      </c>
      <c r="R3801" s="22" t="s">
        <v>2764</v>
      </c>
      <c r="S3801" s="22" t="s">
        <v>5097</v>
      </c>
      <c r="T3801" s="51">
        <v>32</v>
      </c>
      <c r="U3801" s="3" t="s">
        <v>6111</v>
      </c>
      <c r="V3801" s="41" t="str">
        <f>HYPERLINK("http://ictvonline.org/taxonomy/p/taxonomy-history?taxnode_id=20184061","ICTVonline=20184061")</f>
        <v>ICTVonline=20184061</v>
      </c>
    </row>
    <row r="3802" spans="1:22">
      <c r="A3802" s="3">
        <v>3801</v>
      </c>
      <c r="L3802" s="1" t="s">
        <v>832</v>
      </c>
      <c r="M3802" s="1" t="s">
        <v>6110</v>
      </c>
      <c r="N3802" s="1" t="s">
        <v>931</v>
      </c>
      <c r="P3802" s="1" t="s">
        <v>156</v>
      </c>
      <c r="Q3802" s="3">
        <v>0</v>
      </c>
      <c r="R3802" s="22" t="s">
        <v>2764</v>
      </c>
      <c r="S3802" s="22" t="s">
        <v>5097</v>
      </c>
      <c r="T3802" s="51">
        <v>32</v>
      </c>
      <c r="U3802" s="3" t="s">
        <v>6111</v>
      </c>
      <c r="V3802" s="41" t="str">
        <f>HYPERLINK("http://ictvonline.org/taxonomy/p/taxonomy-history?taxnode_id=20184062","ICTVonline=20184062")</f>
        <v>ICTVonline=20184062</v>
      </c>
    </row>
    <row r="3803" spans="1:22">
      <c r="A3803" s="3">
        <v>3802</v>
      </c>
      <c r="L3803" s="1" t="s">
        <v>832</v>
      </c>
      <c r="M3803" s="1" t="s">
        <v>6110</v>
      </c>
      <c r="N3803" s="1" t="s">
        <v>931</v>
      </c>
      <c r="P3803" s="1" t="s">
        <v>157</v>
      </c>
      <c r="Q3803" s="3">
        <v>0</v>
      </c>
      <c r="R3803" s="22" t="s">
        <v>2764</v>
      </c>
      <c r="S3803" s="22" t="s">
        <v>5097</v>
      </c>
      <c r="T3803" s="51">
        <v>32</v>
      </c>
      <c r="U3803" s="3" t="s">
        <v>6111</v>
      </c>
      <c r="V3803" s="41" t="str">
        <f>HYPERLINK("http://ictvonline.org/taxonomy/p/taxonomy-history?taxnode_id=20184063","ICTVonline=20184063")</f>
        <v>ICTVonline=20184063</v>
      </c>
    </row>
    <row r="3804" spans="1:22">
      <c r="A3804" s="3">
        <v>3803</v>
      </c>
      <c r="L3804" s="1" t="s">
        <v>832</v>
      </c>
      <c r="M3804" s="1" t="s">
        <v>6110</v>
      </c>
      <c r="N3804" s="1" t="s">
        <v>931</v>
      </c>
      <c r="P3804" s="1" t="s">
        <v>149</v>
      </c>
      <c r="Q3804" s="3">
        <v>0</v>
      </c>
      <c r="R3804" s="22" t="s">
        <v>2764</v>
      </c>
      <c r="S3804" s="22" t="s">
        <v>5097</v>
      </c>
      <c r="T3804" s="51">
        <v>32</v>
      </c>
      <c r="U3804" s="3" t="s">
        <v>6111</v>
      </c>
      <c r="V3804" s="41" t="str">
        <f>HYPERLINK("http://ictvonline.org/taxonomy/p/taxonomy-history?taxnode_id=20184064","ICTVonline=20184064")</f>
        <v>ICTVonline=20184064</v>
      </c>
    </row>
    <row r="3805" spans="1:22">
      <c r="A3805" s="3">
        <v>3804</v>
      </c>
      <c r="L3805" s="1" t="s">
        <v>832</v>
      </c>
      <c r="M3805" s="1" t="s">
        <v>6110</v>
      </c>
      <c r="N3805" s="1" t="s">
        <v>931</v>
      </c>
      <c r="P3805" s="1" t="s">
        <v>2521</v>
      </c>
      <c r="Q3805" s="3">
        <v>0</v>
      </c>
      <c r="R3805" s="22" t="s">
        <v>2764</v>
      </c>
      <c r="S3805" s="22" t="s">
        <v>5097</v>
      </c>
      <c r="T3805" s="51">
        <v>32</v>
      </c>
      <c r="U3805" s="3" t="s">
        <v>6111</v>
      </c>
      <c r="V3805" s="41" t="str">
        <f>HYPERLINK("http://ictvonline.org/taxonomy/p/taxonomy-history?taxnode_id=20184065","ICTVonline=20184065")</f>
        <v>ICTVonline=20184065</v>
      </c>
    </row>
    <row r="3806" spans="1:22">
      <c r="A3806" s="3">
        <v>3805</v>
      </c>
      <c r="L3806" s="1" t="s">
        <v>832</v>
      </c>
      <c r="M3806" s="1" t="s">
        <v>6110</v>
      </c>
      <c r="N3806" s="1" t="s">
        <v>931</v>
      </c>
      <c r="P3806" s="1" t="s">
        <v>2522</v>
      </c>
      <c r="Q3806" s="3">
        <v>0</v>
      </c>
      <c r="R3806" s="22" t="s">
        <v>2764</v>
      </c>
      <c r="S3806" s="22" t="s">
        <v>5097</v>
      </c>
      <c r="T3806" s="51">
        <v>32</v>
      </c>
      <c r="U3806" s="3" t="s">
        <v>6111</v>
      </c>
      <c r="V3806" s="41" t="str">
        <f>HYPERLINK("http://ictvonline.org/taxonomy/p/taxonomy-history?taxnode_id=20184066","ICTVonline=20184066")</f>
        <v>ICTVonline=20184066</v>
      </c>
    </row>
    <row r="3807" spans="1:22">
      <c r="A3807" s="3">
        <v>3806</v>
      </c>
      <c r="L3807" s="1" t="s">
        <v>832</v>
      </c>
      <c r="M3807" s="1" t="s">
        <v>6110</v>
      </c>
      <c r="N3807" s="1" t="s">
        <v>931</v>
      </c>
      <c r="P3807" s="1" t="s">
        <v>2523</v>
      </c>
      <c r="Q3807" s="3">
        <v>0</v>
      </c>
      <c r="R3807" s="22" t="s">
        <v>2764</v>
      </c>
      <c r="S3807" s="22" t="s">
        <v>5097</v>
      </c>
      <c r="T3807" s="51">
        <v>32</v>
      </c>
      <c r="U3807" s="3" t="s">
        <v>6111</v>
      </c>
      <c r="V3807" s="41" t="str">
        <f>HYPERLINK("http://ictvonline.org/taxonomy/p/taxonomy-history?taxnode_id=20184067","ICTVonline=20184067")</f>
        <v>ICTVonline=20184067</v>
      </c>
    </row>
    <row r="3808" spans="1:22">
      <c r="A3808" s="3">
        <v>3807</v>
      </c>
      <c r="L3808" s="1" t="s">
        <v>832</v>
      </c>
      <c r="M3808" s="1" t="s">
        <v>6110</v>
      </c>
      <c r="N3808" s="1" t="s">
        <v>931</v>
      </c>
      <c r="P3808" s="1" t="s">
        <v>2524</v>
      </c>
      <c r="Q3808" s="3">
        <v>0</v>
      </c>
      <c r="R3808" s="22" t="s">
        <v>2764</v>
      </c>
      <c r="S3808" s="22" t="s">
        <v>5097</v>
      </c>
      <c r="T3808" s="51">
        <v>32</v>
      </c>
      <c r="U3808" s="3" t="s">
        <v>6111</v>
      </c>
      <c r="V3808" s="41" t="str">
        <f>HYPERLINK("http://ictvonline.org/taxonomy/p/taxonomy-history?taxnode_id=20184068","ICTVonline=20184068")</f>
        <v>ICTVonline=20184068</v>
      </c>
    </row>
    <row r="3809" spans="1:22">
      <c r="A3809" s="3">
        <v>3808</v>
      </c>
      <c r="L3809" s="1" t="s">
        <v>832</v>
      </c>
      <c r="M3809" s="1" t="s">
        <v>6110</v>
      </c>
      <c r="N3809" s="1" t="s">
        <v>931</v>
      </c>
      <c r="P3809" s="1" t="s">
        <v>2525</v>
      </c>
      <c r="Q3809" s="3">
        <v>0</v>
      </c>
      <c r="R3809" s="22" t="s">
        <v>2764</v>
      </c>
      <c r="S3809" s="22" t="s">
        <v>5097</v>
      </c>
      <c r="T3809" s="51">
        <v>32</v>
      </c>
      <c r="U3809" s="3" t="s">
        <v>6111</v>
      </c>
      <c r="V3809" s="41" t="str">
        <f>HYPERLINK("http://ictvonline.org/taxonomy/p/taxonomy-history?taxnode_id=20184069","ICTVonline=20184069")</f>
        <v>ICTVonline=20184069</v>
      </c>
    </row>
    <row r="3810" spans="1:22">
      <c r="A3810" s="3">
        <v>3809</v>
      </c>
      <c r="L3810" s="1" t="s">
        <v>832</v>
      </c>
      <c r="M3810" s="1" t="s">
        <v>6110</v>
      </c>
      <c r="N3810" s="1" t="s">
        <v>931</v>
      </c>
      <c r="P3810" s="1" t="s">
        <v>2526</v>
      </c>
      <c r="Q3810" s="3">
        <v>0</v>
      </c>
      <c r="R3810" s="22" t="s">
        <v>2764</v>
      </c>
      <c r="S3810" s="22" t="s">
        <v>5097</v>
      </c>
      <c r="T3810" s="51">
        <v>32</v>
      </c>
      <c r="U3810" s="3" t="s">
        <v>6111</v>
      </c>
      <c r="V3810" s="41" t="str">
        <f>HYPERLINK("http://ictvonline.org/taxonomy/p/taxonomy-history?taxnode_id=20184070","ICTVonline=20184070")</f>
        <v>ICTVonline=20184070</v>
      </c>
    </row>
    <row r="3811" spans="1:22">
      <c r="A3811" s="3">
        <v>3810</v>
      </c>
      <c r="L3811" s="1" t="s">
        <v>832</v>
      </c>
      <c r="M3811" s="1" t="s">
        <v>6110</v>
      </c>
      <c r="N3811" s="1" t="s">
        <v>931</v>
      </c>
      <c r="P3811" s="1" t="s">
        <v>2527</v>
      </c>
      <c r="Q3811" s="3">
        <v>0</v>
      </c>
      <c r="R3811" s="22" t="s">
        <v>2764</v>
      </c>
      <c r="S3811" s="22" t="s">
        <v>5097</v>
      </c>
      <c r="T3811" s="51">
        <v>32</v>
      </c>
      <c r="U3811" s="3" t="s">
        <v>6111</v>
      </c>
      <c r="V3811" s="41" t="str">
        <f>HYPERLINK("http://ictvonline.org/taxonomy/p/taxonomy-history?taxnode_id=20184071","ICTVonline=20184071")</f>
        <v>ICTVonline=20184071</v>
      </c>
    </row>
    <row r="3812" spans="1:22">
      <c r="A3812" s="3">
        <v>3811</v>
      </c>
      <c r="L3812" s="1" t="s">
        <v>832</v>
      </c>
      <c r="M3812" s="1" t="s">
        <v>6110</v>
      </c>
      <c r="N3812" s="1" t="s">
        <v>931</v>
      </c>
      <c r="P3812" s="1" t="s">
        <v>2528</v>
      </c>
      <c r="Q3812" s="3">
        <v>0</v>
      </c>
      <c r="R3812" s="22" t="s">
        <v>2764</v>
      </c>
      <c r="S3812" s="22" t="s">
        <v>5097</v>
      </c>
      <c r="T3812" s="51">
        <v>32</v>
      </c>
      <c r="U3812" s="3" t="s">
        <v>6111</v>
      </c>
      <c r="V3812" s="41" t="str">
        <f>HYPERLINK("http://ictvonline.org/taxonomy/p/taxonomy-history?taxnode_id=20184072","ICTVonline=20184072")</f>
        <v>ICTVonline=20184072</v>
      </c>
    </row>
    <row r="3813" spans="1:22">
      <c r="A3813" s="3">
        <v>3812</v>
      </c>
      <c r="L3813" s="1" t="s">
        <v>832</v>
      </c>
      <c r="M3813" s="1" t="s">
        <v>6110</v>
      </c>
      <c r="N3813" s="1" t="s">
        <v>931</v>
      </c>
      <c r="P3813" s="1" t="s">
        <v>2529</v>
      </c>
      <c r="Q3813" s="3">
        <v>0</v>
      </c>
      <c r="R3813" s="22" t="s">
        <v>2764</v>
      </c>
      <c r="S3813" s="22" t="s">
        <v>5097</v>
      </c>
      <c r="T3813" s="51">
        <v>32</v>
      </c>
      <c r="U3813" s="3" t="s">
        <v>6111</v>
      </c>
      <c r="V3813" s="41" t="str">
        <f>HYPERLINK("http://ictvonline.org/taxonomy/p/taxonomy-history?taxnode_id=20184073","ICTVonline=20184073")</f>
        <v>ICTVonline=20184073</v>
      </c>
    </row>
    <row r="3814" spans="1:22">
      <c r="A3814" s="3">
        <v>3813</v>
      </c>
      <c r="L3814" s="1" t="s">
        <v>832</v>
      </c>
      <c r="M3814" s="1" t="s">
        <v>6110</v>
      </c>
      <c r="N3814" s="1" t="s">
        <v>931</v>
      </c>
      <c r="P3814" s="1" t="s">
        <v>2530</v>
      </c>
      <c r="Q3814" s="3">
        <v>0</v>
      </c>
      <c r="R3814" s="22" t="s">
        <v>2764</v>
      </c>
      <c r="S3814" s="22" t="s">
        <v>5097</v>
      </c>
      <c r="T3814" s="51">
        <v>32</v>
      </c>
      <c r="U3814" s="3" t="s">
        <v>6111</v>
      </c>
      <c r="V3814" s="41" t="str">
        <f>HYPERLINK("http://ictvonline.org/taxonomy/p/taxonomy-history?taxnode_id=20184074","ICTVonline=20184074")</f>
        <v>ICTVonline=20184074</v>
      </c>
    </row>
    <row r="3815" spans="1:22">
      <c r="A3815" s="3">
        <v>3814</v>
      </c>
      <c r="L3815" s="1" t="s">
        <v>832</v>
      </c>
      <c r="M3815" s="1" t="s">
        <v>6110</v>
      </c>
      <c r="N3815" s="1" t="s">
        <v>931</v>
      </c>
      <c r="P3815" s="1" t="s">
        <v>4015</v>
      </c>
      <c r="Q3815" s="3">
        <v>0</v>
      </c>
      <c r="R3815" s="22" t="s">
        <v>2764</v>
      </c>
      <c r="S3815" s="22" t="s">
        <v>5097</v>
      </c>
      <c r="T3815" s="51">
        <v>32</v>
      </c>
      <c r="U3815" s="3" t="s">
        <v>6111</v>
      </c>
      <c r="V3815" s="41" t="str">
        <f>HYPERLINK("http://ictvonline.org/taxonomy/p/taxonomy-history?taxnode_id=20184075","ICTVonline=20184075")</f>
        <v>ICTVonline=20184075</v>
      </c>
    </row>
    <row r="3816" spans="1:22">
      <c r="A3816" s="3">
        <v>3815</v>
      </c>
      <c r="L3816" s="1" t="s">
        <v>832</v>
      </c>
      <c r="M3816" s="1" t="s">
        <v>6110</v>
      </c>
      <c r="N3816" s="1" t="s">
        <v>931</v>
      </c>
      <c r="P3816" s="1" t="s">
        <v>4016</v>
      </c>
      <c r="Q3816" s="3">
        <v>0</v>
      </c>
      <c r="R3816" s="22" t="s">
        <v>2764</v>
      </c>
      <c r="S3816" s="22" t="s">
        <v>5097</v>
      </c>
      <c r="T3816" s="51">
        <v>32</v>
      </c>
      <c r="U3816" s="3" t="s">
        <v>6111</v>
      </c>
      <c r="V3816" s="41" t="str">
        <f>HYPERLINK("http://ictvonline.org/taxonomy/p/taxonomy-history?taxnode_id=20184076","ICTVonline=20184076")</f>
        <v>ICTVonline=20184076</v>
      </c>
    </row>
    <row r="3817" spans="1:22">
      <c r="A3817" s="3">
        <v>3816</v>
      </c>
      <c r="L3817" s="1" t="s">
        <v>832</v>
      </c>
      <c r="M3817" s="1" t="s">
        <v>6110</v>
      </c>
      <c r="N3817" s="1" t="s">
        <v>931</v>
      </c>
      <c r="P3817" s="1" t="s">
        <v>4017</v>
      </c>
      <c r="Q3817" s="3">
        <v>0</v>
      </c>
      <c r="R3817" s="22" t="s">
        <v>2764</v>
      </c>
      <c r="S3817" s="22" t="s">
        <v>5097</v>
      </c>
      <c r="T3817" s="51">
        <v>32</v>
      </c>
      <c r="U3817" s="3" t="s">
        <v>6111</v>
      </c>
      <c r="V3817" s="41" t="str">
        <f>HYPERLINK("http://ictvonline.org/taxonomy/p/taxonomy-history?taxnode_id=20184077","ICTVonline=20184077")</f>
        <v>ICTVonline=20184077</v>
      </c>
    </row>
    <row r="3818" spans="1:22">
      <c r="A3818" s="3">
        <v>3817</v>
      </c>
      <c r="L3818" s="1" t="s">
        <v>832</v>
      </c>
      <c r="M3818" s="1" t="s">
        <v>6110</v>
      </c>
      <c r="N3818" s="1" t="s">
        <v>931</v>
      </c>
      <c r="P3818" s="1" t="s">
        <v>4018</v>
      </c>
      <c r="Q3818" s="3">
        <v>0</v>
      </c>
      <c r="R3818" s="22" t="s">
        <v>2764</v>
      </c>
      <c r="S3818" s="22" t="s">
        <v>5097</v>
      </c>
      <c r="T3818" s="51">
        <v>32</v>
      </c>
      <c r="U3818" s="3" t="s">
        <v>6111</v>
      </c>
      <c r="V3818" s="41" t="str">
        <f>HYPERLINK("http://ictvonline.org/taxonomy/p/taxonomy-history?taxnode_id=20184078","ICTVonline=20184078")</f>
        <v>ICTVonline=20184078</v>
      </c>
    </row>
    <row r="3819" spans="1:22">
      <c r="A3819" s="3">
        <v>3818</v>
      </c>
      <c r="L3819" s="1" t="s">
        <v>832</v>
      </c>
      <c r="M3819" s="1" t="s">
        <v>6110</v>
      </c>
      <c r="N3819" s="1" t="s">
        <v>931</v>
      </c>
      <c r="P3819" s="1" t="s">
        <v>4019</v>
      </c>
      <c r="Q3819" s="3">
        <v>0</v>
      </c>
      <c r="R3819" s="22" t="s">
        <v>2764</v>
      </c>
      <c r="S3819" s="22" t="s">
        <v>5097</v>
      </c>
      <c r="T3819" s="51">
        <v>32</v>
      </c>
      <c r="U3819" s="3" t="s">
        <v>6111</v>
      </c>
      <c r="V3819" s="41" t="str">
        <f>HYPERLINK("http://ictvonline.org/taxonomy/p/taxonomy-history?taxnode_id=20184079","ICTVonline=20184079")</f>
        <v>ICTVonline=20184079</v>
      </c>
    </row>
    <row r="3820" spans="1:22">
      <c r="A3820" s="3">
        <v>3819</v>
      </c>
      <c r="L3820" s="1" t="s">
        <v>832</v>
      </c>
      <c r="M3820" s="1" t="s">
        <v>6110</v>
      </c>
      <c r="N3820" s="1" t="s">
        <v>931</v>
      </c>
      <c r="P3820" s="1" t="s">
        <v>4020</v>
      </c>
      <c r="Q3820" s="3">
        <v>0</v>
      </c>
      <c r="R3820" s="22" t="s">
        <v>2764</v>
      </c>
      <c r="S3820" s="22" t="s">
        <v>5097</v>
      </c>
      <c r="T3820" s="51">
        <v>32</v>
      </c>
      <c r="U3820" s="3" t="s">
        <v>6111</v>
      </c>
      <c r="V3820" s="41" t="str">
        <f>HYPERLINK("http://ictvonline.org/taxonomy/p/taxonomy-history?taxnode_id=20184080","ICTVonline=20184080")</f>
        <v>ICTVonline=20184080</v>
      </c>
    </row>
    <row r="3821" spans="1:22">
      <c r="A3821" s="3">
        <v>3820</v>
      </c>
      <c r="L3821" s="1" t="s">
        <v>832</v>
      </c>
      <c r="M3821" s="1" t="s">
        <v>6110</v>
      </c>
      <c r="N3821" s="1" t="s">
        <v>931</v>
      </c>
      <c r="P3821" s="1" t="s">
        <v>6118</v>
      </c>
      <c r="Q3821" s="3">
        <v>0</v>
      </c>
      <c r="R3821" s="22" t="s">
        <v>2764</v>
      </c>
      <c r="S3821" s="22" t="s">
        <v>5097</v>
      </c>
      <c r="T3821" s="51">
        <v>32</v>
      </c>
      <c r="U3821" s="3" t="s">
        <v>6111</v>
      </c>
      <c r="V3821" s="41" t="str">
        <f>HYPERLINK("http://ictvonline.org/taxonomy/p/taxonomy-history?taxnode_id=20185870","ICTVonline=20185870")</f>
        <v>ICTVonline=20185870</v>
      </c>
    </row>
    <row r="3822" spans="1:22">
      <c r="A3822" s="3">
        <v>3821</v>
      </c>
      <c r="L3822" s="1" t="s">
        <v>832</v>
      </c>
      <c r="M3822" s="1" t="s">
        <v>6110</v>
      </c>
      <c r="N3822" s="1" t="s">
        <v>1057</v>
      </c>
      <c r="P3822" s="1" t="s">
        <v>158</v>
      </c>
      <c r="Q3822" s="3">
        <v>1</v>
      </c>
      <c r="R3822" s="22" t="s">
        <v>2764</v>
      </c>
      <c r="S3822" s="22" t="s">
        <v>5097</v>
      </c>
      <c r="T3822" s="51">
        <v>32</v>
      </c>
      <c r="U3822" s="3" t="s">
        <v>6111</v>
      </c>
      <c r="V3822" s="41" t="str">
        <f>HYPERLINK("http://ictvonline.org/taxonomy/p/taxonomy-history?taxnode_id=20184082","ICTVonline=20184082")</f>
        <v>ICTVonline=20184082</v>
      </c>
    </row>
    <row r="3823" spans="1:22">
      <c r="A3823" s="3">
        <v>3822</v>
      </c>
      <c r="L3823" s="1" t="s">
        <v>832</v>
      </c>
      <c r="M3823" s="1" t="s">
        <v>6110</v>
      </c>
      <c r="N3823" s="1" t="s">
        <v>1057</v>
      </c>
      <c r="P3823" s="1" t="s">
        <v>6119</v>
      </c>
      <c r="Q3823" s="3">
        <v>0</v>
      </c>
      <c r="R3823" s="22" t="s">
        <v>2764</v>
      </c>
      <c r="S3823" s="22" t="s">
        <v>5097</v>
      </c>
      <c r="T3823" s="51">
        <v>32</v>
      </c>
      <c r="U3823" s="3" t="s">
        <v>6111</v>
      </c>
      <c r="V3823" s="41" t="str">
        <f>HYPERLINK("http://ictvonline.org/taxonomy/p/taxonomy-history?taxnode_id=20185871","ICTVonline=20185871")</f>
        <v>ICTVonline=20185871</v>
      </c>
    </row>
    <row r="3824" spans="1:22">
      <c r="A3824" s="3">
        <v>3823</v>
      </c>
      <c r="L3824" s="1" t="s">
        <v>832</v>
      </c>
      <c r="M3824" s="1" t="s">
        <v>6110</v>
      </c>
      <c r="N3824" s="1" t="s">
        <v>1147</v>
      </c>
      <c r="P3824" s="1" t="s">
        <v>159</v>
      </c>
      <c r="Q3824" s="3">
        <v>0</v>
      </c>
      <c r="R3824" s="22" t="s">
        <v>2764</v>
      </c>
      <c r="S3824" s="22" t="s">
        <v>5097</v>
      </c>
      <c r="T3824" s="51">
        <v>32</v>
      </c>
      <c r="U3824" s="3" t="s">
        <v>6111</v>
      </c>
      <c r="V3824" s="41" t="str">
        <f>HYPERLINK("http://ictvonline.org/taxonomy/p/taxonomy-history?taxnode_id=20184084","ICTVonline=20184084")</f>
        <v>ICTVonline=20184084</v>
      </c>
    </row>
    <row r="3825" spans="1:22">
      <c r="A3825" s="3">
        <v>3824</v>
      </c>
      <c r="L3825" s="1" t="s">
        <v>832</v>
      </c>
      <c r="M3825" s="1" t="s">
        <v>6110</v>
      </c>
      <c r="N3825" s="1" t="s">
        <v>1147</v>
      </c>
      <c r="P3825" s="1" t="s">
        <v>160</v>
      </c>
      <c r="Q3825" s="3">
        <v>1</v>
      </c>
      <c r="R3825" s="22" t="s">
        <v>2764</v>
      </c>
      <c r="S3825" s="22" t="s">
        <v>5097</v>
      </c>
      <c r="T3825" s="51">
        <v>32</v>
      </c>
      <c r="U3825" s="3" t="s">
        <v>6111</v>
      </c>
      <c r="V3825" s="41" t="str">
        <f>HYPERLINK("http://ictvonline.org/taxonomy/p/taxonomy-history?taxnode_id=20184085","ICTVonline=20184085")</f>
        <v>ICTVonline=20184085</v>
      </c>
    </row>
    <row r="3826" spans="1:22">
      <c r="A3826" s="3">
        <v>3825</v>
      </c>
      <c r="L3826" s="1" t="s">
        <v>832</v>
      </c>
      <c r="M3826" s="1" t="s">
        <v>6110</v>
      </c>
      <c r="N3826" s="1" t="s">
        <v>1148</v>
      </c>
      <c r="P3826" s="1" t="s">
        <v>161</v>
      </c>
      <c r="Q3826" s="3">
        <v>0</v>
      </c>
      <c r="R3826" s="22" t="s">
        <v>2764</v>
      </c>
      <c r="S3826" s="22" t="s">
        <v>5097</v>
      </c>
      <c r="T3826" s="51">
        <v>32</v>
      </c>
      <c r="U3826" s="3" t="s">
        <v>6111</v>
      </c>
      <c r="V3826" s="41" t="str">
        <f>HYPERLINK("http://ictvonline.org/taxonomy/p/taxonomy-history?taxnode_id=20184087","ICTVonline=20184087")</f>
        <v>ICTVonline=20184087</v>
      </c>
    </row>
    <row r="3827" spans="1:22">
      <c r="A3827" s="3">
        <v>3826</v>
      </c>
      <c r="L3827" s="1" t="s">
        <v>832</v>
      </c>
      <c r="M3827" s="1" t="s">
        <v>6110</v>
      </c>
      <c r="N3827" s="1" t="s">
        <v>1148</v>
      </c>
      <c r="P3827" s="1" t="s">
        <v>162</v>
      </c>
      <c r="Q3827" s="3">
        <v>1</v>
      </c>
      <c r="R3827" s="22" t="s">
        <v>2764</v>
      </c>
      <c r="S3827" s="22" t="s">
        <v>5097</v>
      </c>
      <c r="T3827" s="51">
        <v>32</v>
      </c>
      <c r="U3827" s="3" t="s">
        <v>6111</v>
      </c>
      <c r="V3827" s="41" t="str">
        <f>HYPERLINK("http://ictvonline.org/taxonomy/p/taxonomy-history?taxnode_id=20184088","ICTVonline=20184088")</f>
        <v>ICTVonline=20184088</v>
      </c>
    </row>
    <row r="3828" spans="1:22">
      <c r="A3828" s="3">
        <v>3827</v>
      </c>
      <c r="L3828" s="1" t="s">
        <v>832</v>
      </c>
      <c r="M3828" s="1" t="s">
        <v>6110</v>
      </c>
      <c r="N3828" s="1" t="s">
        <v>1148</v>
      </c>
      <c r="P3828" s="1" t="s">
        <v>163</v>
      </c>
      <c r="Q3828" s="3">
        <v>0</v>
      </c>
      <c r="R3828" s="22" t="s">
        <v>2764</v>
      </c>
      <c r="S3828" s="22" t="s">
        <v>5097</v>
      </c>
      <c r="T3828" s="51">
        <v>32</v>
      </c>
      <c r="U3828" s="3" t="s">
        <v>6111</v>
      </c>
      <c r="V3828" s="41" t="str">
        <f>HYPERLINK("http://ictvonline.org/taxonomy/p/taxonomy-history?taxnode_id=20184089","ICTVonline=20184089")</f>
        <v>ICTVonline=20184089</v>
      </c>
    </row>
    <row r="3829" spans="1:22">
      <c r="A3829" s="3">
        <v>3828</v>
      </c>
      <c r="L3829" s="1" t="s">
        <v>832</v>
      </c>
      <c r="M3829" s="1" t="s">
        <v>6110</v>
      </c>
      <c r="N3829" s="1" t="s">
        <v>1148</v>
      </c>
      <c r="P3829" s="1" t="s">
        <v>164</v>
      </c>
      <c r="Q3829" s="3">
        <v>0</v>
      </c>
      <c r="R3829" s="22" t="s">
        <v>2764</v>
      </c>
      <c r="S3829" s="22" t="s">
        <v>5097</v>
      </c>
      <c r="T3829" s="51">
        <v>32</v>
      </c>
      <c r="U3829" s="3" t="s">
        <v>6111</v>
      </c>
      <c r="V3829" s="41" t="str">
        <f>HYPERLINK("http://ictvonline.org/taxonomy/p/taxonomy-history?taxnode_id=20184090","ICTVonline=20184090")</f>
        <v>ICTVonline=20184090</v>
      </c>
    </row>
    <row r="3830" spans="1:22">
      <c r="A3830" s="3">
        <v>3829</v>
      </c>
      <c r="L3830" s="1" t="s">
        <v>832</v>
      </c>
      <c r="M3830" s="1" t="s">
        <v>6110</v>
      </c>
      <c r="N3830" s="1" t="s">
        <v>1148</v>
      </c>
      <c r="P3830" s="1" t="s">
        <v>2531</v>
      </c>
      <c r="Q3830" s="3">
        <v>0</v>
      </c>
      <c r="R3830" s="22" t="s">
        <v>2764</v>
      </c>
      <c r="S3830" s="22" t="s">
        <v>5097</v>
      </c>
      <c r="T3830" s="51">
        <v>32</v>
      </c>
      <c r="U3830" s="3" t="s">
        <v>6111</v>
      </c>
      <c r="V3830" s="41" t="str">
        <f>HYPERLINK("http://ictvonline.org/taxonomy/p/taxonomy-history?taxnode_id=20184091","ICTVonline=20184091")</f>
        <v>ICTVonline=20184091</v>
      </c>
    </row>
    <row r="3831" spans="1:22">
      <c r="A3831" s="3">
        <v>3830</v>
      </c>
      <c r="L3831" s="1" t="s">
        <v>832</v>
      </c>
      <c r="M3831" s="1" t="s">
        <v>6110</v>
      </c>
      <c r="N3831" s="1" t="s">
        <v>1149</v>
      </c>
      <c r="P3831" s="1" t="s">
        <v>165</v>
      </c>
      <c r="Q3831" s="3">
        <v>1</v>
      </c>
      <c r="R3831" s="22" t="s">
        <v>2764</v>
      </c>
      <c r="S3831" s="22" t="s">
        <v>5097</v>
      </c>
      <c r="T3831" s="51">
        <v>32</v>
      </c>
      <c r="U3831" s="3" t="s">
        <v>6111</v>
      </c>
      <c r="V3831" s="41" t="str">
        <f>HYPERLINK("http://ictvonline.org/taxonomy/p/taxonomy-history?taxnode_id=20184093","ICTVonline=20184093")</f>
        <v>ICTVonline=20184093</v>
      </c>
    </row>
    <row r="3832" spans="1:22">
      <c r="A3832" s="3">
        <v>3831</v>
      </c>
      <c r="L3832" s="1" t="s">
        <v>832</v>
      </c>
      <c r="M3832" s="1" t="s">
        <v>6110</v>
      </c>
      <c r="N3832" s="1" t="s">
        <v>1149</v>
      </c>
      <c r="P3832" s="1" t="s">
        <v>166</v>
      </c>
      <c r="Q3832" s="3">
        <v>0</v>
      </c>
      <c r="R3832" s="22" t="s">
        <v>2764</v>
      </c>
      <c r="S3832" s="22" t="s">
        <v>5097</v>
      </c>
      <c r="T3832" s="51">
        <v>32</v>
      </c>
      <c r="U3832" s="3" t="s">
        <v>6111</v>
      </c>
      <c r="V3832" s="41" t="str">
        <f>HYPERLINK("http://ictvonline.org/taxonomy/p/taxonomy-history?taxnode_id=20184094","ICTVonline=20184094")</f>
        <v>ICTVonline=20184094</v>
      </c>
    </row>
    <row r="3833" spans="1:22">
      <c r="A3833" s="3">
        <v>3832</v>
      </c>
      <c r="L3833" s="1" t="s">
        <v>832</v>
      </c>
      <c r="M3833" s="1" t="s">
        <v>6110</v>
      </c>
      <c r="N3833" s="1" t="s">
        <v>1149</v>
      </c>
      <c r="P3833" s="1" t="s">
        <v>4021</v>
      </c>
      <c r="Q3833" s="3">
        <v>0</v>
      </c>
      <c r="R3833" s="22" t="s">
        <v>2764</v>
      </c>
      <c r="S3833" s="22" t="s">
        <v>5097</v>
      </c>
      <c r="T3833" s="51">
        <v>32</v>
      </c>
      <c r="U3833" s="3" t="s">
        <v>6111</v>
      </c>
      <c r="V3833" s="41" t="str">
        <f>HYPERLINK("http://ictvonline.org/taxonomy/p/taxonomy-history?taxnode_id=20184095","ICTVonline=20184095")</f>
        <v>ICTVonline=20184095</v>
      </c>
    </row>
    <row r="3834" spans="1:22">
      <c r="A3834" s="3">
        <v>3833</v>
      </c>
      <c r="L3834" s="1" t="s">
        <v>832</v>
      </c>
      <c r="M3834" s="1" t="s">
        <v>6110</v>
      </c>
      <c r="N3834" s="1" t="s">
        <v>1150</v>
      </c>
      <c r="P3834" s="1" t="s">
        <v>167</v>
      </c>
      <c r="Q3834" s="3">
        <v>1</v>
      </c>
      <c r="R3834" s="22" t="s">
        <v>2764</v>
      </c>
      <c r="S3834" s="22" t="s">
        <v>5097</v>
      </c>
      <c r="T3834" s="51">
        <v>32</v>
      </c>
      <c r="U3834" s="3" t="s">
        <v>6111</v>
      </c>
      <c r="V3834" s="41" t="str">
        <f>HYPERLINK("http://ictvonline.org/taxonomy/p/taxonomy-history?taxnode_id=20184097","ICTVonline=20184097")</f>
        <v>ICTVonline=20184097</v>
      </c>
    </row>
    <row r="3835" spans="1:22">
      <c r="A3835" s="3">
        <v>3834</v>
      </c>
      <c r="L3835" s="1" t="s">
        <v>832</v>
      </c>
      <c r="M3835" s="1" t="s">
        <v>6110</v>
      </c>
      <c r="N3835" s="1" t="s">
        <v>168</v>
      </c>
      <c r="P3835" s="1" t="s">
        <v>169</v>
      </c>
      <c r="Q3835" s="3">
        <v>1</v>
      </c>
      <c r="R3835" s="22" t="s">
        <v>2764</v>
      </c>
      <c r="S3835" s="22" t="s">
        <v>5097</v>
      </c>
      <c r="T3835" s="51">
        <v>32</v>
      </c>
      <c r="U3835" s="3" t="s">
        <v>6111</v>
      </c>
      <c r="V3835" s="41" t="str">
        <f>HYPERLINK("http://ictvonline.org/taxonomy/p/taxonomy-history?taxnode_id=20184099","ICTVonline=20184099")</f>
        <v>ICTVonline=20184099</v>
      </c>
    </row>
    <row r="3836" spans="1:22">
      <c r="A3836" s="3">
        <v>3835</v>
      </c>
      <c r="L3836" s="1" t="s">
        <v>832</v>
      </c>
      <c r="M3836" s="1" t="s">
        <v>6110</v>
      </c>
      <c r="N3836" s="1" t="s">
        <v>553</v>
      </c>
      <c r="P3836" s="1" t="s">
        <v>170</v>
      </c>
      <c r="Q3836" s="3">
        <v>1</v>
      </c>
      <c r="R3836" s="22" t="s">
        <v>2764</v>
      </c>
      <c r="S3836" s="22" t="s">
        <v>5097</v>
      </c>
      <c r="T3836" s="51">
        <v>32</v>
      </c>
      <c r="U3836" s="3" t="s">
        <v>6111</v>
      </c>
      <c r="V3836" s="41" t="str">
        <f>HYPERLINK("http://ictvonline.org/taxonomy/p/taxonomy-history?taxnode_id=20184101","ICTVonline=20184101")</f>
        <v>ICTVonline=20184101</v>
      </c>
    </row>
    <row r="3837" spans="1:22">
      <c r="A3837" s="3">
        <v>3836</v>
      </c>
      <c r="L3837" s="1" t="s">
        <v>832</v>
      </c>
      <c r="M3837" s="1" t="s">
        <v>6110</v>
      </c>
      <c r="N3837" s="1" t="s">
        <v>171</v>
      </c>
      <c r="P3837" s="1" t="s">
        <v>172</v>
      </c>
      <c r="Q3837" s="3">
        <v>1</v>
      </c>
      <c r="R3837" s="22" t="s">
        <v>2764</v>
      </c>
      <c r="S3837" s="22" t="s">
        <v>5097</v>
      </c>
      <c r="T3837" s="51">
        <v>32</v>
      </c>
      <c r="U3837" s="3" t="s">
        <v>6111</v>
      </c>
      <c r="V3837" s="41" t="str">
        <f>HYPERLINK("http://ictvonline.org/taxonomy/p/taxonomy-history?taxnode_id=20184103","ICTVonline=20184103")</f>
        <v>ICTVonline=20184103</v>
      </c>
    </row>
    <row r="3838" spans="1:22">
      <c r="A3838" s="3">
        <v>3837</v>
      </c>
      <c r="L3838" s="1" t="s">
        <v>832</v>
      </c>
      <c r="M3838" s="1" t="s">
        <v>6110</v>
      </c>
      <c r="N3838" s="1" t="s">
        <v>1151</v>
      </c>
      <c r="P3838" s="1" t="s">
        <v>173</v>
      </c>
      <c r="Q3838" s="3">
        <v>1</v>
      </c>
      <c r="R3838" s="22" t="s">
        <v>2764</v>
      </c>
      <c r="S3838" s="22" t="s">
        <v>5097</v>
      </c>
      <c r="T3838" s="51">
        <v>32</v>
      </c>
      <c r="U3838" s="3" t="s">
        <v>6111</v>
      </c>
      <c r="V3838" s="41" t="str">
        <f>HYPERLINK("http://ictvonline.org/taxonomy/p/taxonomy-history?taxnode_id=20184105","ICTVonline=20184105")</f>
        <v>ICTVonline=20184105</v>
      </c>
    </row>
    <row r="3839" spans="1:22">
      <c r="A3839" s="3">
        <v>3838</v>
      </c>
      <c r="L3839" s="1" t="s">
        <v>832</v>
      </c>
      <c r="M3839" s="1" t="s">
        <v>6110</v>
      </c>
      <c r="N3839" s="1" t="s">
        <v>1151</v>
      </c>
      <c r="P3839" s="1" t="s">
        <v>174</v>
      </c>
      <c r="Q3839" s="3">
        <v>0</v>
      </c>
      <c r="R3839" s="22" t="s">
        <v>2764</v>
      </c>
      <c r="S3839" s="22" t="s">
        <v>5097</v>
      </c>
      <c r="T3839" s="51">
        <v>32</v>
      </c>
      <c r="U3839" s="3" t="s">
        <v>6111</v>
      </c>
      <c r="V3839" s="41" t="str">
        <f>HYPERLINK("http://ictvonline.org/taxonomy/p/taxonomy-history?taxnode_id=20184106","ICTVonline=20184106")</f>
        <v>ICTVonline=20184106</v>
      </c>
    </row>
    <row r="3840" spans="1:22">
      <c r="A3840" s="3">
        <v>3839</v>
      </c>
      <c r="L3840" s="1" t="s">
        <v>832</v>
      </c>
      <c r="M3840" s="1" t="s">
        <v>6110</v>
      </c>
      <c r="N3840" s="1" t="s">
        <v>175</v>
      </c>
      <c r="P3840" s="1" t="s">
        <v>176</v>
      </c>
      <c r="Q3840" s="3">
        <v>1</v>
      </c>
      <c r="R3840" s="22" t="s">
        <v>2764</v>
      </c>
      <c r="S3840" s="22" t="s">
        <v>5097</v>
      </c>
      <c r="T3840" s="51">
        <v>32</v>
      </c>
      <c r="U3840" s="3" t="s">
        <v>6111</v>
      </c>
      <c r="V3840" s="41" t="str">
        <f>HYPERLINK("http://ictvonline.org/taxonomy/p/taxonomy-history?taxnode_id=20184108","ICTVonline=20184108")</f>
        <v>ICTVonline=20184108</v>
      </c>
    </row>
    <row r="3841" spans="1:22">
      <c r="A3841" s="3">
        <v>3840</v>
      </c>
      <c r="L3841" s="1" t="s">
        <v>832</v>
      </c>
      <c r="M3841" s="1" t="s">
        <v>6110</v>
      </c>
      <c r="N3841" s="1" t="s">
        <v>175</v>
      </c>
      <c r="P3841" s="1" t="s">
        <v>6120</v>
      </c>
      <c r="Q3841" s="3">
        <v>0</v>
      </c>
      <c r="R3841" s="22" t="s">
        <v>2764</v>
      </c>
      <c r="S3841" s="22" t="s">
        <v>5097</v>
      </c>
      <c r="T3841" s="51">
        <v>32</v>
      </c>
      <c r="U3841" s="3" t="s">
        <v>6111</v>
      </c>
      <c r="V3841" s="41" t="str">
        <f>HYPERLINK("http://ictvonline.org/taxonomy/p/taxonomy-history?taxnode_id=20185872","ICTVonline=20185872")</f>
        <v>ICTVonline=20185872</v>
      </c>
    </row>
    <row r="3842" spans="1:22">
      <c r="A3842" s="3">
        <v>3841</v>
      </c>
      <c r="L3842" s="1" t="s">
        <v>832</v>
      </c>
      <c r="M3842" s="1" t="s">
        <v>6110</v>
      </c>
      <c r="N3842" s="1" t="s">
        <v>175</v>
      </c>
      <c r="P3842" s="1" t="s">
        <v>6121</v>
      </c>
      <c r="Q3842" s="3">
        <v>0</v>
      </c>
      <c r="R3842" s="22" t="s">
        <v>2764</v>
      </c>
      <c r="S3842" s="22" t="s">
        <v>5097</v>
      </c>
      <c r="T3842" s="51">
        <v>32</v>
      </c>
      <c r="U3842" s="3" t="s">
        <v>6111</v>
      </c>
      <c r="V3842" s="41" t="str">
        <f>HYPERLINK("http://ictvonline.org/taxonomy/p/taxonomy-history?taxnode_id=20185873","ICTVonline=20185873")</f>
        <v>ICTVonline=20185873</v>
      </c>
    </row>
    <row r="3843" spans="1:22">
      <c r="A3843" s="3">
        <v>3842</v>
      </c>
      <c r="L3843" s="1" t="s">
        <v>832</v>
      </c>
      <c r="M3843" s="1" t="s">
        <v>6110</v>
      </c>
      <c r="N3843" s="1" t="s">
        <v>177</v>
      </c>
      <c r="P3843" s="1" t="s">
        <v>178</v>
      </c>
      <c r="Q3843" s="3">
        <v>1</v>
      </c>
      <c r="R3843" s="22" t="s">
        <v>2764</v>
      </c>
      <c r="S3843" s="22" t="s">
        <v>5097</v>
      </c>
      <c r="T3843" s="51">
        <v>32</v>
      </c>
      <c r="U3843" s="3" t="s">
        <v>6111</v>
      </c>
      <c r="V3843" s="41" t="str">
        <f>HYPERLINK("http://ictvonline.org/taxonomy/p/taxonomy-history?taxnode_id=20184110","ICTVonline=20184110")</f>
        <v>ICTVonline=20184110</v>
      </c>
    </row>
    <row r="3844" spans="1:22">
      <c r="A3844" s="3">
        <v>3843</v>
      </c>
      <c r="L3844" s="1" t="s">
        <v>832</v>
      </c>
      <c r="M3844" s="1" t="s">
        <v>6110</v>
      </c>
      <c r="N3844" s="1" t="s">
        <v>177</v>
      </c>
      <c r="P3844" s="1" t="s">
        <v>4022</v>
      </c>
      <c r="Q3844" s="3">
        <v>0</v>
      </c>
      <c r="R3844" s="22" t="s">
        <v>2764</v>
      </c>
      <c r="S3844" s="22" t="s">
        <v>5097</v>
      </c>
      <c r="T3844" s="51">
        <v>32</v>
      </c>
      <c r="U3844" s="3" t="s">
        <v>6111</v>
      </c>
      <c r="V3844" s="41" t="str">
        <f>HYPERLINK("http://ictvonline.org/taxonomy/p/taxonomy-history?taxnode_id=20184111","ICTVonline=20184111")</f>
        <v>ICTVonline=20184111</v>
      </c>
    </row>
    <row r="3845" spans="1:22">
      <c r="A3845" s="3">
        <v>3844</v>
      </c>
      <c r="L3845" s="1" t="s">
        <v>832</v>
      </c>
      <c r="M3845" s="1" t="s">
        <v>6110</v>
      </c>
      <c r="N3845" s="1" t="s">
        <v>179</v>
      </c>
      <c r="P3845" s="1" t="s">
        <v>180</v>
      </c>
      <c r="Q3845" s="3">
        <v>1</v>
      </c>
      <c r="R3845" s="22" t="s">
        <v>2764</v>
      </c>
      <c r="S3845" s="22" t="s">
        <v>5097</v>
      </c>
      <c r="T3845" s="51">
        <v>32</v>
      </c>
      <c r="U3845" s="3" t="s">
        <v>6111</v>
      </c>
      <c r="V3845" s="41" t="str">
        <f>HYPERLINK("http://ictvonline.org/taxonomy/p/taxonomy-history?taxnode_id=20184113","ICTVonline=20184113")</f>
        <v>ICTVonline=20184113</v>
      </c>
    </row>
    <row r="3846" spans="1:22">
      <c r="A3846" s="3">
        <v>3845</v>
      </c>
      <c r="L3846" s="1" t="s">
        <v>832</v>
      </c>
      <c r="M3846" s="1" t="s">
        <v>6110</v>
      </c>
      <c r="N3846" s="1" t="s">
        <v>181</v>
      </c>
      <c r="P3846" s="1" t="s">
        <v>182</v>
      </c>
      <c r="Q3846" s="3">
        <v>1</v>
      </c>
      <c r="R3846" s="22" t="s">
        <v>2764</v>
      </c>
      <c r="S3846" s="22" t="s">
        <v>5097</v>
      </c>
      <c r="T3846" s="51">
        <v>32</v>
      </c>
      <c r="U3846" s="3" t="s">
        <v>6111</v>
      </c>
      <c r="V3846" s="41" t="str">
        <f>HYPERLINK("http://ictvonline.org/taxonomy/p/taxonomy-history?taxnode_id=20184115","ICTVonline=20184115")</f>
        <v>ICTVonline=20184115</v>
      </c>
    </row>
    <row r="3847" spans="1:22">
      <c r="A3847" s="3">
        <v>3846</v>
      </c>
      <c r="L3847" s="1" t="s">
        <v>832</v>
      </c>
      <c r="M3847" s="1" t="s">
        <v>6110</v>
      </c>
      <c r="N3847" s="1" t="s">
        <v>181</v>
      </c>
      <c r="P3847" s="1" t="s">
        <v>2532</v>
      </c>
      <c r="Q3847" s="3">
        <v>0</v>
      </c>
      <c r="R3847" s="22" t="s">
        <v>2764</v>
      </c>
      <c r="S3847" s="22" t="s">
        <v>5097</v>
      </c>
      <c r="T3847" s="51">
        <v>32</v>
      </c>
      <c r="U3847" s="3" t="s">
        <v>6111</v>
      </c>
      <c r="V3847" s="41" t="str">
        <f>HYPERLINK("http://ictvonline.org/taxonomy/p/taxonomy-history?taxnode_id=20184116","ICTVonline=20184116")</f>
        <v>ICTVonline=20184116</v>
      </c>
    </row>
    <row r="3848" spans="1:22">
      <c r="A3848" s="3">
        <v>3847</v>
      </c>
      <c r="L3848" s="1" t="s">
        <v>832</v>
      </c>
      <c r="M3848" s="1" t="s">
        <v>6110</v>
      </c>
      <c r="N3848" s="1" t="s">
        <v>181</v>
      </c>
      <c r="P3848" s="1" t="s">
        <v>4023</v>
      </c>
      <c r="Q3848" s="3">
        <v>0</v>
      </c>
      <c r="R3848" s="22" t="s">
        <v>2764</v>
      </c>
      <c r="S3848" s="22" t="s">
        <v>5097</v>
      </c>
      <c r="T3848" s="51">
        <v>32</v>
      </c>
      <c r="U3848" s="3" t="s">
        <v>6111</v>
      </c>
      <c r="V3848" s="41" t="str">
        <f>HYPERLINK("http://ictvonline.org/taxonomy/p/taxonomy-history?taxnode_id=20184117","ICTVonline=20184117")</f>
        <v>ICTVonline=20184117</v>
      </c>
    </row>
    <row r="3849" spans="1:22">
      <c r="A3849" s="3">
        <v>3848</v>
      </c>
      <c r="L3849" s="1" t="s">
        <v>832</v>
      </c>
      <c r="M3849" s="1" t="s">
        <v>6110</v>
      </c>
      <c r="N3849" s="1" t="s">
        <v>181</v>
      </c>
      <c r="P3849" s="1" t="s">
        <v>6122</v>
      </c>
      <c r="Q3849" s="3">
        <v>0</v>
      </c>
      <c r="R3849" s="22" t="s">
        <v>2764</v>
      </c>
      <c r="S3849" s="22" t="s">
        <v>5097</v>
      </c>
      <c r="T3849" s="51">
        <v>32</v>
      </c>
      <c r="U3849" s="3" t="s">
        <v>6111</v>
      </c>
      <c r="V3849" s="41" t="str">
        <f>HYPERLINK("http://ictvonline.org/taxonomy/p/taxonomy-history?taxnode_id=20185874","ICTVonline=20185874")</f>
        <v>ICTVonline=20185874</v>
      </c>
    </row>
    <row r="3850" spans="1:22">
      <c r="A3850" s="3">
        <v>3849</v>
      </c>
      <c r="L3850" s="1" t="s">
        <v>832</v>
      </c>
      <c r="M3850" s="1" t="s">
        <v>6110</v>
      </c>
      <c r="N3850" s="1" t="s">
        <v>1152</v>
      </c>
      <c r="P3850" s="1" t="s">
        <v>183</v>
      </c>
      <c r="Q3850" s="3">
        <v>1</v>
      </c>
      <c r="R3850" s="22" t="s">
        <v>2764</v>
      </c>
      <c r="S3850" s="22" t="s">
        <v>5097</v>
      </c>
      <c r="T3850" s="51">
        <v>32</v>
      </c>
      <c r="U3850" s="3" t="s">
        <v>6111</v>
      </c>
      <c r="V3850" s="41" t="str">
        <f>HYPERLINK("http://ictvonline.org/taxonomy/p/taxonomy-history?taxnode_id=20184119","ICTVonline=20184119")</f>
        <v>ICTVonline=20184119</v>
      </c>
    </row>
    <row r="3851" spans="1:22">
      <c r="A3851" s="3">
        <v>3850</v>
      </c>
      <c r="L3851" s="1" t="s">
        <v>832</v>
      </c>
      <c r="M3851" s="1" t="s">
        <v>6110</v>
      </c>
      <c r="N3851" s="1" t="s">
        <v>4024</v>
      </c>
      <c r="P3851" s="1" t="s">
        <v>4025</v>
      </c>
      <c r="Q3851" s="3">
        <v>1</v>
      </c>
      <c r="R3851" s="22" t="s">
        <v>2764</v>
      </c>
      <c r="S3851" s="22" t="s">
        <v>5097</v>
      </c>
      <c r="T3851" s="51">
        <v>32</v>
      </c>
      <c r="U3851" s="3" t="s">
        <v>6111</v>
      </c>
      <c r="V3851" s="41" t="str">
        <f>HYPERLINK("http://ictvonline.org/taxonomy/p/taxonomy-history?taxnode_id=20184121","ICTVonline=20184121")</f>
        <v>ICTVonline=20184121</v>
      </c>
    </row>
    <row r="3852" spans="1:22">
      <c r="A3852" s="3">
        <v>3851</v>
      </c>
      <c r="L3852" s="1" t="s">
        <v>832</v>
      </c>
      <c r="M3852" s="1" t="s">
        <v>6110</v>
      </c>
      <c r="N3852" s="1" t="s">
        <v>4026</v>
      </c>
      <c r="P3852" s="1" t="s">
        <v>4027</v>
      </c>
      <c r="Q3852" s="3">
        <v>1</v>
      </c>
      <c r="R3852" s="22" t="s">
        <v>2764</v>
      </c>
      <c r="S3852" s="22" t="s">
        <v>5097</v>
      </c>
      <c r="T3852" s="51">
        <v>32</v>
      </c>
      <c r="U3852" s="3" t="s">
        <v>6111</v>
      </c>
      <c r="V3852" s="41" t="str">
        <f>HYPERLINK("http://ictvonline.org/taxonomy/p/taxonomy-history?taxnode_id=20184123","ICTVonline=20184123")</f>
        <v>ICTVonline=20184123</v>
      </c>
    </row>
    <row r="3853" spans="1:22">
      <c r="A3853" s="3">
        <v>3852</v>
      </c>
      <c r="L3853" s="1" t="s">
        <v>832</v>
      </c>
      <c r="M3853" s="1" t="s">
        <v>6110</v>
      </c>
      <c r="N3853" s="1" t="s">
        <v>4028</v>
      </c>
      <c r="P3853" s="1" t="s">
        <v>4029</v>
      </c>
      <c r="Q3853" s="3">
        <v>1</v>
      </c>
      <c r="R3853" s="22" t="s">
        <v>2764</v>
      </c>
      <c r="S3853" s="22" t="s">
        <v>5097</v>
      </c>
      <c r="T3853" s="51">
        <v>32</v>
      </c>
      <c r="U3853" s="3" t="s">
        <v>6111</v>
      </c>
      <c r="V3853" s="41" t="str">
        <f>HYPERLINK("http://ictvonline.org/taxonomy/p/taxonomy-history?taxnode_id=20184125","ICTVonline=20184125")</f>
        <v>ICTVonline=20184125</v>
      </c>
    </row>
    <row r="3854" spans="1:22">
      <c r="A3854" s="3">
        <v>3853</v>
      </c>
      <c r="L3854" s="1" t="s">
        <v>832</v>
      </c>
      <c r="M3854" s="1" t="s">
        <v>6110</v>
      </c>
      <c r="N3854" s="1" t="s">
        <v>6123</v>
      </c>
      <c r="P3854" s="1" t="s">
        <v>6124</v>
      </c>
      <c r="Q3854" s="3">
        <v>1</v>
      </c>
      <c r="R3854" s="22" t="s">
        <v>2764</v>
      </c>
      <c r="S3854" s="22" t="s">
        <v>5097</v>
      </c>
      <c r="T3854" s="51">
        <v>32</v>
      </c>
      <c r="U3854" s="3" t="s">
        <v>6111</v>
      </c>
      <c r="V3854" s="41" t="str">
        <f>HYPERLINK("http://ictvonline.org/taxonomy/p/taxonomy-history?taxnode_id=20185875","ICTVonline=20185875")</f>
        <v>ICTVonline=20185875</v>
      </c>
    </row>
    <row r="3855" spans="1:22">
      <c r="A3855" s="3">
        <v>3854</v>
      </c>
      <c r="L3855" s="1" t="s">
        <v>832</v>
      </c>
      <c r="M3855" s="1" t="s">
        <v>6110</v>
      </c>
      <c r="N3855" s="1" t="s">
        <v>6125</v>
      </c>
      <c r="P3855" s="1" t="s">
        <v>6126</v>
      </c>
      <c r="Q3855" s="3">
        <v>1</v>
      </c>
      <c r="R3855" s="22" t="s">
        <v>2764</v>
      </c>
      <c r="S3855" s="22" t="s">
        <v>5097</v>
      </c>
      <c r="T3855" s="51">
        <v>32</v>
      </c>
      <c r="U3855" s="3" t="s">
        <v>6111</v>
      </c>
      <c r="V3855" s="41" t="str">
        <f>HYPERLINK("http://ictvonline.org/taxonomy/p/taxonomy-history?taxnode_id=20185877","ICTVonline=20185877")</f>
        <v>ICTVonline=20185877</v>
      </c>
    </row>
    <row r="3856" spans="1:22">
      <c r="A3856" s="3">
        <v>3855</v>
      </c>
      <c r="L3856" s="1" t="s">
        <v>832</v>
      </c>
      <c r="M3856" s="1" t="s">
        <v>6110</v>
      </c>
      <c r="N3856" s="1" t="s">
        <v>6127</v>
      </c>
      <c r="P3856" s="1" t="s">
        <v>6128</v>
      </c>
      <c r="Q3856" s="3">
        <v>1</v>
      </c>
      <c r="R3856" s="22" t="s">
        <v>2764</v>
      </c>
      <c r="S3856" s="22" t="s">
        <v>5097</v>
      </c>
      <c r="T3856" s="51">
        <v>32</v>
      </c>
      <c r="U3856" s="3" t="s">
        <v>6111</v>
      </c>
      <c r="V3856" s="41" t="str">
        <f>HYPERLINK("http://ictvonline.org/taxonomy/p/taxonomy-history?taxnode_id=20185879","ICTVonline=20185879")</f>
        <v>ICTVonline=20185879</v>
      </c>
    </row>
    <row r="3857" spans="1:22">
      <c r="A3857" s="3">
        <v>3856</v>
      </c>
      <c r="L3857" s="1" t="s">
        <v>832</v>
      </c>
      <c r="M3857" s="1" t="s">
        <v>6110</v>
      </c>
      <c r="N3857" s="1" t="s">
        <v>4030</v>
      </c>
      <c r="P3857" s="1" t="s">
        <v>4031</v>
      </c>
      <c r="Q3857" s="3">
        <v>1</v>
      </c>
      <c r="R3857" s="22" t="s">
        <v>2764</v>
      </c>
      <c r="S3857" s="22" t="s">
        <v>5097</v>
      </c>
      <c r="T3857" s="51">
        <v>32</v>
      </c>
      <c r="U3857" s="3" t="s">
        <v>6111</v>
      </c>
      <c r="V3857" s="41" t="str">
        <f>HYPERLINK("http://ictvonline.org/taxonomy/p/taxonomy-history?taxnode_id=20184127","ICTVonline=20184127")</f>
        <v>ICTVonline=20184127</v>
      </c>
    </row>
    <row r="3858" spans="1:22">
      <c r="A3858" s="3">
        <v>3857</v>
      </c>
      <c r="L3858" s="1" t="s">
        <v>832</v>
      </c>
      <c r="M3858" s="1" t="s">
        <v>6110</v>
      </c>
      <c r="N3858" s="1" t="s">
        <v>184</v>
      </c>
      <c r="P3858" s="1" t="s">
        <v>185</v>
      </c>
      <c r="Q3858" s="3">
        <v>1</v>
      </c>
      <c r="R3858" s="22" t="s">
        <v>2764</v>
      </c>
      <c r="S3858" s="22" t="s">
        <v>5097</v>
      </c>
      <c r="T3858" s="51">
        <v>32</v>
      </c>
      <c r="U3858" s="3" t="s">
        <v>6111</v>
      </c>
      <c r="V3858" s="41" t="str">
        <f>HYPERLINK("http://ictvonline.org/taxonomy/p/taxonomy-history?taxnode_id=20184129","ICTVonline=20184129")</f>
        <v>ICTVonline=20184129</v>
      </c>
    </row>
    <row r="3859" spans="1:22">
      <c r="A3859" s="3">
        <v>3858</v>
      </c>
      <c r="L3859" s="1" t="s">
        <v>832</v>
      </c>
      <c r="M3859" s="1" t="s">
        <v>6110</v>
      </c>
      <c r="N3859" s="1" t="s">
        <v>184</v>
      </c>
      <c r="P3859" s="1" t="s">
        <v>186</v>
      </c>
      <c r="Q3859" s="3">
        <v>0</v>
      </c>
      <c r="R3859" s="22" t="s">
        <v>2764</v>
      </c>
      <c r="S3859" s="22" t="s">
        <v>5097</v>
      </c>
      <c r="T3859" s="51">
        <v>32</v>
      </c>
      <c r="U3859" s="3" t="s">
        <v>6111</v>
      </c>
      <c r="V3859" s="41" t="str">
        <f>HYPERLINK("http://ictvonline.org/taxonomy/p/taxonomy-history?taxnode_id=20184130","ICTVonline=20184130")</f>
        <v>ICTVonline=20184130</v>
      </c>
    </row>
    <row r="3860" spans="1:22">
      <c r="A3860" s="3">
        <v>3859</v>
      </c>
      <c r="L3860" s="1" t="s">
        <v>832</v>
      </c>
      <c r="M3860" s="1" t="s">
        <v>6110</v>
      </c>
      <c r="N3860" s="1" t="s">
        <v>184</v>
      </c>
      <c r="P3860" s="1" t="s">
        <v>2533</v>
      </c>
      <c r="Q3860" s="3">
        <v>0</v>
      </c>
      <c r="R3860" s="22" t="s">
        <v>2764</v>
      </c>
      <c r="S3860" s="22" t="s">
        <v>5097</v>
      </c>
      <c r="T3860" s="51">
        <v>32</v>
      </c>
      <c r="U3860" s="3" t="s">
        <v>6111</v>
      </c>
      <c r="V3860" s="41" t="str">
        <f>HYPERLINK("http://ictvonline.org/taxonomy/p/taxonomy-history?taxnode_id=20184131","ICTVonline=20184131")</f>
        <v>ICTVonline=20184131</v>
      </c>
    </row>
    <row r="3861" spans="1:22">
      <c r="A3861" s="3">
        <v>3860</v>
      </c>
      <c r="L3861" s="1" t="s">
        <v>832</v>
      </c>
      <c r="M3861" s="1" t="s">
        <v>6110</v>
      </c>
      <c r="N3861" s="1" t="s">
        <v>1676</v>
      </c>
      <c r="P3861" s="1" t="s">
        <v>187</v>
      </c>
      <c r="Q3861" s="3">
        <v>1</v>
      </c>
      <c r="R3861" s="22" t="s">
        <v>2764</v>
      </c>
      <c r="S3861" s="22" t="s">
        <v>5097</v>
      </c>
      <c r="T3861" s="51">
        <v>32</v>
      </c>
      <c r="U3861" s="3" t="s">
        <v>6111</v>
      </c>
      <c r="V3861" s="41" t="str">
        <f>HYPERLINK("http://ictvonline.org/taxonomy/p/taxonomy-history?taxnode_id=20184133","ICTVonline=20184133")</f>
        <v>ICTVonline=20184133</v>
      </c>
    </row>
    <row r="3862" spans="1:22">
      <c r="A3862" s="3">
        <v>3861</v>
      </c>
      <c r="L3862" s="1" t="s">
        <v>832</v>
      </c>
      <c r="M3862" s="1" t="s">
        <v>6110</v>
      </c>
      <c r="N3862" s="1" t="s">
        <v>1676</v>
      </c>
      <c r="P3862" s="1" t="s">
        <v>2534</v>
      </c>
      <c r="Q3862" s="3">
        <v>0</v>
      </c>
      <c r="R3862" s="22" t="s">
        <v>2764</v>
      </c>
      <c r="S3862" s="22" t="s">
        <v>5097</v>
      </c>
      <c r="T3862" s="51">
        <v>32</v>
      </c>
      <c r="U3862" s="3" t="s">
        <v>6111</v>
      </c>
      <c r="V3862" s="41" t="str">
        <f>HYPERLINK("http://ictvonline.org/taxonomy/p/taxonomy-history?taxnode_id=20184134","ICTVonline=20184134")</f>
        <v>ICTVonline=20184134</v>
      </c>
    </row>
    <row r="3863" spans="1:22">
      <c r="A3863" s="3">
        <v>3862</v>
      </c>
      <c r="L3863" s="1" t="s">
        <v>832</v>
      </c>
      <c r="M3863" s="1" t="s">
        <v>6110</v>
      </c>
      <c r="N3863" s="1" t="s">
        <v>1676</v>
      </c>
      <c r="P3863" s="1" t="s">
        <v>4032</v>
      </c>
      <c r="Q3863" s="3">
        <v>0</v>
      </c>
      <c r="R3863" s="22" t="s">
        <v>2764</v>
      </c>
      <c r="S3863" s="22" t="s">
        <v>5097</v>
      </c>
      <c r="T3863" s="51">
        <v>32</v>
      </c>
      <c r="U3863" s="3" t="s">
        <v>6111</v>
      </c>
      <c r="V3863" s="41" t="str">
        <f>HYPERLINK("http://ictvonline.org/taxonomy/p/taxonomy-history?taxnode_id=20184135","ICTVonline=20184135")</f>
        <v>ICTVonline=20184135</v>
      </c>
    </row>
    <row r="3864" spans="1:22">
      <c r="A3864" s="3">
        <v>3863</v>
      </c>
      <c r="L3864" s="1" t="s">
        <v>832</v>
      </c>
      <c r="M3864" s="1" t="s">
        <v>6110</v>
      </c>
      <c r="N3864" s="1" t="s">
        <v>1676</v>
      </c>
      <c r="P3864" s="1" t="s">
        <v>6129</v>
      </c>
      <c r="Q3864" s="3">
        <v>0</v>
      </c>
      <c r="R3864" s="22" t="s">
        <v>2764</v>
      </c>
      <c r="S3864" s="22" t="s">
        <v>5097</v>
      </c>
      <c r="T3864" s="51">
        <v>32</v>
      </c>
      <c r="U3864" s="3" t="s">
        <v>6111</v>
      </c>
      <c r="V3864" s="41" t="str">
        <f>HYPERLINK("http://ictvonline.org/taxonomy/p/taxonomy-history?taxnode_id=20185881","ICTVonline=20185881")</f>
        <v>ICTVonline=20185881</v>
      </c>
    </row>
    <row r="3865" spans="1:22">
      <c r="A3865" s="3">
        <v>3864</v>
      </c>
      <c r="L3865" s="1" t="s">
        <v>832</v>
      </c>
      <c r="M3865" s="1" t="s">
        <v>6110</v>
      </c>
      <c r="N3865" s="1" t="s">
        <v>1676</v>
      </c>
      <c r="P3865" s="1" t="s">
        <v>6130</v>
      </c>
      <c r="Q3865" s="3">
        <v>0</v>
      </c>
      <c r="R3865" s="22" t="s">
        <v>2764</v>
      </c>
      <c r="S3865" s="22" t="s">
        <v>5097</v>
      </c>
      <c r="T3865" s="51">
        <v>32</v>
      </c>
      <c r="U3865" s="3" t="s">
        <v>6111</v>
      </c>
      <c r="V3865" s="41" t="str">
        <f>HYPERLINK("http://ictvonline.org/taxonomy/p/taxonomy-history?taxnode_id=20185882","ICTVonline=20185882")</f>
        <v>ICTVonline=20185882</v>
      </c>
    </row>
    <row r="3866" spans="1:22">
      <c r="A3866" s="3">
        <v>3865</v>
      </c>
      <c r="L3866" s="1" t="s">
        <v>832</v>
      </c>
      <c r="M3866" s="1" t="s">
        <v>6110</v>
      </c>
      <c r="N3866" s="1" t="s">
        <v>1677</v>
      </c>
      <c r="P3866" s="1" t="s">
        <v>188</v>
      </c>
      <c r="Q3866" s="3">
        <v>1</v>
      </c>
      <c r="R3866" s="22" t="s">
        <v>2764</v>
      </c>
      <c r="S3866" s="22" t="s">
        <v>5097</v>
      </c>
      <c r="T3866" s="51">
        <v>32</v>
      </c>
      <c r="U3866" s="3" t="s">
        <v>6111</v>
      </c>
      <c r="V3866" s="41" t="str">
        <f>HYPERLINK("http://ictvonline.org/taxonomy/p/taxonomy-history?taxnode_id=20184137","ICTVonline=20184137")</f>
        <v>ICTVonline=20184137</v>
      </c>
    </row>
    <row r="3867" spans="1:22">
      <c r="A3867" s="3">
        <v>3866</v>
      </c>
      <c r="L3867" s="1" t="s">
        <v>832</v>
      </c>
      <c r="M3867" s="1" t="s">
        <v>6131</v>
      </c>
      <c r="N3867" s="1" t="s">
        <v>6132</v>
      </c>
      <c r="P3867" s="1" t="s">
        <v>6133</v>
      </c>
      <c r="Q3867" s="3">
        <v>1</v>
      </c>
      <c r="R3867" s="22" t="s">
        <v>2764</v>
      </c>
      <c r="S3867" s="22" t="s">
        <v>5097</v>
      </c>
      <c r="T3867" s="51">
        <v>32</v>
      </c>
      <c r="U3867" s="3" t="s">
        <v>6111</v>
      </c>
      <c r="V3867" s="41" t="str">
        <f>HYPERLINK("http://ictvonline.org/taxonomy/p/taxonomy-history?taxnode_id=20185884","ICTVonline=20185884")</f>
        <v>ICTVonline=20185884</v>
      </c>
    </row>
    <row r="3868" spans="1:22">
      <c r="A3868" s="3">
        <v>3867</v>
      </c>
      <c r="L3868" s="1" t="s">
        <v>1678</v>
      </c>
      <c r="N3868" s="1" t="s">
        <v>2535</v>
      </c>
      <c r="P3868" s="1" t="s">
        <v>955</v>
      </c>
      <c r="Q3868" s="3">
        <v>0</v>
      </c>
      <c r="R3868" s="22" t="s">
        <v>2768</v>
      </c>
      <c r="S3868" s="22" t="s">
        <v>5099</v>
      </c>
      <c r="T3868" s="51">
        <v>28</v>
      </c>
      <c r="U3868" s="3" t="s">
        <v>6134</v>
      </c>
      <c r="V3868" s="41" t="str">
        <f>HYPERLINK("http://ictvonline.org/taxonomy/p/taxonomy-history?taxnode_id=20184141","ICTVonline=20184141")</f>
        <v>ICTVonline=20184141</v>
      </c>
    </row>
    <row r="3869" spans="1:22">
      <c r="A3869" s="3">
        <v>3868</v>
      </c>
      <c r="L3869" s="1" t="s">
        <v>1678</v>
      </c>
      <c r="N3869" s="1" t="s">
        <v>2535</v>
      </c>
      <c r="P3869" s="1" t="s">
        <v>2536</v>
      </c>
      <c r="Q3869" s="3">
        <v>0</v>
      </c>
      <c r="R3869" s="22" t="s">
        <v>2768</v>
      </c>
      <c r="S3869" s="22" t="s">
        <v>5097</v>
      </c>
      <c r="T3869" s="51">
        <v>28</v>
      </c>
      <c r="U3869" s="3" t="s">
        <v>6134</v>
      </c>
      <c r="V3869" s="41" t="str">
        <f>HYPERLINK("http://ictvonline.org/taxonomy/p/taxonomy-history?taxnode_id=20184142","ICTVonline=20184142")</f>
        <v>ICTVonline=20184142</v>
      </c>
    </row>
    <row r="3870" spans="1:22">
      <c r="A3870" s="3">
        <v>3869</v>
      </c>
      <c r="L3870" s="1" t="s">
        <v>1678</v>
      </c>
      <c r="N3870" s="1" t="s">
        <v>2535</v>
      </c>
      <c r="P3870" s="1" t="s">
        <v>2537</v>
      </c>
      <c r="Q3870" s="3">
        <v>0</v>
      </c>
      <c r="R3870" s="22" t="s">
        <v>2768</v>
      </c>
      <c r="S3870" s="22" t="s">
        <v>5097</v>
      </c>
      <c r="T3870" s="51">
        <v>28</v>
      </c>
      <c r="U3870" s="3" t="s">
        <v>6134</v>
      </c>
      <c r="V3870" s="41" t="str">
        <f>HYPERLINK("http://ictvonline.org/taxonomy/p/taxonomy-history?taxnode_id=20184143","ICTVonline=20184143")</f>
        <v>ICTVonline=20184143</v>
      </c>
    </row>
    <row r="3871" spans="1:22">
      <c r="A3871" s="3">
        <v>3870</v>
      </c>
      <c r="L3871" s="1" t="s">
        <v>1678</v>
      </c>
      <c r="N3871" s="1" t="s">
        <v>2535</v>
      </c>
      <c r="P3871" s="1" t="s">
        <v>2538</v>
      </c>
      <c r="Q3871" s="3">
        <v>0</v>
      </c>
      <c r="R3871" s="22" t="s">
        <v>2768</v>
      </c>
      <c r="S3871" s="22" t="s">
        <v>5097</v>
      </c>
      <c r="T3871" s="51">
        <v>28</v>
      </c>
      <c r="U3871" s="3" t="s">
        <v>6134</v>
      </c>
      <c r="V3871" s="41" t="str">
        <f>HYPERLINK("http://ictvonline.org/taxonomy/p/taxonomy-history?taxnode_id=20184144","ICTVonline=20184144")</f>
        <v>ICTVonline=20184144</v>
      </c>
    </row>
    <row r="3872" spans="1:22">
      <c r="A3872" s="3">
        <v>3871</v>
      </c>
      <c r="L3872" s="1" t="s">
        <v>1678</v>
      </c>
      <c r="N3872" s="1" t="s">
        <v>2535</v>
      </c>
      <c r="P3872" s="1" t="s">
        <v>2539</v>
      </c>
      <c r="Q3872" s="3">
        <v>0</v>
      </c>
      <c r="R3872" s="22" t="s">
        <v>2768</v>
      </c>
      <c r="S3872" s="22" t="s">
        <v>5097</v>
      </c>
      <c r="T3872" s="51">
        <v>28</v>
      </c>
      <c r="U3872" s="3" t="s">
        <v>6134</v>
      </c>
      <c r="V3872" s="41" t="str">
        <f>HYPERLINK("http://ictvonline.org/taxonomy/p/taxonomy-history?taxnode_id=20184145","ICTVonline=20184145")</f>
        <v>ICTVonline=20184145</v>
      </c>
    </row>
    <row r="3873" spans="1:22">
      <c r="A3873" s="3">
        <v>3872</v>
      </c>
      <c r="L3873" s="1" t="s">
        <v>1678</v>
      </c>
      <c r="N3873" s="1" t="s">
        <v>2535</v>
      </c>
      <c r="P3873" s="1" t="s">
        <v>2706</v>
      </c>
      <c r="Q3873" s="3">
        <v>0</v>
      </c>
      <c r="R3873" s="22" t="s">
        <v>2768</v>
      </c>
      <c r="S3873" s="22" t="s">
        <v>5098</v>
      </c>
      <c r="T3873" s="51">
        <v>28</v>
      </c>
      <c r="U3873" s="3" t="s">
        <v>6134</v>
      </c>
      <c r="V3873" s="41" t="str">
        <f>HYPERLINK("http://ictvonline.org/taxonomy/p/taxonomy-history?taxnode_id=20184146","ICTVonline=20184146")</f>
        <v>ICTVonline=20184146</v>
      </c>
    </row>
    <row r="3874" spans="1:22">
      <c r="A3874" s="3">
        <v>3873</v>
      </c>
      <c r="L3874" s="1" t="s">
        <v>1678</v>
      </c>
      <c r="N3874" s="1" t="s">
        <v>2535</v>
      </c>
      <c r="P3874" s="1" t="s">
        <v>2707</v>
      </c>
      <c r="Q3874" s="3">
        <v>0</v>
      </c>
      <c r="R3874" s="22" t="s">
        <v>2768</v>
      </c>
      <c r="S3874" s="22" t="s">
        <v>5097</v>
      </c>
      <c r="T3874" s="51">
        <v>28</v>
      </c>
      <c r="U3874" s="3" t="s">
        <v>6134</v>
      </c>
      <c r="V3874" s="41" t="str">
        <f>HYPERLINK("http://ictvonline.org/taxonomy/p/taxonomy-history?taxnode_id=20184147","ICTVonline=20184147")</f>
        <v>ICTVonline=20184147</v>
      </c>
    </row>
    <row r="3875" spans="1:22">
      <c r="A3875" s="3">
        <v>3874</v>
      </c>
      <c r="L3875" s="1" t="s">
        <v>1678</v>
      </c>
      <c r="N3875" s="1" t="s">
        <v>2535</v>
      </c>
      <c r="P3875" s="1" t="s">
        <v>2708</v>
      </c>
      <c r="Q3875" s="3">
        <v>0</v>
      </c>
      <c r="R3875" s="22" t="s">
        <v>2768</v>
      </c>
      <c r="S3875" s="22" t="s">
        <v>5097</v>
      </c>
      <c r="T3875" s="51">
        <v>28</v>
      </c>
      <c r="U3875" s="3" t="s">
        <v>6134</v>
      </c>
      <c r="V3875" s="41" t="str">
        <f>HYPERLINK("http://ictvonline.org/taxonomy/p/taxonomy-history?taxnode_id=20184148","ICTVonline=20184148")</f>
        <v>ICTVonline=20184148</v>
      </c>
    </row>
    <row r="3876" spans="1:22">
      <c r="A3876" s="3">
        <v>3875</v>
      </c>
      <c r="L3876" s="1" t="s">
        <v>1678</v>
      </c>
      <c r="N3876" s="1" t="s">
        <v>2535</v>
      </c>
      <c r="P3876" s="1" t="s">
        <v>4033</v>
      </c>
      <c r="Q3876" s="3">
        <v>0</v>
      </c>
      <c r="R3876" s="22" t="s">
        <v>2768</v>
      </c>
      <c r="S3876" s="22" t="s">
        <v>5097</v>
      </c>
      <c r="T3876" s="51">
        <v>30</v>
      </c>
      <c r="U3876" s="3" t="s">
        <v>6135</v>
      </c>
      <c r="V3876" s="41" t="str">
        <f>HYPERLINK("http://ictvonline.org/taxonomy/p/taxonomy-history?taxnode_id=20184149","ICTVonline=20184149")</f>
        <v>ICTVonline=20184149</v>
      </c>
    </row>
    <row r="3877" spans="1:22">
      <c r="A3877" s="3">
        <v>3876</v>
      </c>
      <c r="L3877" s="1" t="s">
        <v>1678</v>
      </c>
      <c r="N3877" s="1" t="s">
        <v>2535</v>
      </c>
      <c r="P3877" s="1" t="s">
        <v>4034</v>
      </c>
      <c r="Q3877" s="3">
        <v>0</v>
      </c>
      <c r="R3877" s="22" t="s">
        <v>2768</v>
      </c>
      <c r="S3877" s="22" t="s">
        <v>5097</v>
      </c>
      <c r="T3877" s="51">
        <v>30</v>
      </c>
      <c r="U3877" s="3" t="s">
        <v>6135</v>
      </c>
      <c r="V3877" s="41" t="str">
        <f>HYPERLINK("http://ictvonline.org/taxonomy/p/taxonomy-history?taxnode_id=20184150","ICTVonline=20184150")</f>
        <v>ICTVonline=20184150</v>
      </c>
    </row>
    <row r="3878" spans="1:22">
      <c r="A3878" s="3">
        <v>3877</v>
      </c>
      <c r="L3878" s="1" t="s">
        <v>1678</v>
      </c>
      <c r="N3878" s="1" t="s">
        <v>2535</v>
      </c>
      <c r="P3878" s="1" t="s">
        <v>4035</v>
      </c>
      <c r="Q3878" s="3">
        <v>0</v>
      </c>
      <c r="R3878" s="22" t="s">
        <v>2768</v>
      </c>
      <c r="S3878" s="22" t="s">
        <v>5097</v>
      </c>
      <c r="T3878" s="51">
        <v>30</v>
      </c>
      <c r="U3878" s="3" t="s">
        <v>6135</v>
      </c>
      <c r="V3878" s="41" t="str">
        <f>HYPERLINK("http://ictvonline.org/taxonomy/p/taxonomy-history?taxnode_id=20184151","ICTVonline=20184151")</f>
        <v>ICTVonline=20184151</v>
      </c>
    </row>
    <row r="3879" spans="1:22">
      <c r="A3879" s="3">
        <v>3878</v>
      </c>
      <c r="L3879" s="1" t="s">
        <v>1678</v>
      </c>
      <c r="N3879" s="1" t="s">
        <v>2535</v>
      </c>
      <c r="P3879" s="1" t="s">
        <v>2540</v>
      </c>
      <c r="Q3879" s="3">
        <v>0</v>
      </c>
      <c r="R3879" s="22" t="s">
        <v>2768</v>
      </c>
      <c r="S3879" s="22" t="s">
        <v>5097</v>
      </c>
      <c r="T3879" s="51">
        <v>28</v>
      </c>
      <c r="U3879" s="3" t="s">
        <v>6134</v>
      </c>
      <c r="V3879" s="41" t="str">
        <f>HYPERLINK("http://ictvonline.org/taxonomy/p/taxonomy-history?taxnode_id=20184152","ICTVonline=20184152")</f>
        <v>ICTVonline=20184152</v>
      </c>
    </row>
    <row r="3880" spans="1:22">
      <c r="A3880" s="3">
        <v>3879</v>
      </c>
      <c r="L3880" s="1" t="s">
        <v>1678</v>
      </c>
      <c r="N3880" s="1" t="s">
        <v>2535</v>
      </c>
      <c r="P3880" s="1" t="s">
        <v>884</v>
      </c>
      <c r="Q3880" s="3">
        <v>0</v>
      </c>
      <c r="R3880" s="22" t="s">
        <v>2768</v>
      </c>
      <c r="S3880" s="22" t="s">
        <v>5099</v>
      </c>
      <c r="T3880" s="51">
        <v>28</v>
      </c>
      <c r="U3880" s="3" t="s">
        <v>6134</v>
      </c>
      <c r="V3880" s="41" t="str">
        <f>HYPERLINK("http://ictvonline.org/taxonomy/p/taxonomy-history?taxnode_id=20184153","ICTVonline=20184153")</f>
        <v>ICTVonline=20184153</v>
      </c>
    </row>
    <row r="3881" spans="1:22">
      <c r="A3881" s="3">
        <v>3880</v>
      </c>
      <c r="L3881" s="1" t="s">
        <v>1678</v>
      </c>
      <c r="N3881" s="1" t="s">
        <v>2535</v>
      </c>
      <c r="P3881" s="1" t="s">
        <v>885</v>
      </c>
      <c r="Q3881" s="3">
        <v>1</v>
      </c>
      <c r="R3881" s="22" t="s">
        <v>2768</v>
      </c>
      <c r="S3881" s="22" t="s">
        <v>5099</v>
      </c>
      <c r="T3881" s="51">
        <v>28</v>
      </c>
      <c r="U3881" s="3" t="s">
        <v>6134</v>
      </c>
      <c r="V3881" s="41" t="str">
        <f>HYPERLINK("http://ictvonline.org/taxonomy/p/taxonomy-history?taxnode_id=20184154","ICTVonline=20184154")</f>
        <v>ICTVonline=20184154</v>
      </c>
    </row>
    <row r="3882" spans="1:22">
      <c r="A3882" s="3">
        <v>3881</v>
      </c>
      <c r="L3882" s="1" t="s">
        <v>1678</v>
      </c>
      <c r="N3882" s="1" t="s">
        <v>2541</v>
      </c>
      <c r="P3882" s="1" t="s">
        <v>1612</v>
      </c>
      <c r="Q3882" s="3">
        <v>1</v>
      </c>
      <c r="R3882" s="22" t="s">
        <v>2768</v>
      </c>
      <c r="S3882" s="22" t="s">
        <v>5099</v>
      </c>
      <c r="T3882" s="51">
        <v>28</v>
      </c>
      <c r="U3882" s="3" t="s">
        <v>6134</v>
      </c>
      <c r="V3882" s="41" t="str">
        <f>HYPERLINK("http://ictvonline.org/taxonomy/p/taxonomy-history?taxnode_id=20184156","ICTVonline=20184156")</f>
        <v>ICTVonline=20184156</v>
      </c>
    </row>
    <row r="3883" spans="1:22">
      <c r="A3883" s="3">
        <v>3882</v>
      </c>
      <c r="L3883" s="1" t="s">
        <v>1678</v>
      </c>
      <c r="N3883" s="1" t="s">
        <v>2541</v>
      </c>
      <c r="P3883" s="1" t="s">
        <v>2542</v>
      </c>
      <c r="Q3883" s="3">
        <v>0</v>
      </c>
      <c r="R3883" s="22" t="s">
        <v>2768</v>
      </c>
      <c r="S3883" s="22" t="s">
        <v>5097</v>
      </c>
      <c r="T3883" s="51">
        <v>28</v>
      </c>
      <c r="U3883" s="3" t="s">
        <v>6134</v>
      </c>
      <c r="V3883" s="41" t="str">
        <f>HYPERLINK("http://ictvonline.org/taxonomy/p/taxonomy-history?taxnode_id=20184157","ICTVonline=20184157")</f>
        <v>ICTVonline=20184157</v>
      </c>
    </row>
    <row r="3884" spans="1:22">
      <c r="A3884" s="3">
        <v>3883</v>
      </c>
      <c r="L3884" s="1" t="s">
        <v>1678</v>
      </c>
      <c r="N3884" s="1" t="s">
        <v>2541</v>
      </c>
      <c r="P3884" s="1" t="s">
        <v>783</v>
      </c>
      <c r="Q3884" s="3">
        <v>0</v>
      </c>
      <c r="R3884" s="22" t="s">
        <v>2768</v>
      </c>
      <c r="S3884" s="22" t="s">
        <v>5099</v>
      </c>
      <c r="T3884" s="51">
        <v>28</v>
      </c>
      <c r="U3884" s="3" t="s">
        <v>6134</v>
      </c>
      <c r="V3884" s="41" t="str">
        <f>HYPERLINK("http://ictvonline.org/taxonomy/p/taxonomy-history?taxnode_id=20184158","ICTVonline=20184158")</f>
        <v>ICTVonline=20184158</v>
      </c>
    </row>
    <row r="3885" spans="1:22">
      <c r="A3885" s="3">
        <v>3884</v>
      </c>
      <c r="L3885" s="1" t="s">
        <v>1678</v>
      </c>
      <c r="N3885" s="1" t="s">
        <v>2541</v>
      </c>
      <c r="P3885" s="1" t="s">
        <v>2543</v>
      </c>
      <c r="Q3885" s="3">
        <v>0</v>
      </c>
      <c r="R3885" s="22" t="s">
        <v>2768</v>
      </c>
      <c r="S3885" s="22" t="s">
        <v>5097</v>
      </c>
      <c r="T3885" s="51">
        <v>28</v>
      </c>
      <c r="U3885" s="3" t="s">
        <v>6134</v>
      </c>
      <c r="V3885" s="41" t="str">
        <f>HYPERLINK("http://ictvonline.org/taxonomy/p/taxonomy-history?taxnode_id=20184159","ICTVonline=20184159")</f>
        <v>ICTVonline=20184159</v>
      </c>
    </row>
    <row r="3886" spans="1:22">
      <c r="A3886" s="3">
        <v>3885</v>
      </c>
      <c r="L3886" s="1" t="s">
        <v>1678</v>
      </c>
      <c r="N3886" s="1" t="s">
        <v>2541</v>
      </c>
      <c r="P3886" s="1" t="s">
        <v>2544</v>
      </c>
      <c r="Q3886" s="3">
        <v>0</v>
      </c>
      <c r="R3886" s="22" t="s">
        <v>2768</v>
      </c>
      <c r="S3886" s="22" t="s">
        <v>5097</v>
      </c>
      <c r="T3886" s="51">
        <v>28</v>
      </c>
      <c r="U3886" s="3" t="s">
        <v>6134</v>
      </c>
      <c r="V3886" s="41" t="str">
        <f>HYPERLINK("http://ictvonline.org/taxonomy/p/taxonomy-history?taxnode_id=20184160","ICTVonline=20184160")</f>
        <v>ICTVonline=20184160</v>
      </c>
    </row>
    <row r="3887" spans="1:22">
      <c r="A3887" s="3">
        <v>3886</v>
      </c>
      <c r="L3887" s="1" t="s">
        <v>1678</v>
      </c>
      <c r="N3887" s="1" t="s">
        <v>2541</v>
      </c>
      <c r="P3887" s="1" t="s">
        <v>1928</v>
      </c>
      <c r="Q3887" s="3">
        <v>0</v>
      </c>
      <c r="R3887" s="22" t="s">
        <v>2768</v>
      </c>
      <c r="S3887" s="22" t="s">
        <v>5099</v>
      </c>
      <c r="T3887" s="51">
        <v>28</v>
      </c>
      <c r="U3887" s="3" t="s">
        <v>6134</v>
      </c>
      <c r="V3887" s="41" t="str">
        <f>HYPERLINK("http://ictvonline.org/taxonomy/p/taxonomy-history?taxnode_id=20184161","ICTVonline=20184161")</f>
        <v>ICTVonline=20184161</v>
      </c>
    </row>
    <row r="3888" spans="1:22">
      <c r="A3888" s="3">
        <v>3887</v>
      </c>
      <c r="L3888" s="1" t="s">
        <v>1678</v>
      </c>
      <c r="N3888" s="1" t="s">
        <v>2541</v>
      </c>
      <c r="P3888" s="1" t="s">
        <v>2709</v>
      </c>
      <c r="Q3888" s="3">
        <v>0</v>
      </c>
      <c r="R3888" s="22" t="s">
        <v>2768</v>
      </c>
      <c r="S3888" s="22" t="s">
        <v>5097</v>
      </c>
      <c r="T3888" s="51">
        <v>28</v>
      </c>
      <c r="U3888" s="3" t="s">
        <v>6134</v>
      </c>
      <c r="V3888" s="41" t="str">
        <f>HYPERLINK("http://ictvonline.org/taxonomy/p/taxonomy-history?taxnode_id=20184162","ICTVonline=20184162")</f>
        <v>ICTVonline=20184162</v>
      </c>
    </row>
    <row r="3889" spans="1:22">
      <c r="A3889" s="3">
        <v>3888</v>
      </c>
      <c r="L3889" s="1" t="s">
        <v>1678</v>
      </c>
      <c r="N3889" s="1" t="s">
        <v>2541</v>
      </c>
      <c r="P3889" s="1" t="s">
        <v>4036</v>
      </c>
      <c r="Q3889" s="3">
        <v>0</v>
      </c>
      <c r="R3889" s="22" t="s">
        <v>2768</v>
      </c>
      <c r="S3889" s="22" t="s">
        <v>5097</v>
      </c>
      <c r="T3889" s="51">
        <v>30</v>
      </c>
      <c r="U3889" s="3" t="s">
        <v>6135</v>
      </c>
      <c r="V3889" s="41" t="str">
        <f>HYPERLINK("http://ictvonline.org/taxonomy/p/taxonomy-history?taxnode_id=20184163","ICTVonline=20184163")</f>
        <v>ICTVonline=20184163</v>
      </c>
    </row>
    <row r="3890" spans="1:22">
      <c r="A3890" s="3">
        <v>3889</v>
      </c>
      <c r="L3890" s="1" t="s">
        <v>1678</v>
      </c>
      <c r="N3890" s="1" t="s">
        <v>2541</v>
      </c>
      <c r="P3890" s="1" t="s">
        <v>2710</v>
      </c>
      <c r="Q3890" s="3">
        <v>0</v>
      </c>
      <c r="R3890" s="22" t="s">
        <v>2768</v>
      </c>
      <c r="S3890" s="22" t="s">
        <v>5097</v>
      </c>
      <c r="T3890" s="51">
        <v>28</v>
      </c>
      <c r="U3890" s="3" t="s">
        <v>6134</v>
      </c>
      <c r="V3890" s="41" t="str">
        <f>HYPERLINK("http://ictvonline.org/taxonomy/p/taxonomy-history?taxnode_id=20184164","ICTVonline=20184164")</f>
        <v>ICTVonline=20184164</v>
      </c>
    </row>
    <row r="3891" spans="1:22">
      <c r="A3891" s="3">
        <v>3890</v>
      </c>
      <c r="L3891" s="1" t="s">
        <v>1678</v>
      </c>
      <c r="N3891" s="1" t="s">
        <v>2541</v>
      </c>
      <c r="P3891" s="1" t="s">
        <v>2711</v>
      </c>
      <c r="Q3891" s="3">
        <v>0</v>
      </c>
      <c r="R3891" s="22" t="s">
        <v>2768</v>
      </c>
      <c r="S3891" s="22" t="s">
        <v>5098</v>
      </c>
      <c r="T3891" s="51">
        <v>28</v>
      </c>
      <c r="U3891" s="3" t="s">
        <v>6134</v>
      </c>
      <c r="V3891" s="41" t="str">
        <f>HYPERLINK("http://ictvonline.org/taxonomy/p/taxonomy-history?taxnode_id=20184165","ICTVonline=20184165")</f>
        <v>ICTVonline=20184165</v>
      </c>
    </row>
    <row r="3892" spans="1:22">
      <c r="A3892" s="3">
        <v>3891</v>
      </c>
      <c r="L3892" s="1" t="s">
        <v>1678</v>
      </c>
      <c r="N3892" s="1" t="s">
        <v>2541</v>
      </c>
      <c r="P3892" s="1" t="s">
        <v>616</v>
      </c>
      <c r="Q3892" s="3">
        <v>0</v>
      </c>
      <c r="R3892" s="22" t="s">
        <v>2768</v>
      </c>
      <c r="S3892" s="22" t="s">
        <v>5099</v>
      </c>
      <c r="T3892" s="51">
        <v>28</v>
      </c>
      <c r="U3892" s="3" t="s">
        <v>6134</v>
      </c>
      <c r="V3892" s="41" t="str">
        <f>HYPERLINK("http://ictvonline.org/taxonomy/p/taxonomy-history?taxnode_id=20184166","ICTVonline=20184166")</f>
        <v>ICTVonline=20184166</v>
      </c>
    </row>
    <row r="3893" spans="1:22">
      <c r="A3893" s="3">
        <v>3892</v>
      </c>
      <c r="L3893" s="1" t="s">
        <v>1678</v>
      </c>
      <c r="N3893" s="1" t="s">
        <v>2541</v>
      </c>
      <c r="P3893" s="1" t="s">
        <v>1256</v>
      </c>
      <c r="Q3893" s="3">
        <v>0</v>
      </c>
      <c r="R3893" s="22" t="s">
        <v>2768</v>
      </c>
      <c r="S3893" s="22" t="s">
        <v>5099</v>
      </c>
      <c r="T3893" s="51">
        <v>28</v>
      </c>
      <c r="U3893" s="3" t="s">
        <v>6134</v>
      </c>
      <c r="V3893" s="41" t="str">
        <f>HYPERLINK("http://ictvonline.org/taxonomy/p/taxonomy-history?taxnode_id=20184167","ICTVonline=20184167")</f>
        <v>ICTVonline=20184167</v>
      </c>
    </row>
    <row r="3894" spans="1:22">
      <c r="A3894" s="3">
        <v>3893</v>
      </c>
      <c r="L3894" s="1" t="s">
        <v>1678</v>
      </c>
      <c r="N3894" s="1" t="s">
        <v>2541</v>
      </c>
      <c r="P3894" s="1" t="s">
        <v>2545</v>
      </c>
      <c r="Q3894" s="3">
        <v>0</v>
      </c>
      <c r="R3894" s="22" t="s">
        <v>2768</v>
      </c>
      <c r="S3894" s="22" t="s">
        <v>5097</v>
      </c>
      <c r="T3894" s="51">
        <v>28</v>
      </c>
      <c r="U3894" s="3" t="s">
        <v>6134</v>
      </c>
      <c r="V3894" s="41" t="str">
        <f>HYPERLINK("http://ictvonline.org/taxonomy/p/taxonomy-history?taxnode_id=20184168","ICTVonline=20184168")</f>
        <v>ICTVonline=20184168</v>
      </c>
    </row>
    <row r="3895" spans="1:22">
      <c r="A3895" s="3">
        <v>3894</v>
      </c>
      <c r="L3895" s="1" t="s">
        <v>1678</v>
      </c>
      <c r="N3895" s="1" t="s">
        <v>2541</v>
      </c>
      <c r="P3895" s="1" t="s">
        <v>617</v>
      </c>
      <c r="Q3895" s="3">
        <v>0</v>
      </c>
      <c r="R3895" s="22" t="s">
        <v>2768</v>
      </c>
      <c r="S3895" s="22" t="s">
        <v>5099</v>
      </c>
      <c r="T3895" s="51">
        <v>28</v>
      </c>
      <c r="U3895" s="3" t="s">
        <v>6134</v>
      </c>
      <c r="V3895" s="41" t="str">
        <f>HYPERLINK("http://ictvonline.org/taxonomy/p/taxonomy-history?taxnode_id=20184169","ICTVonline=20184169")</f>
        <v>ICTVonline=20184169</v>
      </c>
    </row>
    <row r="3896" spans="1:22">
      <c r="A3896" s="3">
        <v>3895</v>
      </c>
      <c r="L3896" s="1" t="s">
        <v>1678</v>
      </c>
      <c r="N3896" s="1" t="s">
        <v>2541</v>
      </c>
      <c r="P3896" s="1" t="s">
        <v>894</v>
      </c>
      <c r="Q3896" s="3">
        <v>0</v>
      </c>
      <c r="R3896" s="22" t="s">
        <v>2768</v>
      </c>
      <c r="S3896" s="22" t="s">
        <v>5099</v>
      </c>
      <c r="T3896" s="51">
        <v>28</v>
      </c>
      <c r="U3896" s="3" t="s">
        <v>6134</v>
      </c>
      <c r="V3896" s="41" t="str">
        <f>HYPERLINK("http://ictvonline.org/taxonomy/p/taxonomy-history?taxnode_id=20184170","ICTVonline=20184170")</f>
        <v>ICTVonline=20184170</v>
      </c>
    </row>
    <row r="3897" spans="1:22">
      <c r="A3897" s="3">
        <v>3896</v>
      </c>
      <c r="L3897" s="1" t="s">
        <v>1678</v>
      </c>
      <c r="N3897" s="1" t="s">
        <v>2541</v>
      </c>
      <c r="P3897" s="1" t="s">
        <v>1524</v>
      </c>
      <c r="Q3897" s="3">
        <v>0</v>
      </c>
      <c r="R3897" s="22" t="s">
        <v>2768</v>
      </c>
      <c r="S3897" s="22" t="s">
        <v>5099</v>
      </c>
      <c r="T3897" s="51">
        <v>28</v>
      </c>
      <c r="U3897" s="3" t="s">
        <v>6134</v>
      </c>
      <c r="V3897" s="41" t="str">
        <f>HYPERLINK("http://ictvonline.org/taxonomy/p/taxonomy-history?taxnode_id=20184171","ICTVonline=20184171")</f>
        <v>ICTVonline=20184171</v>
      </c>
    </row>
    <row r="3898" spans="1:22">
      <c r="A3898" s="3">
        <v>3897</v>
      </c>
      <c r="L3898" s="1" t="s">
        <v>1678</v>
      </c>
      <c r="N3898" s="1" t="s">
        <v>2541</v>
      </c>
      <c r="P3898" s="1" t="s">
        <v>618</v>
      </c>
      <c r="Q3898" s="3">
        <v>0</v>
      </c>
      <c r="R3898" s="22" t="s">
        <v>2768</v>
      </c>
      <c r="S3898" s="22" t="s">
        <v>5099</v>
      </c>
      <c r="T3898" s="51">
        <v>28</v>
      </c>
      <c r="U3898" s="3" t="s">
        <v>6134</v>
      </c>
      <c r="V3898" s="41" t="str">
        <f>HYPERLINK("http://ictvonline.org/taxonomy/p/taxonomy-history?taxnode_id=20184172","ICTVonline=20184172")</f>
        <v>ICTVonline=20184172</v>
      </c>
    </row>
    <row r="3899" spans="1:22">
      <c r="A3899" s="3">
        <v>3898</v>
      </c>
      <c r="L3899" s="1" t="s">
        <v>1678</v>
      </c>
      <c r="N3899" s="1" t="s">
        <v>1257</v>
      </c>
      <c r="P3899" s="1" t="s">
        <v>293</v>
      </c>
      <c r="Q3899" s="3">
        <v>1</v>
      </c>
      <c r="R3899" s="22" t="s">
        <v>2768</v>
      </c>
      <c r="S3899" s="22" t="s">
        <v>5102</v>
      </c>
      <c r="T3899" s="51">
        <v>25</v>
      </c>
      <c r="U3899" s="3" t="s">
        <v>6136</v>
      </c>
      <c r="V3899" s="41" t="str">
        <f>HYPERLINK("http://ictvonline.org/taxonomy/p/taxonomy-history?taxnode_id=20184174","ICTVonline=20184174")</f>
        <v>ICTVonline=20184174</v>
      </c>
    </row>
    <row r="3900" spans="1:22">
      <c r="A3900" s="3">
        <v>3899</v>
      </c>
      <c r="L3900" s="1" t="s">
        <v>1678</v>
      </c>
      <c r="N3900" s="1" t="s">
        <v>2546</v>
      </c>
      <c r="P3900" s="1" t="s">
        <v>956</v>
      </c>
      <c r="Q3900" s="3">
        <v>0</v>
      </c>
      <c r="R3900" s="22" t="s">
        <v>2768</v>
      </c>
      <c r="S3900" s="22" t="s">
        <v>5099</v>
      </c>
      <c r="T3900" s="51">
        <v>28</v>
      </c>
      <c r="U3900" s="3" t="s">
        <v>6134</v>
      </c>
      <c r="V3900" s="41" t="str">
        <f>HYPERLINK("http://ictvonline.org/taxonomy/p/taxonomy-history?taxnode_id=20184176","ICTVonline=20184176")</f>
        <v>ICTVonline=20184176</v>
      </c>
    </row>
    <row r="3901" spans="1:22">
      <c r="A3901" s="3">
        <v>3900</v>
      </c>
      <c r="L3901" s="1" t="s">
        <v>1678</v>
      </c>
      <c r="N3901" s="1" t="s">
        <v>2546</v>
      </c>
      <c r="P3901" s="1" t="s">
        <v>957</v>
      </c>
      <c r="Q3901" s="3">
        <v>0</v>
      </c>
      <c r="R3901" s="22" t="s">
        <v>2768</v>
      </c>
      <c r="S3901" s="22" t="s">
        <v>5099</v>
      </c>
      <c r="T3901" s="51">
        <v>28</v>
      </c>
      <c r="U3901" s="3" t="s">
        <v>6134</v>
      </c>
      <c r="V3901" s="41" t="str">
        <f>HYPERLINK("http://ictvonline.org/taxonomy/p/taxonomy-history?taxnode_id=20184177","ICTVonline=20184177")</f>
        <v>ICTVonline=20184177</v>
      </c>
    </row>
    <row r="3902" spans="1:22">
      <c r="A3902" s="3">
        <v>3901</v>
      </c>
      <c r="L3902" s="1" t="s">
        <v>1678</v>
      </c>
      <c r="N3902" s="1" t="s">
        <v>2546</v>
      </c>
      <c r="P3902" s="1" t="s">
        <v>2547</v>
      </c>
      <c r="Q3902" s="3">
        <v>0</v>
      </c>
      <c r="R3902" s="22" t="s">
        <v>2768</v>
      </c>
      <c r="S3902" s="22" t="s">
        <v>5097</v>
      </c>
      <c r="T3902" s="51">
        <v>28</v>
      </c>
      <c r="U3902" s="3" t="s">
        <v>6134</v>
      </c>
      <c r="V3902" s="41" t="str">
        <f>HYPERLINK("http://ictvonline.org/taxonomy/p/taxonomy-history?taxnode_id=20184178","ICTVonline=20184178")</f>
        <v>ICTVonline=20184178</v>
      </c>
    </row>
    <row r="3903" spans="1:22">
      <c r="A3903" s="3">
        <v>3902</v>
      </c>
      <c r="L3903" s="1" t="s">
        <v>1678</v>
      </c>
      <c r="N3903" s="1" t="s">
        <v>2546</v>
      </c>
      <c r="P3903" s="1" t="s">
        <v>2548</v>
      </c>
      <c r="Q3903" s="3">
        <v>1</v>
      </c>
      <c r="R3903" s="22" t="s">
        <v>2768</v>
      </c>
      <c r="S3903" s="22" t="s">
        <v>5097</v>
      </c>
      <c r="T3903" s="51">
        <v>28</v>
      </c>
      <c r="U3903" s="3" t="s">
        <v>6134</v>
      </c>
      <c r="V3903" s="41" t="str">
        <f>HYPERLINK("http://ictvonline.org/taxonomy/p/taxonomy-history?taxnode_id=20184179","ICTVonline=20184179")</f>
        <v>ICTVonline=20184179</v>
      </c>
    </row>
    <row r="3904" spans="1:22">
      <c r="A3904" s="3">
        <v>3903</v>
      </c>
      <c r="L3904" s="1" t="s">
        <v>1678</v>
      </c>
      <c r="N3904" s="1" t="s">
        <v>2546</v>
      </c>
      <c r="P3904" s="1" t="s">
        <v>2549</v>
      </c>
      <c r="Q3904" s="3">
        <v>0</v>
      </c>
      <c r="R3904" s="22" t="s">
        <v>2768</v>
      </c>
      <c r="S3904" s="22" t="s">
        <v>5097</v>
      </c>
      <c r="T3904" s="51">
        <v>28</v>
      </c>
      <c r="U3904" s="3" t="s">
        <v>6134</v>
      </c>
      <c r="V3904" s="41" t="str">
        <f>HYPERLINK("http://ictvonline.org/taxonomy/p/taxonomy-history?taxnode_id=20184180","ICTVonline=20184180")</f>
        <v>ICTVonline=20184180</v>
      </c>
    </row>
    <row r="3905" spans="1:22">
      <c r="A3905" s="3">
        <v>3904</v>
      </c>
      <c r="L3905" s="1" t="s">
        <v>1678</v>
      </c>
      <c r="N3905" s="1" t="s">
        <v>2550</v>
      </c>
      <c r="P3905" s="1" t="s">
        <v>620</v>
      </c>
      <c r="Q3905" s="3">
        <v>0</v>
      </c>
      <c r="R3905" s="22" t="s">
        <v>2768</v>
      </c>
      <c r="S3905" s="22" t="s">
        <v>5099</v>
      </c>
      <c r="T3905" s="51">
        <v>28</v>
      </c>
      <c r="U3905" s="3" t="s">
        <v>6134</v>
      </c>
      <c r="V3905" s="41" t="str">
        <f>HYPERLINK("http://ictvonline.org/taxonomy/p/taxonomy-history?taxnode_id=20184182","ICTVonline=20184182")</f>
        <v>ICTVonline=20184182</v>
      </c>
    </row>
    <row r="3906" spans="1:22">
      <c r="A3906" s="3">
        <v>3905</v>
      </c>
      <c r="L3906" s="1" t="s">
        <v>1678</v>
      </c>
      <c r="N3906" s="1" t="s">
        <v>2550</v>
      </c>
      <c r="P3906" s="1" t="s">
        <v>1613</v>
      </c>
      <c r="Q3906" s="3">
        <v>0</v>
      </c>
      <c r="R3906" s="22" t="s">
        <v>2768</v>
      </c>
      <c r="S3906" s="22" t="s">
        <v>5099</v>
      </c>
      <c r="T3906" s="51">
        <v>28</v>
      </c>
      <c r="U3906" s="3" t="s">
        <v>6134</v>
      </c>
      <c r="V3906" s="41" t="str">
        <f>HYPERLINK("http://ictvonline.org/taxonomy/p/taxonomy-history?taxnode_id=20184183","ICTVonline=20184183")</f>
        <v>ICTVonline=20184183</v>
      </c>
    </row>
    <row r="3907" spans="1:22">
      <c r="A3907" s="3">
        <v>3906</v>
      </c>
      <c r="L3907" s="1" t="s">
        <v>1678</v>
      </c>
      <c r="N3907" s="1" t="s">
        <v>2550</v>
      </c>
      <c r="P3907" s="1" t="s">
        <v>1927</v>
      </c>
      <c r="Q3907" s="3">
        <v>0</v>
      </c>
      <c r="R3907" s="22" t="s">
        <v>2768</v>
      </c>
      <c r="S3907" s="22" t="s">
        <v>5099</v>
      </c>
      <c r="T3907" s="51">
        <v>28</v>
      </c>
      <c r="U3907" s="3" t="s">
        <v>6134</v>
      </c>
      <c r="V3907" s="41" t="str">
        <f>HYPERLINK("http://ictvonline.org/taxonomy/p/taxonomy-history?taxnode_id=20184184","ICTVonline=20184184")</f>
        <v>ICTVonline=20184184</v>
      </c>
    </row>
    <row r="3908" spans="1:22">
      <c r="A3908" s="3">
        <v>3907</v>
      </c>
      <c r="L3908" s="1" t="s">
        <v>1678</v>
      </c>
      <c r="N3908" s="1" t="s">
        <v>2550</v>
      </c>
      <c r="P3908" s="1" t="s">
        <v>1929</v>
      </c>
      <c r="Q3908" s="3">
        <v>0</v>
      </c>
      <c r="R3908" s="22" t="s">
        <v>2768</v>
      </c>
      <c r="S3908" s="22" t="s">
        <v>5099</v>
      </c>
      <c r="T3908" s="51">
        <v>28</v>
      </c>
      <c r="U3908" s="3" t="s">
        <v>6134</v>
      </c>
      <c r="V3908" s="41" t="str">
        <f>HYPERLINK("http://ictvonline.org/taxonomy/p/taxonomy-history?taxnode_id=20184185","ICTVonline=20184185")</f>
        <v>ICTVonline=20184185</v>
      </c>
    </row>
    <row r="3909" spans="1:22">
      <c r="A3909" s="3">
        <v>3908</v>
      </c>
      <c r="L3909" s="1" t="s">
        <v>1678</v>
      </c>
      <c r="N3909" s="1" t="s">
        <v>2550</v>
      </c>
      <c r="P3909" s="1" t="s">
        <v>901</v>
      </c>
      <c r="Q3909" s="3">
        <v>0</v>
      </c>
      <c r="R3909" s="22" t="s">
        <v>2768</v>
      </c>
      <c r="S3909" s="22" t="s">
        <v>5099</v>
      </c>
      <c r="T3909" s="51">
        <v>28</v>
      </c>
      <c r="U3909" s="3" t="s">
        <v>6134</v>
      </c>
      <c r="V3909" s="41" t="str">
        <f>HYPERLINK("http://ictvonline.org/taxonomy/p/taxonomy-history?taxnode_id=20184186","ICTVonline=20184186")</f>
        <v>ICTVonline=20184186</v>
      </c>
    </row>
    <row r="3910" spans="1:22">
      <c r="A3910" s="3">
        <v>3909</v>
      </c>
      <c r="L3910" s="1" t="s">
        <v>1678</v>
      </c>
      <c r="N3910" s="1" t="s">
        <v>2550</v>
      </c>
      <c r="P3910" s="1" t="s">
        <v>1254</v>
      </c>
      <c r="Q3910" s="3">
        <v>0</v>
      </c>
      <c r="R3910" s="22" t="s">
        <v>2768</v>
      </c>
      <c r="S3910" s="22" t="s">
        <v>5099</v>
      </c>
      <c r="T3910" s="51">
        <v>28</v>
      </c>
      <c r="U3910" s="3" t="s">
        <v>6134</v>
      </c>
      <c r="V3910" s="41" t="str">
        <f>HYPERLINK("http://ictvonline.org/taxonomy/p/taxonomy-history?taxnode_id=20184187","ICTVonline=20184187")</f>
        <v>ICTVonline=20184187</v>
      </c>
    </row>
    <row r="3911" spans="1:22">
      <c r="A3911" s="3">
        <v>3910</v>
      </c>
      <c r="L3911" s="1" t="s">
        <v>1678</v>
      </c>
      <c r="N3911" s="1" t="s">
        <v>2550</v>
      </c>
      <c r="P3911" s="1" t="s">
        <v>1255</v>
      </c>
      <c r="Q3911" s="3">
        <v>0</v>
      </c>
      <c r="R3911" s="22" t="s">
        <v>2768</v>
      </c>
      <c r="S3911" s="22" t="s">
        <v>5099</v>
      </c>
      <c r="T3911" s="51">
        <v>28</v>
      </c>
      <c r="U3911" s="3" t="s">
        <v>6134</v>
      </c>
      <c r="V3911" s="41" t="str">
        <f>HYPERLINK("http://ictvonline.org/taxonomy/p/taxonomy-history?taxnode_id=20184188","ICTVonline=20184188")</f>
        <v>ICTVonline=20184188</v>
      </c>
    </row>
    <row r="3912" spans="1:22">
      <c r="A3912" s="3">
        <v>3911</v>
      </c>
      <c r="L3912" s="1" t="s">
        <v>1678</v>
      </c>
      <c r="N3912" s="1" t="s">
        <v>2550</v>
      </c>
      <c r="P3912" s="1" t="s">
        <v>893</v>
      </c>
      <c r="Q3912" s="3">
        <v>1</v>
      </c>
      <c r="R3912" s="22" t="s">
        <v>2768</v>
      </c>
      <c r="S3912" s="22" t="s">
        <v>5099</v>
      </c>
      <c r="T3912" s="51">
        <v>28</v>
      </c>
      <c r="U3912" s="3" t="s">
        <v>6134</v>
      </c>
      <c r="V3912" s="41" t="str">
        <f>HYPERLINK("http://ictvonline.org/taxonomy/p/taxonomy-history?taxnode_id=20184189","ICTVonline=20184189")</f>
        <v>ICTVonline=20184189</v>
      </c>
    </row>
    <row r="3913" spans="1:22">
      <c r="A3913" s="3">
        <v>3912</v>
      </c>
      <c r="L3913" s="1" t="s">
        <v>1678</v>
      </c>
      <c r="P3913" s="1" t="s">
        <v>619</v>
      </c>
      <c r="Q3913" s="3">
        <v>0</v>
      </c>
      <c r="R3913" s="22" t="s">
        <v>2768</v>
      </c>
      <c r="S3913" s="22" t="s">
        <v>5099</v>
      </c>
      <c r="T3913" s="51">
        <v>28</v>
      </c>
      <c r="U3913" s="3" t="s">
        <v>6134</v>
      </c>
      <c r="V3913" s="41" t="str">
        <f>HYPERLINK("http://ictvonline.org/taxonomy/p/taxonomy-history?taxnode_id=20184191","ICTVonline=20184191")</f>
        <v>ICTVonline=20184191</v>
      </c>
    </row>
    <row r="3914" spans="1:22">
      <c r="A3914" s="3">
        <v>3913</v>
      </c>
      <c r="L3914" s="1" t="s">
        <v>1678</v>
      </c>
      <c r="P3914" s="1" t="s">
        <v>954</v>
      </c>
      <c r="Q3914" s="3">
        <v>0</v>
      </c>
      <c r="R3914" s="22" t="s">
        <v>2768</v>
      </c>
      <c r="S3914" s="22" t="s">
        <v>5099</v>
      </c>
      <c r="T3914" s="51">
        <v>28</v>
      </c>
      <c r="U3914" s="3" t="s">
        <v>6134</v>
      </c>
      <c r="V3914" s="41" t="str">
        <f>HYPERLINK("http://ictvonline.org/taxonomy/p/taxonomy-history?taxnode_id=20184192","ICTVonline=20184192")</f>
        <v>ICTVonline=20184192</v>
      </c>
    </row>
    <row r="3915" spans="1:22">
      <c r="A3915" s="3">
        <v>3914</v>
      </c>
      <c r="L3915" s="1" t="s">
        <v>1678</v>
      </c>
      <c r="P3915" s="1" t="s">
        <v>958</v>
      </c>
      <c r="Q3915" s="3">
        <v>0</v>
      </c>
      <c r="R3915" s="22" t="s">
        <v>2768</v>
      </c>
      <c r="S3915" s="22" t="s">
        <v>5099</v>
      </c>
      <c r="T3915" s="51">
        <v>28</v>
      </c>
      <c r="U3915" s="3" t="s">
        <v>6134</v>
      </c>
      <c r="V3915" s="41" t="str">
        <f>HYPERLINK("http://ictvonline.org/taxonomy/p/taxonomy-history?taxnode_id=20184193","ICTVonline=20184193")</f>
        <v>ICTVonline=20184193</v>
      </c>
    </row>
    <row r="3916" spans="1:22">
      <c r="A3916" s="3">
        <v>3915</v>
      </c>
      <c r="L3916" s="1" t="s">
        <v>1678</v>
      </c>
      <c r="P3916" s="1" t="s">
        <v>959</v>
      </c>
      <c r="Q3916" s="3">
        <v>0</v>
      </c>
      <c r="R3916" s="22" t="s">
        <v>2768</v>
      </c>
      <c r="S3916" s="22" t="s">
        <v>5099</v>
      </c>
      <c r="T3916" s="51">
        <v>28</v>
      </c>
      <c r="U3916" s="3" t="s">
        <v>6134</v>
      </c>
      <c r="V3916" s="41" t="str">
        <f>HYPERLINK("http://ictvonline.org/taxonomy/p/taxonomy-history?taxnode_id=20184194","ICTVonline=20184194")</f>
        <v>ICTVonline=20184194</v>
      </c>
    </row>
    <row r="3917" spans="1:22">
      <c r="A3917" s="3">
        <v>3916</v>
      </c>
      <c r="L3917" s="1" t="s">
        <v>1678</v>
      </c>
      <c r="P3917" s="1" t="s">
        <v>615</v>
      </c>
      <c r="Q3917" s="3">
        <v>0</v>
      </c>
      <c r="R3917" s="22" t="s">
        <v>2768</v>
      </c>
      <c r="S3917" s="22" t="s">
        <v>5099</v>
      </c>
      <c r="T3917" s="51">
        <v>28</v>
      </c>
      <c r="U3917" s="3" t="s">
        <v>6134</v>
      </c>
      <c r="V3917" s="41" t="str">
        <f>HYPERLINK("http://ictvonline.org/taxonomy/p/taxonomy-history?taxnode_id=20184195","ICTVonline=20184195")</f>
        <v>ICTVonline=20184195</v>
      </c>
    </row>
    <row r="3918" spans="1:22">
      <c r="A3918" s="3">
        <v>3917</v>
      </c>
      <c r="L3918" s="1" t="s">
        <v>1678</v>
      </c>
      <c r="P3918" s="1" t="s">
        <v>960</v>
      </c>
      <c r="Q3918" s="3">
        <v>0</v>
      </c>
      <c r="R3918" s="22" t="s">
        <v>2768</v>
      </c>
      <c r="S3918" s="22" t="s">
        <v>5099</v>
      </c>
      <c r="T3918" s="51">
        <v>28</v>
      </c>
      <c r="U3918" s="3" t="s">
        <v>6134</v>
      </c>
      <c r="V3918" s="41" t="str">
        <f>HYPERLINK("http://ictvonline.org/taxonomy/p/taxonomy-history?taxnode_id=20184196","ICTVonline=20184196")</f>
        <v>ICTVonline=20184196</v>
      </c>
    </row>
    <row r="3919" spans="1:22">
      <c r="A3919" s="3">
        <v>3918</v>
      </c>
      <c r="L3919" s="1" t="s">
        <v>1678</v>
      </c>
      <c r="P3919" s="1" t="s">
        <v>961</v>
      </c>
      <c r="Q3919" s="3">
        <v>0</v>
      </c>
      <c r="R3919" s="22" t="s">
        <v>2768</v>
      </c>
      <c r="S3919" s="22" t="s">
        <v>5099</v>
      </c>
      <c r="T3919" s="51">
        <v>28</v>
      </c>
      <c r="U3919" s="3" t="s">
        <v>6134</v>
      </c>
      <c r="V3919" s="41" t="str">
        <f>HYPERLINK("http://ictvonline.org/taxonomy/p/taxonomy-history?taxnode_id=20184197","ICTVonline=20184197")</f>
        <v>ICTVonline=20184197</v>
      </c>
    </row>
    <row r="3920" spans="1:22">
      <c r="A3920" s="3">
        <v>3919</v>
      </c>
      <c r="L3920" s="1" t="s">
        <v>1678</v>
      </c>
      <c r="P3920" s="1" t="s">
        <v>6137</v>
      </c>
      <c r="Q3920" s="3">
        <v>0</v>
      </c>
      <c r="R3920" s="22" t="s">
        <v>2768</v>
      </c>
      <c r="S3920" s="22" t="s">
        <v>5099</v>
      </c>
      <c r="T3920" s="51">
        <v>28</v>
      </c>
      <c r="U3920" s="3" t="s">
        <v>6134</v>
      </c>
      <c r="V3920" s="41" t="str">
        <f>HYPERLINK("http://ictvonline.org/taxonomy/p/taxonomy-history?taxnode_id=20184198","ICTVonline=20184198")</f>
        <v>ICTVonline=20184198</v>
      </c>
    </row>
    <row r="3921" spans="1:22">
      <c r="A3921" s="3">
        <v>3920</v>
      </c>
      <c r="L3921" s="1" t="s">
        <v>1678</v>
      </c>
      <c r="P3921" s="1" t="s">
        <v>6138</v>
      </c>
      <c r="Q3921" s="3">
        <v>0</v>
      </c>
      <c r="R3921" s="22" t="s">
        <v>2768</v>
      </c>
      <c r="S3921" s="22" t="s">
        <v>5099</v>
      </c>
      <c r="T3921" s="51">
        <v>28</v>
      </c>
      <c r="U3921" s="3" t="s">
        <v>6134</v>
      </c>
      <c r="V3921" s="41" t="str">
        <f>HYPERLINK("http://ictvonline.org/taxonomy/p/taxonomy-history?taxnode_id=20184199","ICTVonline=20184199")</f>
        <v>ICTVonline=20184199</v>
      </c>
    </row>
    <row r="3922" spans="1:22">
      <c r="A3922" s="3">
        <v>3921</v>
      </c>
      <c r="L3922" s="1" t="s">
        <v>1678</v>
      </c>
      <c r="P3922" s="1" t="s">
        <v>879</v>
      </c>
      <c r="Q3922" s="3">
        <v>0</v>
      </c>
      <c r="R3922" s="22" t="s">
        <v>2768</v>
      </c>
      <c r="S3922" s="22" t="s">
        <v>5099</v>
      </c>
      <c r="T3922" s="51">
        <v>28</v>
      </c>
      <c r="U3922" s="3" t="s">
        <v>6134</v>
      </c>
      <c r="V3922" s="41" t="str">
        <f>HYPERLINK("http://ictvonline.org/taxonomy/p/taxonomy-history?taxnode_id=20184200","ICTVonline=20184200")</f>
        <v>ICTVonline=20184200</v>
      </c>
    </row>
    <row r="3923" spans="1:22">
      <c r="A3923" s="3">
        <v>3922</v>
      </c>
      <c r="L3923" s="1" t="s">
        <v>1678</v>
      </c>
      <c r="P3923" s="1" t="s">
        <v>880</v>
      </c>
      <c r="Q3923" s="3">
        <v>0</v>
      </c>
      <c r="R3923" s="22" t="s">
        <v>2768</v>
      </c>
      <c r="S3923" s="22" t="s">
        <v>5099</v>
      </c>
      <c r="T3923" s="51">
        <v>28</v>
      </c>
      <c r="U3923" s="3" t="s">
        <v>6134</v>
      </c>
      <c r="V3923" s="41" t="str">
        <f>HYPERLINK("http://ictvonline.org/taxonomy/p/taxonomy-history?taxnode_id=20184201","ICTVonline=20184201")</f>
        <v>ICTVonline=20184201</v>
      </c>
    </row>
    <row r="3924" spans="1:22">
      <c r="A3924" s="3">
        <v>3923</v>
      </c>
      <c r="L3924" s="1" t="s">
        <v>1678</v>
      </c>
      <c r="P3924" s="1" t="s">
        <v>881</v>
      </c>
      <c r="Q3924" s="3">
        <v>0</v>
      </c>
      <c r="R3924" s="22" t="s">
        <v>2768</v>
      </c>
      <c r="S3924" s="22" t="s">
        <v>5099</v>
      </c>
      <c r="T3924" s="51">
        <v>28</v>
      </c>
      <c r="U3924" s="3" t="s">
        <v>6134</v>
      </c>
      <c r="V3924" s="41" t="str">
        <f>HYPERLINK("http://ictvonline.org/taxonomy/p/taxonomy-history?taxnode_id=20184202","ICTVonline=20184202")</f>
        <v>ICTVonline=20184202</v>
      </c>
    </row>
    <row r="3925" spans="1:22">
      <c r="A3925" s="3">
        <v>3924</v>
      </c>
      <c r="L3925" s="1" t="s">
        <v>1678</v>
      </c>
      <c r="P3925" s="1" t="s">
        <v>882</v>
      </c>
      <c r="Q3925" s="3">
        <v>0</v>
      </c>
      <c r="R3925" s="22" t="s">
        <v>2768</v>
      </c>
      <c r="S3925" s="22" t="s">
        <v>5099</v>
      </c>
      <c r="T3925" s="51">
        <v>28</v>
      </c>
      <c r="U3925" s="3" t="s">
        <v>6134</v>
      </c>
      <c r="V3925" s="41" t="str">
        <f>HYPERLINK("http://ictvonline.org/taxonomy/p/taxonomy-history?taxnode_id=20184203","ICTVonline=20184203")</f>
        <v>ICTVonline=20184203</v>
      </c>
    </row>
    <row r="3926" spans="1:22">
      <c r="A3926" s="3">
        <v>3925</v>
      </c>
      <c r="L3926" s="1" t="s">
        <v>1678</v>
      </c>
      <c r="P3926" s="1" t="s">
        <v>883</v>
      </c>
      <c r="Q3926" s="3">
        <v>0</v>
      </c>
      <c r="R3926" s="22" t="s">
        <v>2768</v>
      </c>
      <c r="S3926" s="22" t="s">
        <v>5099</v>
      </c>
      <c r="T3926" s="51">
        <v>28</v>
      </c>
      <c r="U3926" s="3" t="s">
        <v>6134</v>
      </c>
      <c r="V3926" s="41" t="str">
        <f>HYPERLINK("http://ictvonline.org/taxonomy/p/taxonomy-history?taxnode_id=20184204","ICTVonline=20184204")</f>
        <v>ICTVonline=20184204</v>
      </c>
    </row>
    <row r="3927" spans="1:22">
      <c r="A3927" s="3">
        <v>3926</v>
      </c>
      <c r="L3927" s="1" t="s">
        <v>1678</v>
      </c>
      <c r="P3927" s="1" t="s">
        <v>886</v>
      </c>
      <c r="Q3927" s="3">
        <v>0</v>
      </c>
      <c r="R3927" s="22" t="s">
        <v>2768</v>
      </c>
      <c r="S3927" s="22" t="s">
        <v>5099</v>
      </c>
      <c r="T3927" s="51">
        <v>28</v>
      </c>
      <c r="U3927" s="3" t="s">
        <v>6134</v>
      </c>
      <c r="V3927" s="41" t="str">
        <f>HYPERLINK("http://ictvonline.org/taxonomy/p/taxonomy-history?taxnode_id=20184205","ICTVonline=20184205")</f>
        <v>ICTVonline=20184205</v>
      </c>
    </row>
    <row r="3928" spans="1:22">
      <c r="A3928" s="3">
        <v>3927</v>
      </c>
      <c r="L3928" s="1" t="s">
        <v>1930</v>
      </c>
      <c r="M3928" s="1" t="s">
        <v>1931</v>
      </c>
      <c r="N3928" s="1" t="s">
        <v>2551</v>
      </c>
      <c r="P3928" s="1" t="s">
        <v>4984</v>
      </c>
      <c r="Q3928" s="3">
        <v>0</v>
      </c>
      <c r="R3928" s="22" t="s">
        <v>3871</v>
      </c>
      <c r="S3928" s="22" t="s">
        <v>5097</v>
      </c>
      <c r="T3928" s="51">
        <v>31</v>
      </c>
      <c r="U3928" s="3" t="s">
        <v>6139</v>
      </c>
      <c r="V3928" s="41" t="str">
        <f>HYPERLINK("http://ictvonline.org/taxonomy/p/taxonomy-history?taxnode_id=20184209","ICTVonline=20184209")</f>
        <v>ICTVonline=20184209</v>
      </c>
    </row>
    <row r="3929" spans="1:22">
      <c r="A3929" s="3">
        <v>3928</v>
      </c>
      <c r="L3929" s="1" t="s">
        <v>1930</v>
      </c>
      <c r="M3929" s="1" t="s">
        <v>1931</v>
      </c>
      <c r="N3929" s="1" t="s">
        <v>2551</v>
      </c>
      <c r="P3929" s="1" t="s">
        <v>2552</v>
      </c>
      <c r="Q3929" s="3">
        <v>0</v>
      </c>
      <c r="R3929" s="22" t="s">
        <v>3871</v>
      </c>
      <c r="S3929" s="22" t="s">
        <v>5097</v>
      </c>
      <c r="T3929" s="51">
        <v>28</v>
      </c>
      <c r="U3929" s="3" t="s">
        <v>6140</v>
      </c>
      <c r="V3929" s="41" t="str">
        <f>HYPERLINK("http://ictvonline.org/taxonomy/p/taxonomy-history?taxnode_id=20184210","ICTVonline=20184210")</f>
        <v>ICTVonline=20184210</v>
      </c>
    </row>
    <row r="3930" spans="1:22">
      <c r="A3930" s="3">
        <v>3929</v>
      </c>
      <c r="L3930" s="1" t="s">
        <v>1930</v>
      </c>
      <c r="M3930" s="1" t="s">
        <v>1931</v>
      </c>
      <c r="N3930" s="1" t="s">
        <v>2551</v>
      </c>
      <c r="P3930" s="1" t="s">
        <v>2553</v>
      </c>
      <c r="Q3930" s="3">
        <v>0</v>
      </c>
      <c r="R3930" s="22" t="s">
        <v>3871</v>
      </c>
      <c r="S3930" s="22" t="s">
        <v>5097</v>
      </c>
      <c r="T3930" s="51">
        <v>28</v>
      </c>
      <c r="U3930" s="3" t="s">
        <v>6140</v>
      </c>
      <c r="V3930" s="41" t="str">
        <f>HYPERLINK("http://ictvonline.org/taxonomy/p/taxonomy-history?taxnode_id=20184211","ICTVonline=20184211")</f>
        <v>ICTVonline=20184211</v>
      </c>
    </row>
    <row r="3931" spans="1:22">
      <c r="A3931" s="3">
        <v>3930</v>
      </c>
      <c r="L3931" s="1" t="s">
        <v>1930</v>
      </c>
      <c r="M3931" s="1" t="s">
        <v>1931</v>
      </c>
      <c r="N3931" s="1" t="s">
        <v>2551</v>
      </c>
      <c r="P3931" s="1" t="s">
        <v>4985</v>
      </c>
      <c r="Q3931" s="3">
        <v>0</v>
      </c>
      <c r="R3931" s="22" t="s">
        <v>3871</v>
      </c>
      <c r="S3931" s="22" t="s">
        <v>5097</v>
      </c>
      <c r="T3931" s="51">
        <v>31</v>
      </c>
      <c r="U3931" s="3" t="s">
        <v>6139</v>
      </c>
      <c r="V3931" s="41" t="str">
        <f>HYPERLINK("http://ictvonline.org/taxonomy/p/taxonomy-history?taxnode_id=20184212","ICTVonline=20184212")</f>
        <v>ICTVonline=20184212</v>
      </c>
    </row>
    <row r="3932" spans="1:22">
      <c r="A3932" s="3">
        <v>3931</v>
      </c>
      <c r="L3932" s="1" t="s">
        <v>1930</v>
      </c>
      <c r="M3932" s="1" t="s">
        <v>1931</v>
      </c>
      <c r="N3932" s="1" t="s">
        <v>2551</v>
      </c>
      <c r="P3932" s="1" t="s">
        <v>2554</v>
      </c>
      <c r="Q3932" s="3">
        <v>0</v>
      </c>
      <c r="R3932" s="22" t="s">
        <v>3871</v>
      </c>
      <c r="S3932" s="22" t="s">
        <v>5097</v>
      </c>
      <c r="T3932" s="51">
        <v>28</v>
      </c>
      <c r="U3932" s="3" t="s">
        <v>6140</v>
      </c>
      <c r="V3932" s="41" t="str">
        <f>HYPERLINK("http://ictvonline.org/taxonomy/p/taxonomy-history?taxnode_id=20184213","ICTVonline=20184213")</f>
        <v>ICTVonline=20184213</v>
      </c>
    </row>
    <row r="3933" spans="1:22">
      <c r="A3933" s="3">
        <v>3932</v>
      </c>
      <c r="L3933" s="1" t="s">
        <v>1930</v>
      </c>
      <c r="M3933" s="1" t="s">
        <v>1931</v>
      </c>
      <c r="N3933" s="1" t="s">
        <v>2551</v>
      </c>
      <c r="P3933" s="1" t="s">
        <v>2555</v>
      </c>
      <c r="Q3933" s="3">
        <v>0</v>
      </c>
      <c r="R3933" s="22" t="s">
        <v>3871</v>
      </c>
      <c r="S3933" s="22" t="s">
        <v>5097</v>
      </c>
      <c r="T3933" s="51">
        <v>28</v>
      </c>
      <c r="U3933" s="3" t="s">
        <v>6140</v>
      </c>
      <c r="V3933" s="41" t="str">
        <f>HYPERLINK("http://ictvonline.org/taxonomy/p/taxonomy-history?taxnode_id=20184214","ICTVonline=20184214")</f>
        <v>ICTVonline=20184214</v>
      </c>
    </row>
    <row r="3934" spans="1:22">
      <c r="A3934" s="3">
        <v>3933</v>
      </c>
      <c r="L3934" s="1" t="s">
        <v>1930</v>
      </c>
      <c r="M3934" s="1" t="s">
        <v>1931</v>
      </c>
      <c r="N3934" s="1" t="s">
        <v>2551</v>
      </c>
      <c r="P3934" s="1" t="s">
        <v>4986</v>
      </c>
      <c r="Q3934" s="3">
        <v>0</v>
      </c>
      <c r="R3934" s="22" t="s">
        <v>3871</v>
      </c>
      <c r="S3934" s="22" t="s">
        <v>5097</v>
      </c>
      <c r="T3934" s="51">
        <v>31</v>
      </c>
      <c r="U3934" s="3" t="s">
        <v>6139</v>
      </c>
      <c r="V3934" s="41" t="str">
        <f>HYPERLINK("http://ictvonline.org/taxonomy/p/taxonomy-history?taxnode_id=20184215","ICTVonline=20184215")</f>
        <v>ICTVonline=20184215</v>
      </c>
    </row>
    <row r="3935" spans="1:22">
      <c r="A3935" s="3">
        <v>3934</v>
      </c>
      <c r="L3935" s="1" t="s">
        <v>1930</v>
      </c>
      <c r="M3935" s="1" t="s">
        <v>1931</v>
      </c>
      <c r="N3935" s="1" t="s">
        <v>2551</v>
      </c>
      <c r="P3935" s="1" t="s">
        <v>4987</v>
      </c>
      <c r="Q3935" s="3">
        <v>0</v>
      </c>
      <c r="R3935" s="22" t="s">
        <v>3871</v>
      </c>
      <c r="S3935" s="22" t="s">
        <v>5097</v>
      </c>
      <c r="T3935" s="51">
        <v>31</v>
      </c>
      <c r="U3935" s="3" t="s">
        <v>6139</v>
      </c>
      <c r="V3935" s="41" t="str">
        <f>HYPERLINK("http://ictvonline.org/taxonomy/p/taxonomy-history?taxnode_id=20184216","ICTVonline=20184216")</f>
        <v>ICTVonline=20184216</v>
      </c>
    </row>
    <row r="3936" spans="1:22">
      <c r="A3936" s="3">
        <v>3935</v>
      </c>
      <c r="L3936" s="1" t="s">
        <v>1930</v>
      </c>
      <c r="M3936" s="1" t="s">
        <v>1931</v>
      </c>
      <c r="N3936" s="1" t="s">
        <v>2551</v>
      </c>
      <c r="P3936" s="1" t="s">
        <v>4988</v>
      </c>
      <c r="Q3936" s="3">
        <v>0</v>
      </c>
      <c r="R3936" s="22" t="s">
        <v>3871</v>
      </c>
      <c r="S3936" s="22" t="s">
        <v>5097</v>
      </c>
      <c r="T3936" s="51">
        <v>31</v>
      </c>
      <c r="U3936" s="3" t="s">
        <v>6139</v>
      </c>
      <c r="V3936" s="41" t="str">
        <f>HYPERLINK("http://ictvonline.org/taxonomy/p/taxonomy-history?taxnode_id=20184217","ICTVonline=20184217")</f>
        <v>ICTVonline=20184217</v>
      </c>
    </row>
    <row r="3937" spans="1:22">
      <c r="A3937" s="3">
        <v>3936</v>
      </c>
      <c r="L3937" s="1" t="s">
        <v>1930</v>
      </c>
      <c r="M3937" s="1" t="s">
        <v>1931</v>
      </c>
      <c r="N3937" s="1" t="s">
        <v>2551</v>
      </c>
      <c r="P3937" s="1" t="s">
        <v>2556</v>
      </c>
      <c r="Q3937" s="3">
        <v>1</v>
      </c>
      <c r="R3937" s="22" t="s">
        <v>3871</v>
      </c>
      <c r="S3937" s="22" t="s">
        <v>5097</v>
      </c>
      <c r="T3937" s="51">
        <v>28</v>
      </c>
      <c r="U3937" s="3" t="s">
        <v>6140</v>
      </c>
      <c r="V3937" s="41" t="str">
        <f>HYPERLINK("http://ictvonline.org/taxonomy/p/taxonomy-history?taxnode_id=20184218","ICTVonline=20184218")</f>
        <v>ICTVonline=20184218</v>
      </c>
    </row>
    <row r="3938" spans="1:22">
      <c r="A3938" s="3">
        <v>3937</v>
      </c>
      <c r="L3938" s="1" t="s">
        <v>1930</v>
      </c>
      <c r="M3938" s="1" t="s">
        <v>1931</v>
      </c>
      <c r="N3938" s="1" t="s">
        <v>2551</v>
      </c>
      <c r="P3938" s="1" t="s">
        <v>2557</v>
      </c>
      <c r="Q3938" s="3">
        <v>0</v>
      </c>
      <c r="R3938" s="22" t="s">
        <v>3871</v>
      </c>
      <c r="S3938" s="22" t="s">
        <v>5097</v>
      </c>
      <c r="T3938" s="51">
        <v>28</v>
      </c>
      <c r="U3938" s="3" t="s">
        <v>6140</v>
      </c>
      <c r="V3938" s="41" t="str">
        <f>HYPERLINK("http://ictvonline.org/taxonomy/p/taxonomy-history?taxnode_id=20184219","ICTVonline=20184219")</f>
        <v>ICTVonline=20184219</v>
      </c>
    </row>
    <row r="3939" spans="1:22">
      <c r="A3939" s="3">
        <v>3938</v>
      </c>
      <c r="L3939" s="1" t="s">
        <v>1930</v>
      </c>
      <c r="M3939" s="1" t="s">
        <v>1931</v>
      </c>
      <c r="N3939" s="1" t="s">
        <v>1932</v>
      </c>
      <c r="P3939" s="1" t="s">
        <v>2558</v>
      </c>
      <c r="Q3939" s="3">
        <v>1</v>
      </c>
      <c r="R3939" s="22" t="s">
        <v>3871</v>
      </c>
      <c r="S3939" s="22" t="s">
        <v>5097</v>
      </c>
      <c r="T3939" s="51">
        <v>28</v>
      </c>
      <c r="U3939" s="3" t="s">
        <v>6140</v>
      </c>
      <c r="V3939" s="41" t="str">
        <f>HYPERLINK("http://ictvonline.org/taxonomy/p/taxonomy-history?taxnode_id=20184221","ICTVonline=20184221")</f>
        <v>ICTVonline=20184221</v>
      </c>
    </row>
    <row r="3940" spans="1:22">
      <c r="A3940" s="3">
        <v>3939</v>
      </c>
      <c r="L3940" s="1" t="s">
        <v>1930</v>
      </c>
      <c r="M3940" s="1" t="s">
        <v>1931</v>
      </c>
      <c r="N3940" s="1" t="s">
        <v>1932</v>
      </c>
      <c r="P3940" s="1" t="s">
        <v>2559</v>
      </c>
      <c r="Q3940" s="3">
        <v>0</v>
      </c>
      <c r="R3940" s="22" t="s">
        <v>3871</v>
      </c>
      <c r="S3940" s="22" t="s">
        <v>5097</v>
      </c>
      <c r="T3940" s="51">
        <v>28</v>
      </c>
      <c r="U3940" s="3" t="s">
        <v>6140</v>
      </c>
      <c r="V3940" s="41" t="str">
        <f>HYPERLINK("http://ictvonline.org/taxonomy/p/taxonomy-history?taxnode_id=20184222","ICTVonline=20184222")</f>
        <v>ICTVonline=20184222</v>
      </c>
    </row>
    <row r="3941" spans="1:22">
      <c r="A3941" s="3">
        <v>3940</v>
      </c>
      <c r="L3941" s="1" t="s">
        <v>1930</v>
      </c>
      <c r="M3941" s="1" t="s">
        <v>1931</v>
      </c>
      <c r="N3941" s="1" t="s">
        <v>2560</v>
      </c>
      <c r="P3941" s="1" t="s">
        <v>2561</v>
      </c>
      <c r="Q3941" s="3">
        <v>1</v>
      </c>
      <c r="R3941" s="22" t="s">
        <v>3871</v>
      </c>
      <c r="S3941" s="22" t="s">
        <v>5097</v>
      </c>
      <c r="T3941" s="51">
        <v>28</v>
      </c>
      <c r="U3941" s="3" t="s">
        <v>6140</v>
      </c>
      <c r="V3941" s="41" t="str">
        <f>HYPERLINK("http://ictvonline.org/taxonomy/p/taxonomy-history?taxnode_id=20184224","ICTVonline=20184224")</f>
        <v>ICTVonline=20184224</v>
      </c>
    </row>
    <row r="3942" spans="1:22">
      <c r="A3942" s="3">
        <v>3941</v>
      </c>
      <c r="L3942" s="1" t="s">
        <v>1930</v>
      </c>
      <c r="M3942" s="1" t="s">
        <v>1931</v>
      </c>
      <c r="N3942" s="1" t="s">
        <v>2562</v>
      </c>
      <c r="P3942" s="1" t="s">
        <v>2563</v>
      </c>
      <c r="Q3942" s="3">
        <v>1</v>
      </c>
      <c r="R3942" s="22" t="s">
        <v>3871</v>
      </c>
      <c r="S3942" s="22" t="s">
        <v>5097</v>
      </c>
      <c r="T3942" s="51">
        <v>28</v>
      </c>
      <c r="U3942" s="3" t="s">
        <v>6140</v>
      </c>
      <c r="V3942" s="41" t="str">
        <f>HYPERLINK("http://ictvonline.org/taxonomy/p/taxonomy-history?taxnode_id=20184226","ICTVonline=20184226")</f>
        <v>ICTVonline=20184226</v>
      </c>
    </row>
    <row r="3943" spans="1:22">
      <c r="A3943" s="3">
        <v>3942</v>
      </c>
      <c r="L3943" s="1" t="s">
        <v>1930</v>
      </c>
      <c r="M3943" s="1" t="s">
        <v>1931</v>
      </c>
      <c r="N3943" s="1" t="s">
        <v>2562</v>
      </c>
      <c r="P3943" s="1" t="s">
        <v>2564</v>
      </c>
      <c r="Q3943" s="3">
        <v>0</v>
      </c>
      <c r="R3943" s="22" t="s">
        <v>3871</v>
      </c>
      <c r="S3943" s="22" t="s">
        <v>5097</v>
      </c>
      <c r="T3943" s="51">
        <v>28</v>
      </c>
      <c r="U3943" s="3" t="s">
        <v>6140</v>
      </c>
      <c r="V3943" s="41" t="str">
        <f>HYPERLINK("http://ictvonline.org/taxonomy/p/taxonomy-history?taxnode_id=20184227","ICTVonline=20184227")</f>
        <v>ICTVonline=20184227</v>
      </c>
    </row>
    <row r="3944" spans="1:22">
      <c r="A3944" s="3">
        <v>3943</v>
      </c>
      <c r="L3944" s="1" t="s">
        <v>1930</v>
      </c>
      <c r="M3944" s="1" t="s">
        <v>1931</v>
      </c>
      <c r="N3944" s="1" t="s">
        <v>2562</v>
      </c>
      <c r="P3944" s="1" t="s">
        <v>2565</v>
      </c>
      <c r="Q3944" s="3">
        <v>0</v>
      </c>
      <c r="R3944" s="22" t="s">
        <v>3871</v>
      </c>
      <c r="S3944" s="22" t="s">
        <v>5097</v>
      </c>
      <c r="T3944" s="51">
        <v>28</v>
      </c>
      <c r="U3944" s="3" t="s">
        <v>6140</v>
      </c>
      <c r="V3944" s="41" t="str">
        <f>HYPERLINK("http://ictvonline.org/taxonomy/p/taxonomy-history?taxnode_id=20184228","ICTVonline=20184228")</f>
        <v>ICTVonline=20184228</v>
      </c>
    </row>
    <row r="3945" spans="1:22">
      <c r="A3945" s="3">
        <v>3944</v>
      </c>
      <c r="L3945" s="1" t="s">
        <v>1930</v>
      </c>
      <c r="M3945" s="1" t="s">
        <v>1931</v>
      </c>
      <c r="N3945" s="1" t="s">
        <v>2562</v>
      </c>
      <c r="P3945" s="1" t="s">
        <v>2566</v>
      </c>
      <c r="Q3945" s="3">
        <v>0</v>
      </c>
      <c r="R3945" s="22" t="s">
        <v>3871</v>
      </c>
      <c r="S3945" s="22" t="s">
        <v>5097</v>
      </c>
      <c r="T3945" s="51">
        <v>28</v>
      </c>
      <c r="U3945" s="3" t="s">
        <v>6140</v>
      </c>
      <c r="V3945" s="41" t="str">
        <f>HYPERLINK("http://ictvonline.org/taxonomy/p/taxonomy-history?taxnode_id=20184229","ICTVonline=20184229")</f>
        <v>ICTVonline=20184229</v>
      </c>
    </row>
    <row r="3946" spans="1:22">
      <c r="A3946" s="3">
        <v>3945</v>
      </c>
      <c r="L3946" s="1" t="s">
        <v>1930</v>
      </c>
      <c r="M3946" s="1" t="s">
        <v>1931</v>
      </c>
      <c r="N3946" s="1" t="s">
        <v>2562</v>
      </c>
      <c r="P3946" s="1" t="s">
        <v>2567</v>
      </c>
      <c r="Q3946" s="3">
        <v>0</v>
      </c>
      <c r="R3946" s="22" t="s">
        <v>3871</v>
      </c>
      <c r="S3946" s="22" t="s">
        <v>5097</v>
      </c>
      <c r="T3946" s="51">
        <v>28</v>
      </c>
      <c r="U3946" s="3" t="s">
        <v>6140</v>
      </c>
      <c r="V3946" s="41" t="str">
        <f>HYPERLINK("http://ictvonline.org/taxonomy/p/taxonomy-history?taxnode_id=20184230","ICTVonline=20184230")</f>
        <v>ICTVonline=20184230</v>
      </c>
    </row>
    <row r="3947" spans="1:22">
      <c r="A3947" s="3">
        <v>3946</v>
      </c>
      <c r="L3947" s="1" t="s">
        <v>1930</v>
      </c>
      <c r="M3947" s="1" t="s">
        <v>1931</v>
      </c>
      <c r="N3947" s="1" t="s">
        <v>2568</v>
      </c>
      <c r="P3947" s="1" t="s">
        <v>2569</v>
      </c>
      <c r="Q3947" s="3">
        <v>1</v>
      </c>
      <c r="R3947" s="22" t="s">
        <v>3871</v>
      </c>
      <c r="S3947" s="22" t="s">
        <v>5097</v>
      </c>
      <c r="T3947" s="51">
        <v>28</v>
      </c>
      <c r="U3947" s="3" t="s">
        <v>6140</v>
      </c>
      <c r="V3947" s="41" t="str">
        <f>HYPERLINK("http://ictvonline.org/taxonomy/p/taxonomy-history?taxnode_id=20184232","ICTVonline=20184232")</f>
        <v>ICTVonline=20184232</v>
      </c>
    </row>
    <row r="3948" spans="1:22">
      <c r="A3948" s="3">
        <v>3947</v>
      </c>
      <c r="L3948" s="1" t="s">
        <v>1930</v>
      </c>
      <c r="M3948" s="1" t="s">
        <v>1931</v>
      </c>
      <c r="P3948" s="1" t="s">
        <v>4989</v>
      </c>
      <c r="Q3948" s="3">
        <v>0</v>
      </c>
      <c r="R3948" s="22" t="s">
        <v>3871</v>
      </c>
      <c r="S3948" s="22" t="s">
        <v>5097</v>
      </c>
      <c r="T3948" s="51">
        <v>31</v>
      </c>
      <c r="U3948" s="3" t="s">
        <v>6139</v>
      </c>
      <c r="V3948" s="41" t="str">
        <f>HYPERLINK("http://ictvonline.org/taxonomy/p/taxonomy-history?taxnode_id=20184234","ICTVonline=20184234")</f>
        <v>ICTVonline=20184234</v>
      </c>
    </row>
    <row r="3949" spans="1:22">
      <c r="A3949" s="3">
        <v>3948</v>
      </c>
      <c r="L3949" s="1" t="s">
        <v>1930</v>
      </c>
      <c r="M3949" s="1" t="s">
        <v>1628</v>
      </c>
      <c r="N3949" s="1" t="s">
        <v>2570</v>
      </c>
      <c r="P3949" s="1" t="s">
        <v>2571</v>
      </c>
      <c r="Q3949" s="3">
        <v>1</v>
      </c>
      <c r="R3949" s="22" t="s">
        <v>3871</v>
      </c>
      <c r="S3949" s="22" t="s">
        <v>5097</v>
      </c>
      <c r="T3949" s="51">
        <v>28</v>
      </c>
      <c r="U3949" s="3" t="s">
        <v>6140</v>
      </c>
      <c r="V3949" s="41" t="str">
        <f>HYPERLINK("http://ictvonline.org/taxonomy/p/taxonomy-history?taxnode_id=20184237","ICTVonline=20184237")</f>
        <v>ICTVonline=20184237</v>
      </c>
    </row>
    <row r="3950" spans="1:22">
      <c r="A3950" s="3">
        <v>3949</v>
      </c>
      <c r="L3950" s="1" t="s">
        <v>1930</v>
      </c>
      <c r="M3950" s="1" t="s">
        <v>1628</v>
      </c>
      <c r="N3950" s="1" t="s">
        <v>2570</v>
      </c>
      <c r="P3950" s="1" t="s">
        <v>2572</v>
      </c>
      <c r="Q3950" s="3">
        <v>0</v>
      </c>
      <c r="R3950" s="22" t="s">
        <v>3871</v>
      </c>
      <c r="S3950" s="22" t="s">
        <v>5097</v>
      </c>
      <c r="T3950" s="51">
        <v>28</v>
      </c>
      <c r="U3950" s="3" t="s">
        <v>6140</v>
      </c>
      <c r="V3950" s="41" t="str">
        <f>HYPERLINK("http://ictvonline.org/taxonomy/p/taxonomy-history?taxnode_id=20184238","ICTVonline=20184238")</f>
        <v>ICTVonline=20184238</v>
      </c>
    </row>
    <row r="3951" spans="1:22">
      <c r="A3951" s="3">
        <v>3950</v>
      </c>
      <c r="L3951" s="1" t="s">
        <v>1930</v>
      </c>
      <c r="M3951" s="1" t="s">
        <v>1628</v>
      </c>
      <c r="N3951" s="1" t="s">
        <v>2570</v>
      </c>
      <c r="P3951" s="1" t="s">
        <v>6141</v>
      </c>
      <c r="Q3951" s="3">
        <v>0</v>
      </c>
      <c r="R3951" s="22" t="s">
        <v>3871</v>
      </c>
      <c r="S3951" s="22" t="s">
        <v>5097</v>
      </c>
      <c r="T3951" s="51">
        <v>32</v>
      </c>
      <c r="U3951" s="3" t="s">
        <v>6142</v>
      </c>
      <c r="V3951" s="41" t="str">
        <f>HYPERLINK("http://ictvonline.org/taxonomy/p/taxonomy-history?taxnode_id=20185887","ICTVonline=20185887")</f>
        <v>ICTVonline=20185887</v>
      </c>
    </row>
    <row r="3952" spans="1:22">
      <c r="A3952" s="3">
        <v>3951</v>
      </c>
      <c r="L3952" s="1" t="s">
        <v>1930</v>
      </c>
      <c r="M3952" s="1" t="s">
        <v>1628</v>
      </c>
      <c r="N3952" s="1" t="s">
        <v>2570</v>
      </c>
      <c r="P3952" s="1" t="s">
        <v>6143</v>
      </c>
      <c r="Q3952" s="3">
        <v>0</v>
      </c>
      <c r="R3952" s="22" t="s">
        <v>3871</v>
      </c>
      <c r="S3952" s="22" t="s">
        <v>5097</v>
      </c>
      <c r="T3952" s="51">
        <v>32</v>
      </c>
      <c r="U3952" s="3" t="s">
        <v>6142</v>
      </c>
      <c r="V3952" s="41" t="str">
        <f>HYPERLINK("http://ictvonline.org/taxonomy/p/taxonomy-history?taxnode_id=20185888","ICTVonline=20185888")</f>
        <v>ICTVonline=20185888</v>
      </c>
    </row>
    <row r="3953" spans="1:22">
      <c r="A3953" s="3">
        <v>3952</v>
      </c>
      <c r="L3953" s="1" t="s">
        <v>1930</v>
      </c>
      <c r="M3953" s="1" t="s">
        <v>1628</v>
      </c>
      <c r="N3953" s="1" t="s">
        <v>2573</v>
      </c>
      <c r="P3953" s="1" t="s">
        <v>2574</v>
      </c>
      <c r="Q3953" s="3">
        <v>1</v>
      </c>
      <c r="R3953" s="22" t="s">
        <v>3871</v>
      </c>
      <c r="S3953" s="22" t="s">
        <v>5097</v>
      </c>
      <c r="T3953" s="51">
        <v>28</v>
      </c>
      <c r="U3953" s="3" t="s">
        <v>6140</v>
      </c>
      <c r="V3953" s="41" t="str">
        <f>HYPERLINK("http://ictvonline.org/taxonomy/p/taxonomy-history?taxnode_id=20184240","ICTVonline=20184240")</f>
        <v>ICTVonline=20184240</v>
      </c>
    </row>
    <row r="3954" spans="1:22">
      <c r="A3954" s="3">
        <v>3953</v>
      </c>
      <c r="L3954" s="1" t="s">
        <v>1930</v>
      </c>
      <c r="M3954" s="1" t="s">
        <v>1628</v>
      </c>
      <c r="N3954" s="1" t="s">
        <v>2575</v>
      </c>
      <c r="P3954" s="1" t="s">
        <v>2576</v>
      </c>
      <c r="Q3954" s="3">
        <v>0</v>
      </c>
      <c r="R3954" s="22" t="s">
        <v>3871</v>
      </c>
      <c r="S3954" s="22" t="s">
        <v>5097</v>
      </c>
      <c r="T3954" s="51">
        <v>28</v>
      </c>
      <c r="U3954" s="3" t="s">
        <v>6140</v>
      </c>
      <c r="V3954" s="41" t="str">
        <f>HYPERLINK("http://ictvonline.org/taxonomy/p/taxonomy-history?taxnode_id=20184242","ICTVonline=20184242")</f>
        <v>ICTVonline=20184242</v>
      </c>
    </row>
    <row r="3955" spans="1:22">
      <c r="A3955" s="3">
        <v>3954</v>
      </c>
      <c r="L3955" s="1" t="s">
        <v>1930</v>
      </c>
      <c r="M3955" s="1" t="s">
        <v>1628</v>
      </c>
      <c r="N3955" s="1" t="s">
        <v>2575</v>
      </c>
      <c r="P3955" s="1" t="s">
        <v>2577</v>
      </c>
      <c r="Q3955" s="3">
        <v>0</v>
      </c>
      <c r="R3955" s="22" t="s">
        <v>3871</v>
      </c>
      <c r="S3955" s="22" t="s">
        <v>5097</v>
      </c>
      <c r="T3955" s="51">
        <v>28</v>
      </c>
      <c r="U3955" s="3" t="s">
        <v>6140</v>
      </c>
      <c r="V3955" s="41" t="str">
        <f>HYPERLINK("http://ictvonline.org/taxonomy/p/taxonomy-history?taxnode_id=20184243","ICTVonline=20184243")</f>
        <v>ICTVonline=20184243</v>
      </c>
    </row>
    <row r="3956" spans="1:22">
      <c r="A3956" s="3">
        <v>3955</v>
      </c>
      <c r="L3956" s="1" t="s">
        <v>1930</v>
      </c>
      <c r="M3956" s="1" t="s">
        <v>1628</v>
      </c>
      <c r="N3956" s="1" t="s">
        <v>2575</v>
      </c>
      <c r="P3956" s="1" t="s">
        <v>2578</v>
      </c>
      <c r="Q3956" s="3">
        <v>0</v>
      </c>
      <c r="R3956" s="22" t="s">
        <v>3871</v>
      </c>
      <c r="S3956" s="22" t="s">
        <v>5097</v>
      </c>
      <c r="T3956" s="51">
        <v>28</v>
      </c>
      <c r="U3956" s="3" t="s">
        <v>6140</v>
      </c>
      <c r="V3956" s="41" t="str">
        <f>HYPERLINK("http://ictvonline.org/taxonomy/p/taxonomy-history?taxnode_id=20184244","ICTVonline=20184244")</f>
        <v>ICTVonline=20184244</v>
      </c>
    </row>
    <row r="3957" spans="1:22">
      <c r="A3957" s="3">
        <v>3956</v>
      </c>
      <c r="L3957" s="1" t="s">
        <v>1930</v>
      </c>
      <c r="M3957" s="1" t="s">
        <v>1628</v>
      </c>
      <c r="N3957" s="1" t="s">
        <v>2575</v>
      </c>
      <c r="P3957" s="1" t="s">
        <v>6144</v>
      </c>
      <c r="Q3957" s="3">
        <v>0</v>
      </c>
      <c r="R3957" s="22" t="s">
        <v>3871</v>
      </c>
      <c r="S3957" s="22" t="s">
        <v>5097</v>
      </c>
      <c r="T3957" s="51">
        <v>32</v>
      </c>
      <c r="U3957" s="3" t="s">
        <v>6145</v>
      </c>
      <c r="V3957" s="41" t="str">
        <f>HYPERLINK("http://ictvonline.org/taxonomy/p/taxonomy-history?taxnode_id=20185889","ICTVonline=20185889")</f>
        <v>ICTVonline=20185889</v>
      </c>
    </row>
    <row r="3958" spans="1:22">
      <c r="A3958" s="3">
        <v>3957</v>
      </c>
      <c r="L3958" s="1" t="s">
        <v>1930</v>
      </c>
      <c r="M3958" s="1" t="s">
        <v>1628</v>
      </c>
      <c r="N3958" s="1" t="s">
        <v>2575</v>
      </c>
      <c r="P3958" s="1" t="s">
        <v>6146</v>
      </c>
      <c r="Q3958" s="3">
        <v>0</v>
      </c>
      <c r="R3958" s="22" t="s">
        <v>3871</v>
      </c>
      <c r="S3958" s="22" t="s">
        <v>5097</v>
      </c>
      <c r="T3958" s="51">
        <v>32</v>
      </c>
      <c r="U3958" s="3" t="s">
        <v>6145</v>
      </c>
      <c r="V3958" s="41" t="str">
        <f>HYPERLINK("http://ictvonline.org/taxonomy/p/taxonomy-history?taxnode_id=20185890","ICTVonline=20185890")</f>
        <v>ICTVonline=20185890</v>
      </c>
    </row>
    <row r="3959" spans="1:22">
      <c r="A3959" s="3">
        <v>3958</v>
      </c>
      <c r="L3959" s="1" t="s">
        <v>1930</v>
      </c>
      <c r="M3959" s="1" t="s">
        <v>1628</v>
      </c>
      <c r="N3959" s="1" t="s">
        <v>2575</v>
      </c>
      <c r="P3959" s="1" t="s">
        <v>6147</v>
      </c>
      <c r="Q3959" s="3">
        <v>0</v>
      </c>
      <c r="R3959" s="22" t="s">
        <v>3871</v>
      </c>
      <c r="S3959" s="22" t="s">
        <v>5097</v>
      </c>
      <c r="T3959" s="51">
        <v>32</v>
      </c>
      <c r="U3959" s="3" t="s">
        <v>6145</v>
      </c>
      <c r="V3959" s="41" t="str">
        <f>HYPERLINK("http://ictvonline.org/taxonomy/p/taxonomy-history?taxnode_id=20185891","ICTVonline=20185891")</f>
        <v>ICTVonline=20185891</v>
      </c>
    </row>
    <row r="3960" spans="1:22">
      <c r="A3960" s="3">
        <v>3959</v>
      </c>
      <c r="L3960" s="1" t="s">
        <v>1930</v>
      </c>
      <c r="M3960" s="1" t="s">
        <v>1628</v>
      </c>
      <c r="N3960" s="1" t="s">
        <v>2575</v>
      </c>
      <c r="P3960" s="1" t="s">
        <v>6148</v>
      </c>
      <c r="Q3960" s="3">
        <v>0</v>
      </c>
      <c r="R3960" s="22" t="s">
        <v>3871</v>
      </c>
      <c r="S3960" s="22" t="s">
        <v>5097</v>
      </c>
      <c r="T3960" s="51">
        <v>32</v>
      </c>
      <c r="U3960" s="3" t="s">
        <v>6145</v>
      </c>
      <c r="V3960" s="41" t="str">
        <f>HYPERLINK("http://ictvonline.org/taxonomy/p/taxonomy-history?taxnode_id=20185892","ICTVonline=20185892")</f>
        <v>ICTVonline=20185892</v>
      </c>
    </row>
    <row r="3961" spans="1:22">
      <c r="A3961" s="3">
        <v>3960</v>
      </c>
      <c r="L3961" s="1" t="s">
        <v>1930</v>
      </c>
      <c r="M3961" s="1" t="s">
        <v>1628</v>
      </c>
      <c r="N3961" s="1" t="s">
        <v>2575</v>
      </c>
      <c r="P3961" s="1" t="s">
        <v>6149</v>
      </c>
      <c r="Q3961" s="3">
        <v>0</v>
      </c>
      <c r="R3961" s="22" t="s">
        <v>3871</v>
      </c>
      <c r="S3961" s="22" t="s">
        <v>5097</v>
      </c>
      <c r="T3961" s="51">
        <v>32</v>
      </c>
      <c r="U3961" s="3" t="s">
        <v>6145</v>
      </c>
      <c r="V3961" s="41" t="str">
        <f>HYPERLINK("http://ictvonline.org/taxonomy/p/taxonomy-history?taxnode_id=20185893","ICTVonline=20185893")</f>
        <v>ICTVonline=20185893</v>
      </c>
    </row>
    <row r="3962" spans="1:22">
      <c r="A3962" s="3">
        <v>3961</v>
      </c>
      <c r="L3962" s="1" t="s">
        <v>1930</v>
      </c>
      <c r="M3962" s="1" t="s">
        <v>1628</v>
      </c>
      <c r="N3962" s="1" t="s">
        <v>2575</v>
      </c>
      <c r="P3962" s="1" t="s">
        <v>6150</v>
      </c>
      <c r="Q3962" s="3">
        <v>0</v>
      </c>
      <c r="R3962" s="22" t="s">
        <v>3871</v>
      </c>
      <c r="S3962" s="22" t="s">
        <v>5097</v>
      </c>
      <c r="T3962" s="51">
        <v>32</v>
      </c>
      <c r="U3962" s="3" t="s">
        <v>6145</v>
      </c>
      <c r="V3962" s="41" t="str">
        <f>HYPERLINK("http://ictvonline.org/taxonomy/p/taxonomy-history?taxnode_id=20185894","ICTVonline=20185894")</f>
        <v>ICTVonline=20185894</v>
      </c>
    </row>
    <row r="3963" spans="1:22">
      <c r="A3963" s="3">
        <v>3962</v>
      </c>
      <c r="L3963" s="1" t="s">
        <v>1930</v>
      </c>
      <c r="M3963" s="1" t="s">
        <v>1628</v>
      </c>
      <c r="N3963" s="1" t="s">
        <v>2575</v>
      </c>
      <c r="P3963" s="1" t="s">
        <v>6151</v>
      </c>
      <c r="Q3963" s="3">
        <v>0</v>
      </c>
      <c r="R3963" s="22" t="s">
        <v>3871</v>
      </c>
      <c r="S3963" s="22" t="s">
        <v>5097</v>
      </c>
      <c r="T3963" s="51">
        <v>32</v>
      </c>
      <c r="U3963" s="3" t="s">
        <v>6145</v>
      </c>
      <c r="V3963" s="41" t="str">
        <f>HYPERLINK("http://ictvonline.org/taxonomy/p/taxonomy-history?taxnode_id=20185895","ICTVonline=20185895")</f>
        <v>ICTVonline=20185895</v>
      </c>
    </row>
    <row r="3964" spans="1:22">
      <c r="A3964" s="3">
        <v>3963</v>
      </c>
      <c r="L3964" s="1" t="s">
        <v>1930</v>
      </c>
      <c r="M3964" s="1" t="s">
        <v>1628</v>
      </c>
      <c r="N3964" s="1" t="s">
        <v>2575</v>
      </c>
      <c r="P3964" s="1" t="s">
        <v>6152</v>
      </c>
      <c r="Q3964" s="3">
        <v>0</v>
      </c>
      <c r="R3964" s="22" t="s">
        <v>3871</v>
      </c>
      <c r="S3964" s="22" t="s">
        <v>5097</v>
      </c>
      <c r="T3964" s="51">
        <v>32</v>
      </c>
      <c r="U3964" s="3" t="s">
        <v>6145</v>
      </c>
      <c r="V3964" s="41" t="str">
        <f>HYPERLINK("http://ictvonline.org/taxonomy/p/taxonomy-history?taxnode_id=20185896","ICTVonline=20185896")</f>
        <v>ICTVonline=20185896</v>
      </c>
    </row>
    <row r="3965" spans="1:22">
      <c r="A3965" s="3">
        <v>3964</v>
      </c>
      <c r="L3965" s="1" t="s">
        <v>1930</v>
      </c>
      <c r="M3965" s="1" t="s">
        <v>1628</v>
      </c>
      <c r="N3965" s="1" t="s">
        <v>2575</v>
      </c>
      <c r="P3965" s="1" t="s">
        <v>2579</v>
      </c>
      <c r="Q3965" s="3">
        <v>0</v>
      </c>
      <c r="R3965" s="22" t="s">
        <v>3871</v>
      </c>
      <c r="S3965" s="22" t="s">
        <v>5097</v>
      </c>
      <c r="T3965" s="51">
        <v>28</v>
      </c>
      <c r="U3965" s="3" t="s">
        <v>6140</v>
      </c>
      <c r="V3965" s="41" t="str">
        <f>HYPERLINK("http://ictvonline.org/taxonomy/p/taxonomy-history?taxnode_id=20184245","ICTVonline=20184245")</f>
        <v>ICTVonline=20184245</v>
      </c>
    </row>
    <row r="3966" spans="1:22">
      <c r="A3966" s="3">
        <v>3965</v>
      </c>
      <c r="L3966" s="1" t="s">
        <v>1930</v>
      </c>
      <c r="M3966" s="1" t="s">
        <v>1628</v>
      </c>
      <c r="N3966" s="1" t="s">
        <v>2575</v>
      </c>
      <c r="P3966" s="1" t="s">
        <v>2580</v>
      </c>
      <c r="Q3966" s="3">
        <v>0</v>
      </c>
      <c r="R3966" s="22" t="s">
        <v>3871</v>
      </c>
      <c r="S3966" s="22" t="s">
        <v>5097</v>
      </c>
      <c r="T3966" s="51">
        <v>28</v>
      </c>
      <c r="U3966" s="3" t="s">
        <v>6140</v>
      </c>
      <c r="V3966" s="41" t="str">
        <f>HYPERLINK("http://ictvonline.org/taxonomy/p/taxonomy-history?taxnode_id=20184246","ICTVonline=20184246")</f>
        <v>ICTVonline=20184246</v>
      </c>
    </row>
    <row r="3967" spans="1:22">
      <c r="A3967" s="3">
        <v>3966</v>
      </c>
      <c r="L3967" s="1" t="s">
        <v>1930</v>
      </c>
      <c r="M3967" s="1" t="s">
        <v>1628</v>
      </c>
      <c r="N3967" s="1" t="s">
        <v>2575</v>
      </c>
      <c r="P3967" s="1" t="s">
        <v>2581</v>
      </c>
      <c r="Q3967" s="3">
        <v>0</v>
      </c>
      <c r="R3967" s="22" t="s">
        <v>3871</v>
      </c>
      <c r="S3967" s="22" t="s">
        <v>5097</v>
      </c>
      <c r="T3967" s="51">
        <v>28</v>
      </c>
      <c r="U3967" s="3" t="s">
        <v>6140</v>
      </c>
      <c r="V3967" s="41" t="str">
        <f>HYPERLINK("http://ictvonline.org/taxonomy/p/taxonomy-history?taxnode_id=20184247","ICTVonline=20184247")</f>
        <v>ICTVonline=20184247</v>
      </c>
    </row>
    <row r="3968" spans="1:22">
      <c r="A3968" s="3">
        <v>3967</v>
      </c>
      <c r="L3968" s="1" t="s">
        <v>1930</v>
      </c>
      <c r="M3968" s="1" t="s">
        <v>1628</v>
      </c>
      <c r="N3968" s="1" t="s">
        <v>2575</v>
      </c>
      <c r="P3968" s="1" t="s">
        <v>2582</v>
      </c>
      <c r="Q3968" s="3">
        <v>0</v>
      </c>
      <c r="R3968" s="22" t="s">
        <v>3871</v>
      </c>
      <c r="S3968" s="22" t="s">
        <v>5097</v>
      </c>
      <c r="T3968" s="51">
        <v>28</v>
      </c>
      <c r="U3968" s="3" t="s">
        <v>6140</v>
      </c>
      <c r="V3968" s="41" t="str">
        <f>HYPERLINK("http://ictvonline.org/taxonomy/p/taxonomy-history?taxnode_id=20184248","ICTVonline=20184248")</f>
        <v>ICTVonline=20184248</v>
      </c>
    </row>
    <row r="3969" spans="1:22">
      <c r="A3969" s="3">
        <v>3968</v>
      </c>
      <c r="L3969" s="1" t="s">
        <v>1930</v>
      </c>
      <c r="M3969" s="1" t="s">
        <v>1628</v>
      </c>
      <c r="N3969" s="1" t="s">
        <v>2575</v>
      </c>
      <c r="P3969" s="1" t="s">
        <v>2583</v>
      </c>
      <c r="Q3969" s="3">
        <v>1</v>
      </c>
      <c r="R3969" s="22" t="s">
        <v>3871</v>
      </c>
      <c r="S3969" s="22" t="s">
        <v>5097</v>
      </c>
      <c r="T3969" s="51">
        <v>28</v>
      </c>
      <c r="U3969" s="3" t="s">
        <v>6140</v>
      </c>
      <c r="V3969" s="41" t="str">
        <f>HYPERLINK("http://ictvonline.org/taxonomy/p/taxonomy-history?taxnode_id=20184249","ICTVonline=20184249")</f>
        <v>ICTVonline=20184249</v>
      </c>
    </row>
    <row r="3970" spans="1:22">
      <c r="A3970" s="3">
        <v>3969</v>
      </c>
      <c r="L3970" s="1" t="s">
        <v>1930</v>
      </c>
      <c r="M3970" s="1" t="s">
        <v>1628</v>
      </c>
      <c r="N3970" s="1" t="s">
        <v>2575</v>
      </c>
      <c r="P3970" s="1" t="s">
        <v>2584</v>
      </c>
      <c r="Q3970" s="3">
        <v>0</v>
      </c>
      <c r="R3970" s="22" t="s">
        <v>3871</v>
      </c>
      <c r="S3970" s="22" t="s">
        <v>5097</v>
      </c>
      <c r="T3970" s="51">
        <v>28</v>
      </c>
      <c r="U3970" s="3" t="s">
        <v>6140</v>
      </c>
      <c r="V3970" s="41" t="str">
        <f>HYPERLINK("http://ictvonline.org/taxonomy/p/taxonomy-history?taxnode_id=20184250","ICTVonline=20184250")</f>
        <v>ICTVonline=20184250</v>
      </c>
    </row>
    <row r="3971" spans="1:22">
      <c r="A3971" s="3">
        <v>3970</v>
      </c>
      <c r="L3971" s="1" t="s">
        <v>1930</v>
      </c>
      <c r="M3971" s="1" t="s">
        <v>1628</v>
      </c>
      <c r="N3971" s="1" t="s">
        <v>2575</v>
      </c>
      <c r="P3971" s="1" t="s">
        <v>2585</v>
      </c>
      <c r="Q3971" s="3">
        <v>0</v>
      </c>
      <c r="R3971" s="22" t="s">
        <v>3871</v>
      </c>
      <c r="S3971" s="22" t="s">
        <v>5097</v>
      </c>
      <c r="T3971" s="51">
        <v>28</v>
      </c>
      <c r="U3971" s="3" t="s">
        <v>6140</v>
      </c>
      <c r="V3971" s="41" t="str">
        <f>HYPERLINK("http://ictvonline.org/taxonomy/p/taxonomy-history?taxnode_id=20184251","ICTVonline=20184251")</f>
        <v>ICTVonline=20184251</v>
      </c>
    </row>
    <row r="3972" spans="1:22">
      <c r="A3972" s="3">
        <v>3971</v>
      </c>
      <c r="L3972" s="1" t="s">
        <v>1930</v>
      </c>
      <c r="M3972" s="1" t="s">
        <v>1628</v>
      </c>
      <c r="N3972" s="1" t="s">
        <v>2575</v>
      </c>
      <c r="P3972" s="1" t="s">
        <v>2586</v>
      </c>
      <c r="Q3972" s="3">
        <v>0</v>
      </c>
      <c r="R3972" s="22" t="s">
        <v>3871</v>
      </c>
      <c r="S3972" s="22" t="s">
        <v>5097</v>
      </c>
      <c r="T3972" s="51">
        <v>28</v>
      </c>
      <c r="U3972" s="3" t="s">
        <v>6140</v>
      </c>
      <c r="V3972" s="41" t="str">
        <f>HYPERLINK("http://ictvonline.org/taxonomy/p/taxonomy-history?taxnode_id=20184252","ICTVonline=20184252")</f>
        <v>ICTVonline=20184252</v>
      </c>
    </row>
    <row r="3973" spans="1:22">
      <c r="A3973" s="3">
        <v>3972</v>
      </c>
      <c r="L3973" s="1" t="s">
        <v>1930</v>
      </c>
      <c r="M3973" s="1" t="s">
        <v>1628</v>
      </c>
      <c r="N3973" s="1" t="s">
        <v>2575</v>
      </c>
      <c r="P3973" s="1" t="s">
        <v>2587</v>
      </c>
      <c r="Q3973" s="3">
        <v>0</v>
      </c>
      <c r="R3973" s="22" t="s">
        <v>3871</v>
      </c>
      <c r="S3973" s="22" t="s">
        <v>5097</v>
      </c>
      <c r="T3973" s="51">
        <v>28</v>
      </c>
      <c r="U3973" s="3" t="s">
        <v>6140</v>
      </c>
      <c r="V3973" s="41" t="str">
        <f>HYPERLINK("http://ictvonline.org/taxonomy/p/taxonomy-history?taxnode_id=20184253","ICTVonline=20184253")</f>
        <v>ICTVonline=20184253</v>
      </c>
    </row>
    <row r="3974" spans="1:22">
      <c r="A3974" s="3">
        <v>3973</v>
      </c>
      <c r="L3974" s="1" t="s">
        <v>1930</v>
      </c>
      <c r="M3974" s="1" t="s">
        <v>1628</v>
      </c>
      <c r="N3974" s="1" t="s">
        <v>2575</v>
      </c>
      <c r="P3974" s="1" t="s">
        <v>6153</v>
      </c>
      <c r="Q3974" s="3">
        <v>0</v>
      </c>
      <c r="R3974" s="22" t="s">
        <v>3871</v>
      </c>
      <c r="S3974" s="22" t="s">
        <v>5097</v>
      </c>
      <c r="T3974" s="51">
        <v>32</v>
      </c>
      <c r="U3974" s="3" t="s">
        <v>6145</v>
      </c>
      <c r="V3974" s="41" t="str">
        <f>HYPERLINK("http://ictvonline.org/taxonomy/p/taxonomy-history?taxnode_id=20185897","ICTVonline=20185897")</f>
        <v>ICTVonline=20185897</v>
      </c>
    </row>
    <row r="3975" spans="1:22">
      <c r="A3975" s="3">
        <v>3974</v>
      </c>
      <c r="L3975" s="1" t="s">
        <v>1930</v>
      </c>
      <c r="M3975" s="1" t="s">
        <v>1628</v>
      </c>
      <c r="N3975" s="1" t="s">
        <v>2588</v>
      </c>
      <c r="P3975" s="1" t="s">
        <v>2589</v>
      </c>
      <c r="Q3975" s="3">
        <v>1</v>
      </c>
      <c r="R3975" s="22" t="s">
        <v>3871</v>
      </c>
      <c r="S3975" s="22" t="s">
        <v>5097</v>
      </c>
      <c r="T3975" s="51">
        <v>28</v>
      </c>
      <c r="U3975" s="3" t="s">
        <v>6140</v>
      </c>
      <c r="V3975" s="41" t="str">
        <f>HYPERLINK("http://ictvonline.org/taxonomy/p/taxonomy-history?taxnode_id=20184255","ICTVonline=20184255")</f>
        <v>ICTVonline=20184255</v>
      </c>
    </row>
    <row r="3976" spans="1:22">
      <c r="A3976" s="3">
        <v>3975</v>
      </c>
      <c r="L3976" s="1" t="s">
        <v>1930</v>
      </c>
      <c r="M3976" s="1" t="s">
        <v>1628</v>
      </c>
      <c r="N3976" s="1" t="s">
        <v>2588</v>
      </c>
      <c r="P3976" s="1" t="s">
        <v>2590</v>
      </c>
      <c r="Q3976" s="3">
        <v>0</v>
      </c>
      <c r="R3976" s="22" t="s">
        <v>3871</v>
      </c>
      <c r="S3976" s="22" t="s">
        <v>5097</v>
      </c>
      <c r="T3976" s="51">
        <v>28</v>
      </c>
      <c r="U3976" s="3" t="s">
        <v>6140</v>
      </c>
      <c r="V3976" s="41" t="str">
        <f>HYPERLINK("http://ictvonline.org/taxonomy/p/taxonomy-history?taxnode_id=20184256","ICTVonline=20184256")</f>
        <v>ICTVonline=20184256</v>
      </c>
    </row>
    <row r="3977" spans="1:22">
      <c r="A3977" s="3">
        <v>3976</v>
      </c>
      <c r="L3977" s="1" t="s">
        <v>1930</v>
      </c>
      <c r="M3977" s="1" t="s">
        <v>1628</v>
      </c>
      <c r="N3977" s="1" t="s">
        <v>2591</v>
      </c>
      <c r="P3977" s="1" t="s">
        <v>2592</v>
      </c>
      <c r="Q3977" s="3">
        <v>1</v>
      </c>
      <c r="R3977" s="22" t="s">
        <v>3871</v>
      </c>
      <c r="S3977" s="22" t="s">
        <v>5097</v>
      </c>
      <c r="T3977" s="51">
        <v>28</v>
      </c>
      <c r="U3977" s="3" t="s">
        <v>6140</v>
      </c>
      <c r="V3977" s="41" t="str">
        <f>HYPERLINK("http://ictvonline.org/taxonomy/p/taxonomy-history?taxnode_id=20184258","ICTVonline=20184258")</f>
        <v>ICTVonline=20184258</v>
      </c>
    </row>
    <row r="3978" spans="1:22">
      <c r="A3978" s="3">
        <v>3977</v>
      </c>
      <c r="L3978" s="1" t="s">
        <v>1930</v>
      </c>
      <c r="M3978" s="1" t="s">
        <v>1628</v>
      </c>
      <c r="N3978" s="1" t="s">
        <v>2591</v>
      </c>
      <c r="P3978" s="1" t="s">
        <v>2593</v>
      </c>
      <c r="Q3978" s="3">
        <v>0</v>
      </c>
      <c r="R3978" s="22" t="s">
        <v>3871</v>
      </c>
      <c r="S3978" s="22" t="s">
        <v>5097</v>
      </c>
      <c r="T3978" s="51">
        <v>28</v>
      </c>
      <c r="U3978" s="3" t="s">
        <v>6140</v>
      </c>
      <c r="V3978" s="41" t="str">
        <f>HYPERLINK("http://ictvonline.org/taxonomy/p/taxonomy-history?taxnode_id=20184259","ICTVonline=20184259")</f>
        <v>ICTVonline=20184259</v>
      </c>
    </row>
    <row r="3979" spans="1:22">
      <c r="A3979" s="3">
        <v>3978</v>
      </c>
      <c r="L3979" s="1" t="s">
        <v>1930</v>
      </c>
      <c r="M3979" s="1" t="s">
        <v>1628</v>
      </c>
      <c r="N3979" s="1" t="s">
        <v>2591</v>
      </c>
      <c r="P3979" s="1" t="s">
        <v>2594</v>
      </c>
      <c r="Q3979" s="3">
        <v>0</v>
      </c>
      <c r="R3979" s="22" t="s">
        <v>3871</v>
      </c>
      <c r="S3979" s="22" t="s">
        <v>5097</v>
      </c>
      <c r="T3979" s="51">
        <v>28</v>
      </c>
      <c r="U3979" s="3" t="s">
        <v>6140</v>
      </c>
      <c r="V3979" s="41" t="str">
        <f>HYPERLINK("http://ictvonline.org/taxonomy/p/taxonomy-history?taxnode_id=20184260","ICTVonline=20184260")</f>
        <v>ICTVonline=20184260</v>
      </c>
    </row>
    <row r="3980" spans="1:22">
      <c r="A3980" s="3">
        <v>3979</v>
      </c>
      <c r="L3980" s="1" t="s">
        <v>1930</v>
      </c>
      <c r="M3980" s="1" t="s">
        <v>1628</v>
      </c>
      <c r="N3980" s="1" t="s">
        <v>2591</v>
      </c>
      <c r="P3980" s="1" t="s">
        <v>2595</v>
      </c>
      <c r="Q3980" s="3">
        <v>0</v>
      </c>
      <c r="R3980" s="22" t="s">
        <v>3871</v>
      </c>
      <c r="S3980" s="22" t="s">
        <v>5097</v>
      </c>
      <c r="T3980" s="51">
        <v>28</v>
      </c>
      <c r="U3980" s="3" t="s">
        <v>6140</v>
      </c>
      <c r="V3980" s="41" t="str">
        <f>HYPERLINK("http://ictvonline.org/taxonomy/p/taxonomy-history?taxnode_id=20184261","ICTVonline=20184261")</f>
        <v>ICTVonline=20184261</v>
      </c>
    </row>
    <row r="3981" spans="1:22">
      <c r="A3981" s="3">
        <v>3980</v>
      </c>
      <c r="L3981" s="1" t="s">
        <v>1930</v>
      </c>
      <c r="M3981" s="1" t="s">
        <v>1628</v>
      </c>
      <c r="N3981" s="1" t="s">
        <v>2591</v>
      </c>
      <c r="P3981" s="1" t="s">
        <v>2596</v>
      </c>
      <c r="Q3981" s="3">
        <v>0</v>
      </c>
      <c r="R3981" s="22" t="s">
        <v>3871</v>
      </c>
      <c r="S3981" s="22" t="s">
        <v>5097</v>
      </c>
      <c r="T3981" s="51">
        <v>28</v>
      </c>
      <c r="U3981" s="3" t="s">
        <v>6140</v>
      </c>
      <c r="V3981" s="41" t="str">
        <f>HYPERLINK("http://ictvonline.org/taxonomy/p/taxonomy-history?taxnode_id=20184262","ICTVonline=20184262")</f>
        <v>ICTVonline=20184262</v>
      </c>
    </row>
    <row r="3982" spans="1:22">
      <c r="A3982" s="3">
        <v>3981</v>
      </c>
      <c r="L3982" s="1" t="s">
        <v>1930</v>
      </c>
      <c r="M3982" s="1" t="s">
        <v>1628</v>
      </c>
      <c r="N3982" s="1" t="s">
        <v>2591</v>
      </c>
      <c r="P3982" s="1" t="s">
        <v>2597</v>
      </c>
      <c r="Q3982" s="3">
        <v>0</v>
      </c>
      <c r="R3982" s="22" t="s">
        <v>3871</v>
      </c>
      <c r="S3982" s="22" t="s">
        <v>5097</v>
      </c>
      <c r="T3982" s="51">
        <v>28</v>
      </c>
      <c r="U3982" s="3" t="s">
        <v>6140</v>
      </c>
      <c r="V3982" s="41" t="str">
        <f>HYPERLINK("http://ictvonline.org/taxonomy/p/taxonomy-history?taxnode_id=20184263","ICTVonline=20184263")</f>
        <v>ICTVonline=20184263</v>
      </c>
    </row>
    <row r="3983" spans="1:22">
      <c r="A3983" s="3">
        <v>3982</v>
      </c>
      <c r="L3983" s="1" t="s">
        <v>1930</v>
      </c>
      <c r="M3983" s="1" t="s">
        <v>1628</v>
      </c>
      <c r="N3983" s="1" t="s">
        <v>2591</v>
      </c>
      <c r="P3983" s="1" t="s">
        <v>2598</v>
      </c>
      <c r="Q3983" s="3">
        <v>0</v>
      </c>
      <c r="R3983" s="22" t="s">
        <v>3871</v>
      </c>
      <c r="S3983" s="22" t="s">
        <v>5097</v>
      </c>
      <c r="T3983" s="51">
        <v>28</v>
      </c>
      <c r="U3983" s="3" t="s">
        <v>6140</v>
      </c>
      <c r="V3983" s="41" t="str">
        <f>HYPERLINK("http://ictvonline.org/taxonomy/p/taxonomy-history?taxnode_id=20184264","ICTVonline=20184264")</f>
        <v>ICTVonline=20184264</v>
      </c>
    </row>
    <row r="3984" spans="1:22">
      <c r="A3984" s="3">
        <v>3983</v>
      </c>
      <c r="L3984" s="1" t="s">
        <v>1930</v>
      </c>
      <c r="M3984" s="1" t="s">
        <v>1628</v>
      </c>
      <c r="N3984" s="1" t="s">
        <v>2599</v>
      </c>
      <c r="P3984" s="1" t="s">
        <v>2600</v>
      </c>
      <c r="Q3984" s="3">
        <v>1</v>
      </c>
      <c r="R3984" s="22" t="s">
        <v>3871</v>
      </c>
      <c r="S3984" s="22" t="s">
        <v>5097</v>
      </c>
      <c r="T3984" s="51">
        <v>28</v>
      </c>
      <c r="U3984" s="3" t="s">
        <v>6140</v>
      </c>
      <c r="V3984" s="41" t="str">
        <f>HYPERLINK("http://ictvonline.org/taxonomy/p/taxonomy-history?taxnode_id=20184266","ICTVonline=20184266")</f>
        <v>ICTVonline=20184266</v>
      </c>
    </row>
    <row r="3985" spans="1:22">
      <c r="A3985" s="3">
        <v>3984</v>
      </c>
      <c r="L3985" s="1" t="s">
        <v>1930</v>
      </c>
      <c r="M3985" s="1" t="s">
        <v>1628</v>
      </c>
      <c r="N3985" s="1" t="s">
        <v>2599</v>
      </c>
      <c r="P3985" s="1" t="s">
        <v>2601</v>
      </c>
      <c r="Q3985" s="3">
        <v>0</v>
      </c>
      <c r="R3985" s="22" t="s">
        <v>3871</v>
      </c>
      <c r="S3985" s="22" t="s">
        <v>5097</v>
      </c>
      <c r="T3985" s="51">
        <v>28</v>
      </c>
      <c r="U3985" s="3" t="s">
        <v>6140</v>
      </c>
      <c r="V3985" s="41" t="str">
        <f>HYPERLINK("http://ictvonline.org/taxonomy/p/taxonomy-history?taxnode_id=20184267","ICTVonline=20184267")</f>
        <v>ICTVonline=20184267</v>
      </c>
    </row>
    <row r="3986" spans="1:22">
      <c r="A3986" s="3">
        <v>3985</v>
      </c>
      <c r="L3986" s="1" t="s">
        <v>1930</v>
      </c>
      <c r="M3986" s="1" t="s">
        <v>1628</v>
      </c>
      <c r="N3986" s="1" t="s">
        <v>2599</v>
      </c>
      <c r="P3986" s="1" t="s">
        <v>2602</v>
      </c>
      <c r="Q3986" s="3">
        <v>0</v>
      </c>
      <c r="R3986" s="22" t="s">
        <v>3871</v>
      </c>
      <c r="S3986" s="22" t="s">
        <v>5097</v>
      </c>
      <c r="T3986" s="51">
        <v>28</v>
      </c>
      <c r="U3986" s="3" t="s">
        <v>6140</v>
      </c>
      <c r="V3986" s="41" t="str">
        <f>HYPERLINK("http://ictvonline.org/taxonomy/p/taxonomy-history?taxnode_id=20184268","ICTVonline=20184268")</f>
        <v>ICTVonline=20184268</v>
      </c>
    </row>
    <row r="3987" spans="1:22">
      <c r="A3987" s="3">
        <v>3986</v>
      </c>
      <c r="L3987" s="1" t="s">
        <v>1930</v>
      </c>
      <c r="M3987" s="1" t="s">
        <v>1628</v>
      </c>
      <c r="N3987" s="1" t="s">
        <v>2599</v>
      </c>
      <c r="P3987" s="1" t="s">
        <v>2603</v>
      </c>
      <c r="Q3987" s="3">
        <v>0</v>
      </c>
      <c r="R3987" s="22" t="s">
        <v>3871</v>
      </c>
      <c r="S3987" s="22" t="s">
        <v>5097</v>
      </c>
      <c r="T3987" s="51">
        <v>28</v>
      </c>
      <c r="U3987" s="3" t="s">
        <v>6140</v>
      </c>
      <c r="V3987" s="41" t="str">
        <f>HYPERLINK("http://ictvonline.org/taxonomy/p/taxonomy-history?taxnode_id=20184269","ICTVonline=20184269")</f>
        <v>ICTVonline=20184269</v>
      </c>
    </row>
    <row r="3988" spans="1:22">
      <c r="A3988" s="3">
        <v>3987</v>
      </c>
      <c r="L3988" s="1" t="s">
        <v>1930</v>
      </c>
      <c r="M3988" s="1" t="s">
        <v>1628</v>
      </c>
      <c r="N3988" s="1" t="s">
        <v>2599</v>
      </c>
      <c r="P3988" s="1" t="s">
        <v>2604</v>
      </c>
      <c r="Q3988" s="3">
        <v>0</v>
      </c>
      <c r="R3988" s="22" t="s">
        <v>3871</v>
      </c>
      <c r="S3988" s="22" t="s">
        <v>5097</v>
      </c>
      <c r="T3988" s="51">
        <v>28</v>
      </c>
      <c r="U3988" s="3" t="s">
        <v>6140</v>
      </c>
      <c r="V3988" s="41" t="str">
        <f>HYPERLINK("http://ictvonline.org/taxonomy/p/taxonomy-history?taxnode_id=20184270","ICTVonline=20184270")</f>
        <v>ICTVonline=20184270</v>
      </c>
    </row>
    <row r="3989" spans="1:22">
      <c r="A3989" s="3">
        <v>3988</v>
      </c>
      <c r="L3989" s="1" t="s">
        <v>1930</v>
      </c>
      <c r="M3989" s="1" t="s">
        <v>1628</v>
      </c>
      <c r="N3989" s="1" t="s">
        <v>2599</v>
      </c>
      <c r="P3989" s="1" t="s">
        <v>2605</v>
      </c>
      <c r="Q3989" s="3">
        <v>0</v>
      </c>
      <c r="R3989" s="22" t="s">
        <v>3871</v>
      </c>
      <c r="S3989" s="22" t="s">
        <v>5097</v>
      </c>
      <c r="T3989" s="51">
        <v>28</v>
      </c>
      <c r="U3989" s="3" t="s">
        <v>6140</v>
      </c>
      <c r="V3989" s="41" t="str">
        <f>HYPERLINK("http://ictvonline.org/taxonomy/p/taxonomy-history?taxnode_id=20184271","ICTVonline=20184271")</f>
        <v>ICTVonline=20184271</v>
      </c>
    </row>
    <row r="3990" spans="1:22">
      <c r="A3990" s="3">
        <v>3989</v>
      </c>
      <c r="L3990" s="1" t="s">
        <v>1930</v>
      </c>
      <c r="M3990" s="1" t="s">
        <v>1628</v>
      </c>
      <c r="N3990" s="1" t="s">
        <v>2606</v>
      </c>
      <c r="P3990" s="1" t="s">
        <v>2607</v>
      </c>
      <c r="Q3990" s="3">
        <v>0</v>
      </c>
      <c r="R3990" s="22" t="s">
        <v>3871</v>
      </c>
      <c r="S3990" s="22" t="s">
        <v>5097</v>
      </c>
      <c r="T3990" s="51">
        <v>28</v>
      </c>
      <c r="U3990" s="3" t="s">
        <v>6140</v>
      </c>
      <c r="V3990" s="41" t="str">
        <f>HYPERLINK("http://ictvonline.org/taxonomy/p/taxonomy-history?taxnode_id=20184273","ICTVonline=20184273")</f>
        <v>ICTVonline=20184273</v>
      </c>
    </row>
    <row r="3991" spans="1:22">
      <c r="A3991" s="3">
        <v>3990</v>
      </c>
      <c r="L3991" s="1" t="s">
        <v>1930</v>
      </c>
      <c r="M3991" s="1" t="s">
        <v>1628</v>
      </c>
      <c r="N3991" s="1" t="s">
        <v>2606</v>
      </c>
      <c r="P3991" s="1" t="s">
        <v>6154</v>
      </c>
      <c r="Q3991" s="3">
        <v>0</v>
      </c>
      <c r="R3991" s="22" t="s">
        <v>3871</v>
      </c>
      <c r="S3991" s="22" t="s">
        <v>5097</v>
      </c>
      <c r="T3991" s="51">
        <v>32</v>
      </c>
      <c r="U3991" s="3" t="s">
        <v>6155</v>
      </c>
      <c r="V3991" s="41" t="str">
        <f>HYPERLINK("http://ictvonline.org/taxonomy/p/taxonomy-history?taxnode_id=20185898","ICTVonline=20185898")</f>
        <v>ICTVonline=20185898</v>
      </c>
    </row>
    <row r="3992" spans="1:22">
      <c r="A3992" s="3">
        <v>3991</v>
      </c>
      <c r="L3992" s="1" t="s">
        <v>1930</v>
      </c>
      <c r="M3992" s="1" t="s">
        <v>1628</v>
      </c>
      <c r="N3992" s="1" t="s">
        <v>2606</v>
      </c>
      <c r="P3992" s="1" t="s">
        <v>6156</v>
      </c>
      <c r="Q3992" s="3">
        <v>0</v>
      </c>
      <c r="R3992" s="22" t="s">
        <v>3871</v>
      </c>
      <c r="S3992" s="22" t="s">
        <v>5097</v>
      </c>
      <c r="T3992" s="51">
        <v>32</v>
      </c>
      <c r="U3992" s="3" t="s">
        <v>6155</v>
      </c>
      <c r="V3992" s="41" t="str">
        <f>HYPERLINK("http://ictvonline.org/taxonomy/p/taxonomy-history?taxnode_id=20185899","ICTVonline=20185899")</f>
        <v>ICTVonline=20185899</v>
      </c>
    </row>
    <row r="3993" spans="1:22">
      <c r="A3993" s="3">
        <v>3992</v>
      </c>
      <c r="L3993" s="1" t="s">
        <v>1930</v>
      </c>
      <c r="M3993" s="1" t="s">
        <v>1628</v>
      </c>
      <c r="N3993" s="1" t="s">
        <v>2606</v>
      </c>
      <c r="P3993" s="1" t="s">
        <v>2608</v>
      </c>
      <c r="Q3993" s="3">
        <v>0</v>
      </c>
      <c r="R3993" s="22" t="s">
        <v>3871</v>
      </c>
      <c r="S3993" s="22" t="s">
        <v>5097</v>
      </c>
      <c r="T3993" s="51">
        <v>28</v>
      </c>
      <c r="U3993" s="3" t="s">
        <v>6140</v>
      </c>
      <c r="V3993" s="41" t="str">
        <f>HYPERLINK("http://ictvonline.org/taxonomy/p/taxonomy-history?taxnode_id=20184274","ICTVonline=20184274")</f>
        <v>ICTVonline=20184274</v>
      </c>
    </row>
    <row r="3994" spans="1:22">
      <c r="A3994" s="3">
        <v>3993</v>
      </c>
      <c r="L3994" s="1" t="s">
        <v>1930</v>
      </c>
      <c r="M3994" s="1" t="s">
        <v>1628</v>
      </c>
      <c r="N3994" s="1" t="s">
        <v>2606</v>
      </c>
      <c r="P3994" s="1" t="s">
        <v>6157</v>
      </c>
      <c r="Q3994" s="3">
        <v>0</v>
      </c>
      <c r="R3994" s="22" t="s">
        <v>3871</v>
      </c>
      <c r="S3994" s="22" t="s">
        <v>5097</v>
      </c>
      <c r="T3994" s="51">
        <v>32</v>
      </c>
      <c r="U3994" s="3" t="s">
        <v>6155</v>
      </c>
      <c r="V3994" s="41" t="str">
        <f>HYPERLINK("http://ictvonline.org/taxonomy/p/taxonomy-history?taxnode_id=20185900","ICTVonline=20185900")</f>
        <v>ICTVonline=20185900</v>
      </c>
    </row>
    <row r="3995" spans="1:22">
      <c r="A3995" s="3">
        <v>3994</v>
      </c>
      <c r="L3995" s="1" t="s">
        <v>1930</v>
      </c>
      <c r="M3995" s="1" t="s">
        <v>1628</v>
      </c>
      <c r="N3995" s="1" t="s">
        <v>2606</v>
      </c>
      <c r="P3995" s="1" t="s">
        <v>6158</v>
      </c>
      <c r="Q3995" s="3">
        <v>0</v>
      </c>
      <c r="R3995" s="22" t="s">
        <v>3871</v>
      </c>
      <c r="S3995" s="22" t="s">
        <v>5097</v>
      </c>
      <c r="T3995" s="51">
        <v>32</v>
      </c>
      <c r="U3995" s="3" t="s">
        <v>6155</v>
      </c>
      <c r="V3995" s="41" t="str">
        <f>HYPERLINK("http://ictvonline.org/taxonomy/p/taxonomy-history?taxnode_id=20185901","ICTVonline=20185901")</f>
        <v>ICTVonline=20185901</v>
      </c>
    </row>
    <row r="3996" spans="1:22">
      <c r="A3996" s="3">
        <v>3995</v>
      </c>
      <c r="L3996" s="1" t="s">
        <v>1930</v>
      </c>
      <c r="M3996" s="1" t="s">
        <v>1628</v>
      </c>
      <c r="N3996" s="1" t="s">
        <v>2606</v>
      </c>
      <c r="P3996" s="1" t="s">
        <v>2609</v>
      </c>
      <c r="Q3996" s="3">
        <v>1</v>
      </c>
      <c r="R3996" s="22" t="s">
        <v>3871</v>
      </c>
      <c r="S3996" s="22" t="s">
        <v>5097</v>
      </c>
      <c r="T3996" s="51">
        <v>28</v>
      </c>
      <c r="U3996" s="3" t="s">
        <v>6140</v>
      </c>
      <c r="V3996" s="41" t="str">
        <f>HYPERLINK("http://ictvonline.org/taxonomy/p/taxonomy-history?taxnode_id=20184275","ICTVonline=20184275")</f>
        <v>ICTVonline=20184275</v>
      </c>
    </row>
    <row r="3997" spans="1:22">
      <c r="A3997" s="3">
        <v>3996</v>
      </c>
      <c r="L3997" s="1" t="s">
        <v>1930</v>
      </c>
      <c r="M3997" s="1" t="s">
        <v>1628</v>
      </c>
      <c r="N3997" s="1" t="s">
        <v>2606</v>
      </c>
      <c r="P3997" s="1" t="s">
        <v>2610</v>
      </c>
      <c r="Q3997" s="3">
        <v>0</v>
      </c>
      <c r="R3997" s="22" t="s">
        <v>3871</v>
      </c>
      <c r="S3997" s="22" t="s">
        <v>5097</v>
      </c>
      <c r="T3997" s="51">
        <v>28</v>
      </c>
      <c r="U3997" s="3" t="s">
        <v>6140</v>
      </c>
      <c r="V3997" s="41" t="str">
        <f>HYPERLINK("http://ictvonline.org/taxonomy/p/taxonomy-history?taxnode_id=20184276","ICTVonline=20184276")</f>
        <v>ICTVonline=20184276</v>
      </c>
    </row>
    <row r="3998" spans="1:22">
      <c r="A3998" s="3">
        <v>3997</v>
      </c>
      <c r="L3998" s="1" t="s">
        <v>1930</v>
      </c>
      <c r="M3998" s="1" t="s">
        <v>1628</v>
      </c>
      <c r="N3998" s="1" t="s">
        <v>2606</v>
      </c>
      <c r="P3998" s="1" t="s">
        <v>6159</v>
      </c>
      <c r="Q3998" s="3">
        <v>0</v>
      </c>
      <c r="R3998" s="22" t="s">
        <v>3871</v>
      </c>
      <c r="S3998" s="22" t="s">
        <v>5097</v>
      </c>
      <c r="T3998" s="51">
        <v>32</v>
      </c>
      <c r="U3998" s="3" t="s">
        <v>6155</v>
      </c>
      <c r="V3998" s="41" t="str">
        <f>HYPERLINK("http://ictvonline.org/taxonomy/p/taxonomy-history?taxnode_id=20185902","ICTVonline=20185902")</f>
        <v>ICTVonline=20185902</v>
      </c>
    </row>
    <row r="3999" spans="1:22">
      <c r="A3999" s="3">
        <v>3998</v>
      </c>
      <c r="L3999" s="1" t="s">
        <v>1930</v>
      </c>
      <c r="M3999" s="1" t="s">
        <v>1628</v>
      </c>
      <c r="N3999" s="1" t="s">
        <v>2606</v>
      </c>
      <c r="P3999" s="1" t="s">
        <v>2611</v>
      </c>
      <c r="Q3999" s="3">
        <v>0</v>
      </c>
      <c r="R3999" s="22" t="s">
        <v>3871</v>
      </c>
      <c r="S3999" s="22" t="s">
        <v>5097</v>
      </c>
      <c r="T3999" s="51">
        <v>28</v>
      </c>
      <c r="U3999" s="3" t="s">
        <v>6140</v>
      </c>
      <c r="V3999" s="41" t="str">
        <f>HYPERLINK("http://ictvonline.org/taxonomy/p/taxonomy-history?taxnode_id=20184277","ICTVonline=20184277")</f>
        <v>ICTVonline=20184277</v>
      </c>
    </row>
    <row r="4000" spans="1:22">
      <c r="A4000" s="3">
        <v>3999</v>
      </c>
      <c r="L4000" s="1" t="s">
        <v>1930</v>
      </c>
      <c r="M4000" s="1" t="s">
        <v>1628</v>
      </c>
      <c r="N4000" s="1" t="s">
        <v>2606</v>
      </c>
      <c r="P4000" s="1" t="s">
        <v>6160</v>
      </c>
      <c r="Q4000" s="3">
        <v>0</v>
      </c>
      <c r="R4000" s="22" t="s">
        <v>3871</v>
      </c>
      <c r="S4000" s="22" t="s">
        <v>5097</v>
      </c>
      <c r="T4000" s="51">
        <v>32</v>
      </c>
      <c r="U4000" s="3" t="s">
        <v>6155</v>
      </c>
      <c r="V4000" s="41" t="str">
        <f>HYPERLINK("http://ictvonline.org/taxonomy/p/taxonomy-history?taxnode_id=20185903","ICTVonline=20185903")</f>
        <v>ICTVonline=20185903</v>
      </c>
    </row>
    <row r="4001" spans="1:22">
      <c r="A4001" s="3">
        <v>4000</v>
      </c>
      <c r="L4001" s="1" t="s">
        <v>1930</v>
      </c>
      <c r="M4001" s="1" t="s">
        <v>1628</v>
      </c>
      <c r="N4001" s="1" t="s">
        <v>2612</v>
      </c>
      <c r="P4001" s="1" t="s">
        <v>2613</v>
      </c>
      <c r="Q4001" s="3">
        <v>0</v>
      </c>
      <c r="R4001" s="22" t="s">
        <v>3871</v>
      </c>
      <c r="S4001" s="22" t="s">
        <v>5097</v>
      </c>
      <c r="T4001" s="51">
        <v>28</v>
      </c>
      <c r="U4001" s="3" t="s">
        <v>6140</v>
      </c>
      <c r="V4001" s="41" t="str">
        <f>HYPERLINK("http://ictvonline.org/taxonomy/p/taxonomy-history?taxnode_id=20184279","ICTVonline=20184279")</f>
        <v>ICTVonline=20184279</v>
      </c>
    </row>
    <row r="4002" spans="1:22">
      <c r="A4002" s="3">
        <v>4001</v>
      </c>
      <c r="L4002" s="1" t="s">
        <v>1930</v>
      </c>
      <c r="M4002" s="1" t="s">
        <v>1628</v>
      </c>
      <c r="N4002" s="1" t="s">
        <v>2612</v>
      </c>
      <c r="P4002" s="1" t="s">
        <v>2614</v>
      </c>
      <c r="Q4002" s="3">
        <v>1</v>
      </c>
      <c r="R4002" s="22" t="s">
        <v>3871</v>
      </c>
      <c r="S4002" s="22" t="s">
        <v>5097</v>
      </c>
      <c r="T4002" s="51">
        <v>28</v>
      </c>
      <c r="U4002" s="3" t="s">
        <v>6140</v>
      </c>
      <c r="V4002" s="41" t="str">
        <f>HYPERLINK("http://ictvonline.org/taxonomy/p/taxonomy-history?taxnode_id=20184280","ICTVonline=20184280")</f>
        <v>ICTVonline=20184280</v>
      </c>
    </row>
    <row r="4003" spans="1:22">
      <c r="A4003" s="3">
        <v>4002</v>
      </c>
      <c r="L4003" s="1" t="s">
        <v>1930</v>
      </c>
      <c r="M4003" s="1" t="s">
        <v>1628</v>
      </c>
      <c r="N4003" s="1" t="s">
        <v>2612</v>
      </c>
      <c r="P4003" s="1" t="s">
        <v>2615</v>
      </c>
      <c r="Q4003" s="3">
        <v>0</v>
      </c>
      <c r="R4003" s="22" t="s">
        <v>3871</v>
      </c>
      <c r="S4003" s="22" t="s">
        <v>5097</v>
      </c>
      <c r="T4003" s="51">
        <v>28</v>
      </c>
      <c r="U4003" s="3" t="s">
        <v>6140</v>
      </c>
      <c r="V4003" s="41" t="str">
        <f>HYPERLINK("http://ictvonline.org/taxonomy/p/taxonomy-history?taxnode_id=20184281","ICTVonline=20184281")</f>
        <v>ICTVonline=20184281</v>
      </c>
    </row>
    <row r="4004" spans="1:22">
      <c r="A4004" s="3">
        <v>4003</v>
      </c>
      <c r="L4004" s="1" t="s">
        <v>1930</v>
      </c>
      <c r="M4004" s="1" t="s">
        <v>1628</v>
      </c>
      <c r="N4004" s="1" t="s">
        <v>2612</v>
      </c>
      <c r="P4004" s="1" t="s">
        <v>2616</v>
      </c>
      <c r="Q4004" s="3">
        <v>0</v>
      </c>
      <c r="R4004" s="22" t="s">
        <v>3871</v>
      </c>
      <c r="S4004" s="22" t="s">
        <v>5097</v>
      </c>
      <c r="T4004" s="51">
        <v>28</v>
      </c>
      <c r="U4004" s="3" t="s">
        <v>6140</v>
      </c>
      <c r="V4004" s="41" t="str">
        <f>HYPERLINK("http://ictvonline.org/taxonomy/p/taxonomy-history?taxnode_id=20184282","ICTVonline=20184282")</f>
        <v>ICTVonline=20184282</v>
      </c>
    </row>
    <row r="4005" spans="1:22">
      <c r="A4005" s="3">
        <v>4004</v>
      </c>
      <c r="L4005" s="1" t="s">
        <v>1930</v>
      </c>
      <c r="M4005" s="1" t="s">
        <v>1628</v>
      </c>
      <c r="N4005" s="1" t="s">
        <v>2612</v>
      </c>
      <c r="P4005" s="1" t="s">
        <v>2617</v>
      </c>
      <c r="Q4005" s="3">
        <v>0</v>
      </c>
      <c r="R4005" s="22" t="s">
        <v>3871</v>
      </c>
      <c r="S4005" s="22" t="s">
        <v>5097</v>
      </c>
      <c r="T4005" s="51">
        <v>28</v>
      </c>
      <c r="U4005" s="3" t="s">
        <v>6140</v>
      </c>
      <c r="V4005" s="41" t="str">
        <f>HYPERLINK("http://ictvonline.org/taxonomy/p/taxonomy-history?taxnode_id=20184283","ICTVonline=20184283")</f>
        <v>ICTVonline=20184283</v>
      </c>
    </row>
    <row r="4006" spans="1:22">
      <c r="A4006" s="3">
        <v>4005</v>
      </c>
      <c r="L4006" s="1" t="s">
        <v>1930</v>
      </c>
      <c r="M4006" s="1" t="s">
        <v>1628</v>
      </c>
      <c r="N4006" s="1" t="s">
        <v>2612</v>
      </c>
      <c r="P4006" s="1" t="s">
        <v>2618</v>
      </c>
      <c r="Q4006" s="3">
        <v>0</v>
      </c>
      <c r="R4006" s="22" t="s">
        <v>3871</v>
      </c>
      <c r="S4006" s="22" t="s">
        <v>5097</v>
      </c>
      <c r="T4006" s="51">
        <v>28</v>
      </c>
      <c r="U4006" s="3" t="s">
        <v>6140</v>
      </c>
      <c r="V4006" s="41" t="str">
        <f>HYPERLINK("http://ictvonline.org/taxonomy/p/taxonomy-history?taxnode_id=20184284","ICTVonline=20184284")</f>
        <v>ICTVonline=20184284</v>
      </c>
    </row>
    <row r="4007" spans="1:22">
      <c r="A4007" s="3">
        <v>4006</v>
      </c>
      <c r="L4007" s="1" t="s">
        <v>189</v>
      </c>
      <c r="N4007" s="1" t="s">
        <v>190</v>
      </c>
      <c r="P4007" s="1" t="s">
        <v>1867</v>
      </c>
      <c r="Q4007" s="3">
        <v>0</v>
      </c>
      <c r="R4007" s="22" t="s">
        <v>2766</v>
      </c>
      <c r="S4007" s="22" t="s">
        <v>5099</v>
      </c>
      <c r="T4007" s="51">
        <v>26</v>
      </c>
      <c r="U4007" s="3" t="s">
        <v>5796</v>
      </c>
      <c r="V4007" s="41" t="str">
        <f>HYPERLINK("http://ictvonline.org/taxonomy/p/taxonomy-history?taxnode_id=20184288","ICTVonline=20184288")</f>
        <v>ICTVonline=20184288</v>
      </c>
    </row>
    <row r="4008" spans="1:22">
      <c r="A4008" s="3">
        <v>4007</v>
      </c>
      <c r="L4008" s="1" t="s">
        <v>189</v>
      </c>
      <c r="N4008" s="1" t="s">
        <v>190</v>
      </c>
      <c r="P4008" s="1" t="s">
        <v>1871</v>
      </c>
      <c r="Q4008" s="3">
        <v>1</v>
      </c>
      <c r="R4008" s="22" t="s">
        <v>2766</v>
      </c>
      <c r="S4008" s="22" t="s">
        <v>5103</v>
      </c>
      <c r="T4008" s="51">
        <v>26</v>
      </c>
      <c r="U4008" s="3" t="s">
        <v>5796</v>
      </c>
      <c r="V4008" s="41" t="str">
        <f>HYPERLINK("http://ictvonline.org/taxonomy/p/taxonomy-history?taxnode_id=20184289","ICTVonline=20184289")</f>
        <v>ICTVonline=20184289</v>
      </c>
    </row>
    <row r="4009" spans="1:22">
      <c r="A4009" s="3">
        <v>4008</v>
      </c>
      <c r="L4009" s="1" t="s">
        <v>1357</v>
      </c>
      <c r="N4009" s="1" t="s">
        <v>1358</v>
      </c>
      <c r="P4009" s="1" t="s">
        <v>191</v>
      </c>
      <c r="Q4009" s="3">
        <v>0</v>
      </c>
      <c r="R4009" s="22" t="s">
        <v>2764</v>
      </c>
      <c r="S4009" s="22" t="s">
        <v>5097</v>
      </c>
      <c r="T4009" s="51">
        <v>26</v>
      </c>
      <c r="U4009" s="3" t="s">
        <v>6161</v>
      </c>
      <c r="V4009" s="41" t="str">
        <f>HYPERLINK("http://ictvonline.org/taxonomy/p/taxonomy-history?taxnode_id=20184293","ICTVonline=20184293")</f>
        <v>ICTVonline=20184293</v>
      </c>
    </row>
    <row r="4010" spans="1:22">
      <c r="A4010" s="3">
        <v>4009</v>
      </c>
      <c r="L4010" s="1" t="s">
        <v>1357</v>
      </c>
      <c r="N4010" s="1" t="s">
        <v>1358</v>
      </c>
      <c r="P4010" s="1" t="s">
        <v>1359</v>
      </c>
      <c r="Q4010" s="3">
        <v>0</v>
      </c>
      <c r="R4010" s="22" t="s">
        <v>2764</v>
      </c>
      <c r="S4010" s="22" t="s">
        <v>5099</v>
      </c>
      <c r="T4010" s="51">
        <v>17</v>
      </c>
      <c r="U4010" s="3" t="s">
        <v>5823</v>
      </c>
      <c r="V4010" s="41" t="str">
        <f>HYPERLINK("http://ictvonline.org/taxonomy/p/taxonomy-history?taxnode_id=20184294","ICTVonline=20184294")</f>
        <v>ICTVonline=20184294</v>
      </c>
    </row>
    <row r="4011" spans="1:22">
      <c r="A4011" s="3">
        <v>4010</v>
      </c>
      <c r="L4011" s="1" t="s">
        <v>1357</v>
      </c>
      <c r="N4011" s="1" t="s">
        <v>1358</v>
      </c>
      <c r="P4011" s="1" t="s">
        <v>1360</v>
      </c>
      <c r="Q4011" s="3">
        <v>1</v>
      </c>
      <c r="R4011" s="22" t="s">
        <v>2764</v>
      </c>
      <c r="S4011" s="22" t="s">
        <v>5099</v>
      </c>
      <c r="T4011" s="51">
        <v>17</v>
      </c>
      <c r="U4011" s="3" t="s">
        <v>5823</v>
      </c>
      <c r="V4011" s="41" t="str">
        <f>HYPERLINK("http://ictvonline.org/taxonomy/p/taxonomy-history?taxnode_id=20184295","ICTVonline=20184295")</f>
        <v>ICTVonline=20184295</v>
      </c>
    </row>
    <row r="4012" spans="1:22">
      <c r="A4012" s="3">
        <v>4011</v>
      </c>
      <c r="L4012" s="1" t="s">
        <v>1357</v>
      </c>
      <c r="N4012" s="1" t="s">
        <v>1358</v>
      </c>
      <c r="P4012" s="1" t="s">
        <v>1361</v>
      </c>
      <c r="Q4012" s="3">
        <v>0</v>
      </c>
      <c r="R4012" s="22" t="s">
        <v>2764</v>
      </c>
      <c r="S4012" s="22" t="s">
        <v>5099</v>
      </c>
      <c r="T4012" s="51">
        <v>17</v>
      </c>
      <c r="U4012" s="3" t="s">
        <v>5823</v>
      </c>
      <c r="V4012" s="41" t="str">
        <f>HYPERLINK("http://ictvonline.org/taxonomy/p/taxonomy-history?taxnode_id=20184296","ICTVonline=20184296")</f>
        <v>ICTVonline=20184296</v>
      </c>
    </row>
    <row r="4013" spans="1:22">
      <c r="A4013" s="3">
        <v>4012</v>
      </c>
      <c r="L4013" s="1" t="s">
        <v>1357</v>
      </c>
      <c r="N4013" s="1" t="s">
        <v>1358</v>
      </c>
      <c r="P4013" s="1" t="s">
        <v>1362</v>
      </c>
      <c r="Q4013" s="3">
        <v>0</v>
      </c>
      <c r="R4013" s="22" t="s">
        <v>2764</v>
      </c>
      <c r="S4013" s="22" t="s">
        <v>5099</v>
      </c>
      <c r="T4013" s="51">
        <v>17</v>
      </c>
      <c r="U4013" s="3" t="s">
        <v>5823</v>
      </c>
      <c r="V4013" s="41" t="str">
        <f>HYPERLINK("http://ictvonline.org/taxonomy/p/taxonomy-history?taxnode_id=20184297","ICTVonline=20184297")</f>
        <v>ICTVonline=20184297</v>
      </c>
    </row>
    <row r="4014" spans="1:22">
      <c r="A4014" s="3">
        <v>4013</v>
      </c>
      <c r="L4014" s="1" t="s">
        <v>1357</v>
      </c>
      <c r="N4014" s="1" t="s">
        <v>1358</v>
      </c>
      <c r="P4014" s="1" t="s">
        <v>1000</v>
      </c>
      <c r="Q4014" s="3">
        <v>0</v>
      </c>
      <c r="R4014" s="22" t="s">
        <v>2764</v>
      </c>
      <c r="S4014" s="22" t="s">
        <v>5099</v>
      </c>
      <c r="T4014" s="51">
        <v>17</v>
      </c>
      <c r="U4014" s="3" t="s">
        <v>5823</v>
      </c>
      <c r="V4014" s="41" t="str">
        <f>HYPERLINK("http://ictvonline.org/taxonomy/p/taxonomy-history?taxnode_id=20184298","ICTVonline=20184298")</f>
        <v>ICTVonline=20184298</v>
      </c>
    </row>
    <row r="4015" spans="1:22">
      <c r="A4015" s="3">
        <v>4014</v>
      </c>
      <c r="L4015" s="1" t="s">
        <v>1357</v>
      </c>
      <c r="N4015" s="1" t="s">
        <v>1358</v>
      </c>
      <c r="P4015" s="1" t="s">
        <v>1001</v>
      </c>
      <c r="Q4015" s="3">
        <v>0</v>
      </c>
      <c r="R4015" s="22" t="s">
        <v>2764</v>
      </c>
      <c r="S4015" s="22" t="s">
        <v>5099</v>
      </c>
      <c r="T4015" s="51">
        <v>17</v>
      </c>
      <c r="U4015" s="3" t="s">
        <v>5823</v>
      </c>
      <c r="V4015" s="41" t="str">
        <f>HYPERLINK("http://ictvonline.org/taxonomy/p/taxonomy-history?taxnode_id=20184299","ICTVonline=20184299")</f>
        <v>ICTVonline=20184299</v>
      </c>
    </row>
    <row r="4016" spans="1:22">
      <c r="A4016" s="3">
        <v>4015</v>
      </c>
      <c r="L4016" s="1" t="s">
        <v>1357</v>
      </c>
      <c r="N4016" s="1" t="s">
        <v>1358</v>
      </c>
      <c r="P4016" s="1" t="s">
        <v>656</v>
      </c>
      <c r="Q4016" s="3">
        <v>0</v>
      </c>
      <c r="R4016" s="22" t="s">
        <v>2764</v>
      </c>
      <c r="S4016" s="22" t="s">
        <v>5099</v>
      </c>
      <c r="T4016" s="51">
        <v>17</v>
      </c>
      <c r="U4016" s="3" t="s">
        <v>5823</v>
      </c>
      <c r="V4016" s="41" t="str">
        <f>HYPERLINK("http://ictvonline.org/taxonomy/p/taxonomy-history?taxnode_id=20184300","ICTVonline=20184300")</f>
        <v>ICTVonline=20184300</v>
      </c>
    </row>
    <row r="4017" spans="1:22">
      <c r="A4017" s="3">
        <v>4016</v>
      </c>
      <c r="L4017" s="1" t="s">
        <v>1357</v>
      </c>
      <c r="N4017" s="1" t="s">
        <v>1358</v>
      </c>
      <c r="P4017" s="1" t="s">
        <v>657</v>
      </c>
      <c r="Q4017" s="3">
        <v>0</v>
      </c>
      <c r="R4017" s="22" t="s">
        <v>2764</v>
      </c>
      <c r="S4017" s="22" t="s">
        <v>5099</v>
      </c>
      <c r="T4017" s="51">
        <v>17</v>
      </c>
      <c r="U4017" s="3" t="s">
        <v>5823</v>
      </c>
      <c r="V4017" s="41" t="str">
        <f>HYPERLINK("http://ictvonline.org/taxonomy/p/taxonomy-history?taxnode_id=20184301","ICTVonline=20184301")</f>
        <v>ICTVonline=20184301</v>
      </c>
    </row>
    <row r="4018" spans="1:22">
      <c r="A4018" s="3">
        <v>4017</v>
      </c>
      <c r="L4018" s="1" t="s">
        <v>1357</v>
      </c>
      <c r="N4018" s="1" t="s">
        <v>1358</v>
      </c>
      <c r="P4018" s="1" t="s">
        <v>658</v>
      </c>
      <c r="Q4018" s="3">
        <v>0</v>
      </c>
      <c r="R4018" s="22" t="s">
        <v>2764</v>
      </c>
      <c r="S4018" s="22" t="s">
        <v>5099</v>
      </c>
      <c r="T4018" s="51">
        <v>17</v>
      </c>
      <c r="U4018" s="3" t="s">
        <v>5823</v>
      </c>
      <c r="V4018" s="41" t="str">
        <f>HYPERLINK("http://ictvonline.org/taxonomy/p/taxonomy-history?taxnode_id=20184302","ICTVonline=20184302")</f>
        <v>ICTVonline=20184302</v>
      </c>
    </row>
    <row r="4019" spans="1:22">
      <c r="A4019" s="3">
        <v>4018</v>
      </c>
      <c r="L4019" s="1" t="s">
        <v>1357</v>
      </c>
      <c r="N4019" s="1" t="s">
        <v>1358</v>
      </c>
      <c r="P4019" s="1" t="s">
        <v>834</v>
      </c>
      <c r="Q4019" s="3">
        <v>0</v>
      </c>
      <c r="R4019" s="22" t="s">
        <v>2764</v>
      </c>
      <c r="S4019" s="22" t="s">
        <v>5099</v>
      </c>
      <c r="T4019" s="51">
        <v>17</v>
      </c>
      <c r="U4019" s="3" t="s">
        <v>5823</v>
      </c>
      <c r="V4019" s="41" t="str">
        <f>HYPERLINK("http://ictvonline.org/taxonomy/p/taxonomy-history?taxnode_id=20184303","ICTVonline=20184303")</f>
        <v>ICTVonline=20184303</v>
      </c>
    </row>
    <row r="4020" spans="1:22">
      <c r="A4020" s="3">
        <v>4019</v>
      </c>
      <c r="L4020" s="1" t="s">
        <v>1357</v>
      </c>
      <c r="N4020" s="1" t="s">
        <v>1358</v>
      </c>
      <c r="P4020" s="1" t="s">
        <v>1863</v>
      </c>
      <c r="Q4020" s="3">
        <v>0</v>
      </c>
      <c r="R4020" s="22" t="s">
        <v>2764</v>
      </c>
      <c r="S4020" s="22" t="s">
        <v>5099</v>
      </c>
      <c r="T4020" s="51">
        <v>17</v>
      </c>
      <c r="U4020" s="3" t="s">
        <v>5823</v>
      </c>
      <c r="V4020" s="41" t="str">
        <f>HYPERLINK("http://ictvonline.org/taxonomy/p/taxonomy-history?taxnode_id=20184304","ICTVonline=20184304")</f>
        <v>ICTVonline=20184304</v>
      </c>
    </row>
    <row r="4021" spans="1:22">
      <c r="A4021" s="3">
        <v>4020</v>
      </c>
      <c r="L4021" s="1" t="s">
        <v>1357</v>
      </c>
      <c r="N4021" s="1" t="s">
        <v>1358</v>
      </c>
      <c r="P4021" s="1" t="s">
        <v>1864</v>
      </c>
      <c r="Q4021" s="3">
        <v>0</v>
      </c>
      <c r="R4021" s="22" t="s">
        <v>2764</v>
      </c>
      <c r="S4021" s="22" t="s">
        <v>5099</v>
      </c>
      <c r="T4021" s="51">
        <v>17</v>
      </c>
      <c r="U4021" s="3" t="s">
        <v>5823</v>
      </c>
      <c r="V4021" s="41" t="str">
        <f>HYPERLINK("http://ictvonline.org/taxonomy/p/taxonomy-history?taxnode_id=20184305","ICTVonline=20184305")</f>
        <v>ICTVonline=20184305</v>
      </c>
    </row>
    <row r="4022" spans="1:22">
      <c r="A4022" s="3">
        <v>4021</v>
      </c>
      <c r="L4022" s="1" t="s">
        <v>1357</v>
      </c>
      <c r="N4022" s="1" t="s">
        <v>1358</v>
      </c>
      <c r="P4022" s="1" t="s">
        <v>1865</v>
      </c>
      <c r="Q4022" s="3">
        <v>0</v>
      </c>
      <c r="R4022" s="22" t="s">
        <v>2764</v>
      </c>
      <c r="S4022" s="22" t="s">
        <v>5099</v>
      </c>
      <c r="T4022" s="51">
        <v>17</v>
      </c>
      <c r="U4022" s="3" t="s">
        <v>5823</v>
      </c>
      <c r="V4022" s="41" t="str">
        <f>HYPERLINK("http://ictvonline.org/taxonomy/p/taxonomy-history?taxnode_id=20184306","ICTVonline=20184306")</f>
        <v>ICTVonline=20184306</v>
      </c>
    </row>
    <row r="4023" spans="1:22">
      <c r="A4023" s="3">
        <v>4022</v>
      </c>
      <c r="L4023" s="1" t="s">
        <v>1357</v>
      </c>
      <c r="N4023" s="1" t="s">
        <v>1358</v>
      </c>
      <c r="P4023" s="1" t="s">
        <v>838</v>
      </c>
      <c r="Q4023" s="3">
        <v>0</v>
      </c>
      <c r="R4023" s="22" t="s">
        <v>2764</v>
      </c>
      <c r="S4023" s="22" t="s">
        <v>5099</v>
      </c>
      <c r="T4023" s="51">
        <v>17</v>
      </c>
      <c r="U4023" s="3" t="s">
        <v>5823</v>
      </c>
      <c r="V4023" s="41" t="str">
        <f>HYPERLINK("http://ictvonline.org/taxonomy/p/taxonomy-history?taxnode_id=20184307","ICTVonline=20184307")</f>
        <v>ICTVonline=20184307</v>
      </c>
    </row>
    <row r="4024" spans="1:22">
      <c r="A4024" s="3">
        <v>4023</v>
      </c>
      <c r="L4024" s="1" t="s">
        <v>1357</v>
      </c>
      <c r="N4024" s="1" t="s">
        <v>1358</v>
      </c>
      <c r="P4024" s="1" t="s">
        <v>839</v>
      </c>
      <c r="Q4024" s="3">
        <v>0</v>
      </c>
      <c r="R4024" s="22" t="s">
        <v>2764</v>
      </c>
      <c r="S4024" s="22" t="s">
        <v>5099</v>
      </c>
      <c r="T4024" s="51">
        <v>17</v>
      </c>
      <c r="U4024" s="3" t="s">
        <v>5823</v>
      </c>
      <c r="V4024" s="41" t="str">
        <f>HYPERLINK("http://ictvonline.org/taxonomy/p/taxonomy-history?taxnode_id=20184308","ICTVonline=20184308")</f>
        <v>ICTVonline=20184308</v>
      </c>
    </row>
    <row r="4025" spans="1:22">
      <c r="A4025" s="3">
        <v>4024</v>
      </c>
      <c r="L4025" s="1" t="s">
        <v>1357</v>
      </c>
      <c r="N4025" s="1" t="s">
        <v>1358</v>
      </c>
      <c r="P4025" s="1" t="s">
        <v>1869</v>
      </c>
      <c r="Q4025" s="3">
        <v>0</v>
      </c>
      <c r="R4025" s="22" t="s">
        <v>2764</v>
      </c>
      <c r="S4025" s="22" t="s">
        <v>5099</v>
      </c>
      <c r="T4025" s="51">
        <v>17</v>
      </c>
      <c r="U4025" s="3" t="s">
        <v>5823</v>
      </c>
      <c r="V4025" s="41" t="str">
        <f>HYPERLINK("http://ictvonline.org/taxonomy/p/taxonomy-history?taxnode_id=20184309","ICTVonline=20184309")</f>
        <v>ICTVonline=20184309</v>
      </c>
    </row>
    <row r="4026" spans="1:22">
      <c r="A4026" s="3">
        <v>4025</v>
      </c>
      <c r="L4026" s="1" t="s">
        <v>1357</v>
      </c>
      <c r="N4026" s="1" t="s">
        <v>1358</v>
      </c>
      <c r="P4026" s="1" t="s">
        <v>835</v>
      </c>
      <c r="Q4026" s="3">
        <v>0</v>
      </c>
      <c r="R4026" s="22" t="s">
        <v>2764</v>
      </c>
      <c r="S4026" s="22" t="s">
        <v>5099</v>
      </c>
      <c r="T4026" s="51">
        <v>17</v>
      </c>
      <c r="U4026" s="3" t="s">
        <v>5823</v>
      </c>
      <c r="V4026" s="41" t="str">
        <f>HYPERLINK("http://ictvonline.org/taxonomy/p/taxonomy-history?taxnode_id=20184310","ICTVonline=20184310")</f>
        <v>ICTVonline=20184310</v>
      </c>
    </row>
    <row r="4027" spans="1:22">
      <c r="A4027" s="3">
        <v>4026</v>
      </c>
      <c r="L4027" s="1" t="s">
        <v>1357</v>
      </c>
      <c r="N4027" s="1" t="s">
        <v>1358</v>
      </c>
      <c r="P4027" s="1" t="s">
        <v>836</v>
      </c>
      <c r="Q4027" s="3">
        <v>0</v>
      </c>
      <c r="R4027" s="22" t="s">
        <v>2764</v>
      </c>
      <c r="S4027" s="22" t="s">
        <v>5099</v>
      </c>
      <c r="T4027" s="51">
        <v>17</v>
      </c>
      <c r="U4027" s="3" t="s">
        <v>5823</v>
      </c>
      <c r="V4027" s="41" t="str">
        <f>HYPERLINK("http://ictvonline.org/taxonomy/p/taxonomy-history?taxnode_id=20184311","ICTVonline=20184311")</f>
        <v>ICTVonline=20184311</v>
      </c>
    </row>
    <row r="4028" spans="1:22">
      <c r="A4028" s="3">
        <v>4027</v>
      </c>
      <c r="L4028" s="1" t="s">
        <v>1357</v>
      </c>
      <c r="N4028" s="1" t="s">
        <v>837</v>
      </c>
      <c r="P4028" s="1" t="s">
        <v>914</v>
      </c>
      <c r="Q4028" s="3">
        <v>1</v>
      </c>
      <c r="R4028" s="22" t="s">
        <v>2764</v>
      </c>
      <c r="S4028" s="22" t="s">
        <v>5102</v>
      </c>
      <c r="T4028" s="51">
        <v>22</v>
      </c>
      <c r="U4028" s="3" t="s">
        <v>6162</v>
      </c>
      <c r="V4028" s="41" t="str">
        <f>HYPERLINK("http://ictvonline.org/taxonomy/p/taxonomy-history?taxnode_id=20184313","ICTVonline=20184313")</f>
        <v>ICTVonline=20184313</v>
      </c>
    </row>
    <row r="4029" spans="1:22">
      <c r="A4029" s="3">
        <v>4028</v>
      </c>
      <c r="L4029" s="1" t="s">
        <v>1357</v>
      </c>
      <c r="N4029" s="1" t="s">
        <v>915</v>
      </c>
      <c r="P4029" s="1" t="s">
        <v>916</v>
      </c>
      <c r="Q4029" s="3">
        <v>0</v>
      </c>
      <c r="R4029" s="22" t="s">
        <v>2764</v>
      </c>
      <c r="S4029" s="22" t="s">
        <v>5097</v>
      </c>
      <c r="T4029" s="51">
        <v>18</v>
      </c>
      <c r="U4029" s="3" t="s">
        <v>5486</v>
      </c>
      <c r="V4029" s="41" t="str">
        <f>HYPERLINK("http://ictvonline.org/taxonomy/p/taxonomy-history?taxnode_id=20184315","ICTVonline=20184315")</f>
        <v>ICTVonline=20184315</v>
      </c>
    </row>
    <row r="4030" spans="1:22">
      <c r="A4030" s="3">
        <v>4029</v>
      </c>
      <c r="L4030" s="1" t="s">
        <v>1357</v>
      </c>
      <c r="N4030" s="1" t="s">
        <v>915</v>
      </c>
      <c r="P4030" s="1" t="s">
        <v>932</v>
      </c>
      <c r="Q4030" s="3">
        <v>1</v>
      </c>
      <c r="R4030" s="22" t="s">
        <v>2764</v>
      </c>
      <c r="S4030" s="22" t="s">
        <v>5102</v>
      </c>
      <c r="T4030" s="51">
        <v>17</v>
      </c>
      <c r="U4030" s="3" t="s">
        <v>5823</v>
      </c>
      <c r="V4030" s="41" t="str">
        <f>HYPERLINK("http://ictvonline.org/taxonomy/p/taxonomy-history?taxnode_id=20184316","ICTVonline=20184316")</f>
        <v>ICTVonline=20184316</v>
      </c>
    </row>
    <row r="4031" spans="1:22">
      <c r="A4031" s="3">
        <v>4030</v>
      </c>
      <c r="L4031" s="1" t="s">
        <v>1357</v>
      </c>
      <c r="N4031" s="1" t="s">
        <v>915</v>
      </c>
      <c r="P4031" s="1" t="s">
        <v>933</v>
      </c>
      <c r="Q4031" s="3">
        <v>0</v>
      </c>
      <c r="R4031" s="22" t="s">
        <v>2764</v>
      </c>
      <c r="S4031" s="22" t="s">
        <v>5097</v>
      </c>
      <c r="T4031" s="51">
        <v>18</v>
      </c>
      <c r="U4031" s="3" t="s">
        <v>5486</v>
      </c>
      <c r="V4031" s="41" t="str">
        <f>HYPERLINK("http://ictvonline.org/taxonomy/p/taxonomy-history?taxnode_id=20184317","ICTVonline=20184317")</f>
        <v>ICTVonline=20184317</v>
      </c>
    </row>
    <row r="4032" spans="1:22">
      <c r="A4032" s="3">
        <v>4031</v>
      </c>
      <c r="L4032" s="1" t="s">
        <v>1357</v>
      </c>
      <c r="N4032" s="1" t="s">
        <v>915</v>
      </c>
      <c r="P4032" s="1" t="s">
        <v>934</v>
      </c>
      <c r="Q4032" s="3">
        <v>0</v>
      </c>
      <c r="R4032" s="22" t="s">
        <v>2764</v>
      </c>
      <c r="S4032" s="22" t="s">
        <v>5097</v>
      </c>
      <c r="T4032" s="51">
        <v>18</v>
      </c>
      <c r="U4032" s="3" t="s">
        <v>5486</v>
      </c>
      <c r="V4032" s="41" t="str">
        <f>HYPERLINK("http://ictvonline.org/taxonomy/p/taxonomy-history?taxnode_id=20184318","ICTVonline=20184318")</f>
        <v>ICTVonline=20184318</v>
      </c>
    </row>
    <row r="4033" spans="1:22">
      <c r="A4033" s="3">
        <v>4032</v>
      </c>
      <c r="L4033" s="1" t="s">
        <v>1357</v>
      </c>
      <c r="N4033" s="1" t="s">
        <v>915</v>
      </c>
      <c r="P4033" s="1" t="s">
        <v>935</v>
      </c>
      <c r="Q4033" s="3">
        <v>0</v>
      </c>
      <c r="R4033" s="22" t="s">
        <v>2764</v>
      </c>
      <c r="S4033" s="22" t="s">
        <v>5097</v>
      </c>
      <c r="T4033" s="51">
        <v>18</v>
      </c>
      <c r="U4033" s="3" t="s">
        <v>5486</v>
      </c>
      <c r="V4033" s="41" t="str">
        <f>HYPERLINK("http://ictvonline.org/taxonomy/p/taxonomy-history?taxnode_id=20184319","ICTVonline=20184319")</f>
        <v>ICTVonline=20184319</v>
      </c>
    </row>
    <row r="4034" spans="1:22">
      <c r="A4034" s="3">
        <v>4033</v>
      </c>
      <c r="L4034" s="1" t="s">
        <v>1357</v>
      </c>
      <c r="N4034" s="1" t="s">
        <v>915</v>
      </c>
      <c r="P4034" s="1" t="s">
        <v>936</v>
      </c>
      <c r="Q4034" s="3">
        <v>0</v>
      </c>
      <c r="R4034" s="22" t="s">
        <v>2764</v>
      </c>
      <c r="S4034" s="22" t="s">
        <v>5097</v>
      </c>
      <c r="T4034" s="51">
        <v>18</v>
      </c>
      <c r="U4034" s="3" t="s">
        <v>5486</v>
      </c>
      <c r="V4034" s="41" t="str">
        <f>HYPERLINK("http://ictvonline.org/taxonomy/p/taxonomy-history?taxnode_id=20184320","ICTVonline=20184320")</f>
        <v>ICTVonline=20184320</v>
      </c>
    </row>
    <row r="4035" spans="1:22">
      <c r="A4035" s="3">
        <v>4034</v>
      </c>
      <c r="L4035" s="1" t="s">
        <v>1357</v>
      </c>
      <c r="N4035" s="1" t="s">
        <v>915</v>
      </c>
      <c r="P4035" s="1" t="s">
        <v>937</v>
      </c>
      <c r="Q4035" s="3">
        <v>0</v>
      </c>
      <c r="R4035" s="22" t="s">
        <v>2764</v>
      </c>
      <c r="S4035" s="22" t="s">
        <v>5097</v>
      </c>
      <c r="T4035" s="51">
        <v>18</v>
      </c>
      <c r="U4035" s="3" t="s">
        <v>5486</v>
      </c>
      <c r="V4035" s="41" t="str">
        <f>HYPERLINK("http://ictvonline.org/taxonomy/p/taxonomy-history?taxnode_id=20184321","ICTVonline=20184321")</f>
        <v>ICTVonline=20184321</v>
      </c>
    </row>
    <row r="4036" spans="1:22">
      <c r="A4036" s="3">
        <v>4035</v>
      </c>
      <c r="L4036" s="1" t="s">
        <v>1357</v>
      </c>
      <c r="N4036" s="1" t="s">
        <v>915</v>
      </c>
      <c r="P4036" s="1" t="s">
        <v>938</v>
      </c>
      <c r="Q4036" s="3">
        <v>0</v>
      </c>
      <c r="R4036" s="22" t="s">
        <v>2764</v>
      </c>
      <c r="S4036" s="22" t="s">
        <v>5097</v>
      </c>
      <c r="T4036" s="51">
        <v>18</v>
      </c>
      <c r="U4036" s="3" t="s">
        <v>5486</v>
      </c>
      <c r="V4036" s="41" t="str">
        <f>HYPERLINK("http://ictvonline.org/taxonomy/p/taxonomy-history?taxnode_id=20184322","ICTVonline=20184322")</f>
        <v>ICTVonline=20184322</v>
      </c>
    </row>
    <row r="4037" spans="1:22">
      <c r="A4037" s="3">
        <v>4036</v>
      </c>
      <c r="L4037" s="1" t="s">
        <v>1357</v>
      </c>
      <c r="N4037" s="1" t="s">
        <v>915</v>
      </c>
      <c r="P4037" s="1" t="s">
        <v>939</v>
      </c>
      <c r="Q4037" s="3">
        <v>0</v>
      </c>
      <c r="R4037" s="22" t="s">
        <v>2764</v>
      </c>
      <c r="S4037" s="22" t="s">
        <v>5097</v>
      </c>
      <c r="T4037" s="51">
        <v>22</v>
      </c>
      <c r="U4037" s="3" t="s">
        <v>6163</v>
      </c>
      <c r="V4037" s="41" t="str">
        <f>HYPERLINK("http://ictvonline.org/taxonomy/p/taxonomy-history?taxnode_id=20184323","ICTVonline=20184323")</f>
        <v>ICTVonline=20184323</v>
      </c>
    </row>
    <row r="4038" spans="1:22">
      <c r="A4038" s="3">
        <v>4037</v>
      </c>
      <c r="L4038" s="1" t="s">
        <v>1357</v>
      </c>
      <c r="N4038" s="1" t="s">
        <v>940</v>
      </c>
      <c r="P4038" s="1" t="s">
        <v>941</v>
      </c>
      <c r="Q4038" s="3">
        <v>1</v>
      </c>
      <c r="R4038" s="22" t="s">
        <v>2764</v>
      </c>
      <c r="S4038" s="22" t="s">
        <v>5102</v>
      </c>
      <c r="T4038" s="51">
        <v>17</v>
      </c>
      <c r="U4038" s="3" t="s">
        <v>5823</v>
      </c>
      <c r="V4038" s="41" t="str">
        <f>HYPERLINK("http://ictvonline.org/taxonomy/p/taxonomy-history?taxnode_id=20184325","ICTVonline=20184325")</f>
        <v>ICTVonline=20184325</v>
      </c>
    </row>
    <row r="4039" spans="1:22">
      <c r="A4039" s="3">
        <v>4038</v>
      </c>
      <c r="L4039" s="1" t="s">
        <v>1357</v>
      </c>
      <c r="N4039" s="1" t="s">
        <v>940</v>
      </c>
      <c r="P4039" s="1" t="s">
        <v>192</v>
      </c>
      <c r="Q4039" s="3">
        <v>0</v>
      </c>
      <c r="R4039" s="22" t="s">
        <v>2764</v>
      </c>
      <c r="S4039" s="22" t="s">
        <v>5097</v>
      </c>
      <c r="T4039" s="51">
        <v>26</v>
      </c>
      <c r="U4039" s="3" t="s">
        <v>6164</v>
      </c>
      <c r="V4039" s="41" t="str">
        <f>HYPERLINK("http://ictvonline.org/taxonomy/p/taxonomy-history?taxnode_id=20184326","ICTVonline=20184326")</f>
        <v>ICTVonline=20184326</v>
      </c>
    </row>
    <row r="4040" spans="1:22">
      <c r="A4040" s="3">
        <v>4039</v>
      </c>
      <c r="L4040" s="1" t="s">
        <v>1357</v>
      </c>
      <c r="N4040" s="1" t="s">
        <v>942</v>
      </c>
      <c r="P4040" s="1" t="s">
        <v>943</v>
      </c>
      <c r="Q4040" s="3">
        <v>1</v>
      </c>
      <c r="R4040" s="22" t="s">
        <v>2764</v>
      </c>
      <c r="S4040" s="22" t="s">
        <v>5102</v>
      </c>
      <c r="T4040" s="51">
        <v>17</v>
      </c>
      <c r="U4040" s="3" t="s">
        <v>5823</v>
      </c>
      <c r="V4040" s="41" t="str">
        <f>HYPERLINK("http://ictvonline.org/taxonomy/p/taxonomy-history?taxnode_id=20184328","ICTVonline=20184328")</f>
        <v>ICTVonline=20184328</v>
      </c>
    </row>
    <row r="4041" spans="1:22">
      <c r="A4041" s="3">
        <v>4040</v>
      </c>
      <c r="L4041" s="1" t="s">
        <v>1357</v>
      </c>
      <c r="N4041" s="1" t="s">
        <v>944</v>
      </c>
      <c r="P4041" s="1" t="s">
        <v>945</v>
      </c>
      <c r="Q4041" s="3">
        <v>1</v>
      </c>
      <c r="R4041" s="22" t="s">
        <v>2764</v>
      </c>
      <c r="S4041" s="22" t="s">
        <v>5102</v>
      </c>
      <c r="T4041" s="51">
        <v>22</v>
      </c>
      <c r="U4041" s="3" t="s">
        <v>6165</v>
      </c>
      <c r="V4041" s="41" t="str">
        <f>HYPERLINK("http://ictvonline.org/taxonomy/p/taxonomy-history?taxnode_id=20184330","ICTVonline=20184330")</f>
        <v>ICTVonline=20184330</v>
      </c>
    </row>
    <row r="4042" spans="1:22">
      <c r="A4042" s="3">
        <v>4041</v>
      </c>
      <c r="L4042" s="1" t="s">
        <v>867</v>
      </c>
      <c r="N4042" s="1" t="s">
        <v>868</v>
      </c>
      <c r="P4042" s="1" t="s">
        <v>869</v>
      </c>
      <c r="Q4042" s="3">
        <v>1</v>
      </c>
      <c r="R4042" s="22" t="s">
        <v>2768</v>
      </c>
      <c r="S4042" s="22" t="s">
        <v>5102</v>
      </c>
      <c r="T4042" s="51">
        <v>24</v>
      </c>
      <c r="U4042" s="3" t="s">
        <v>6166</v>
      </c>
      <c r="V4042" s="41" t="str">
        <f>HYPERLINK("http://ictvonline.org/taxonomy/p/taxonomy-history?taxnode_id=20184334","ICTVonline=20184334")</f>
        <v>ICTVonline=20184334</v>
      </c>
    </row>
    <row r="4043" spans="1:22">
      <c r="A4043" s="3">
        <v>4042</v>
      </c>
      <c r="L4043" s="1" t="s">
        <v>867</v>
      </c>
      <c r="N4043" s="1" t="s">
        <v>868</v>
      </c>
      <c r="P4043" s="1" t="s">
        <v>870</v>
      </c>
      <c r="Q4043" s="3">
        <v>0</v>
      </c>
      <c r="R4043" s="22" t="s">
        <v>2768</v>
      </c>
      <c r="S4043" s="22" t="s">
        <v>5097</v>
      </c>
      <c r="T4043" s="51">
        <v>24</v>
      </c>
      <c r="U4043" s="3" t="s">
        <v>6166</v>
      </c>
      <c r="V4043" s="41" t="str">
        <f>HYPERLINK("http://ictvonline.org/taxonomy/p/taxonomy-history?taxnode_id=20184335","ICTVonline=20184335")</f>
        <v>ICTVonline=20184335</v>
      </c>
    </row>
    <row r="4044" spans="1:22">
      <c r="A4044" s="3">
        <v>4043</v>
      </c>
      <c r="L4044" s="1" t="s">
        <v>950</v>
      </c>
      <c r="N4044" s="1" t="s">
        <v>951</v>
      </c>
      <c r="P4044" s="1" t="s">
        <v>4037</v>
      </c>
      <c r="Q4044" s="3">
        <v>1</v>
      </c>
      <c r="R4044" s="22" t="s">
        <v>2764</v>
      </c>
      <c r="S4044" s="22" t="s">
        <v>5100</v>
      </c>
      <c r="T4044" s="51">
        <v>30</v>
      </c>
      <c r="U4044" s="3" t="s">
        <v>5216</v>
      </c>
      <c r="V4044" s="41" t="str">
        <f>HYPERLINK("http://ictvonline.org/taxonomy/p/taxonomy-history?taxnode_id=20184339","ICTVonline=20184339")</f>
        <v>ICTVonline=20184339</v>
      </c>
    </row>
    <row r="4045" spans="1:22">
      <c r="A4045" s="3">
        <v>4044</v>
      </c>
      <c r="L4045" s="1" t="s">
        <v>4038</v>
      </c>
      <c r="N4045" s="1" t="s">
        <v>4039</v>
      </c>
      <c r="P4045" s="1" t="s">
        <v>5188</v>
      </c>
      <c r="Q4045" s="3">
        <v>0</v>
      </c>
      <c r="R4045" s="22" t="s">
        <v>5189</v>
      </c>
      <c r="S4045" s="22" t="s">
        <v>5099</v>
      </c>
      <c r="T4045" s="51">
        <v>31</v>
      </c>
      <c r="V4045" s="41" t="str">
        <f>HYPERLINK("http://ictvonline.org/taxonomy/p/taxonomy-history?taxnode_id=20184342","ICTVonline=20184342")</f>
        <v>ICTVonline=20184342</v>
      </c>
    </row>
    <row r="4046" spans="1:22">
      <c r="A4046" s="3">
        <v>4045</v>
      </c>
      <c r="L4046" s="1" t="s">
        <v>4038</v>
      </c>
      <c r="N4046" s="1" t="s">
        <v>4039</v>
      </c>
      <c r="P4046" s="1" t="s">
        <v>5190</v>
      </c>
      <c r="Q4046" s="3">
        <v>0</v>
      </c>
      <c r="R4046" s="22" t="s">
        <v>5189</v>
      </c>
      <c r="S4046" s="22" t="s">
        <v>5099</v>
      </c>
      <c r="T4046" s="51">
        <v>31</v>
      </c>
      <c r="V4046" s="41" t="str">
        <f>HYPERLINK("http://ictvonline.org/taxonomy/p/taxonomy-history?taxnode_id=20184343","ICTVonline=20184343")</f>
        <v>ICTVonline=20184343</v>
      </c>
    </row>
    <row r="4047" spans="1:22">
      <c r="A4047" s="3">
        <v>4046</v>
      </c>
      <c r="L4047" s="1" t="s">
        <v>4038</v>
      </c>
      <c r="N4047" s="1" t="s">
        <v>4039</v>
      </c>
      <c r="P4047" s="1" t="s">
        <v>5191</v>
      </c>
      <c r="Q4047" s="3">
        <v>1</v>
      </c>
      <c r="R4047" s="22" t="s">
        <v>5189</v>
      </c>
      <c r="S4047" s="22" t="s">
        <v>5099</v>
      </c>
      <c r="T4047" s="51">
        <v>31</v>
      </c>
      <c r="V4047" s="41" t="str">
        <f>HYPERLINK("http://ictvonline.org/taxonomy/p/taxonomy-history?taxnode_id=20184344","ICTVonline=20184344")</f>
        <v>ICTVonline=20184344</v>
      </c>
    </row>
    <row r="4048" spans="1:22">
      <c r="A4048" s="3">
        <v>4047</v>
      </c>
      <c r="L4048" s="1" t="s">
        <v>4038</v>
      </c>
      <c r="N4048" s="1" t="s">
        <v>4039</v>
      </c>
      <c r="P4048" s="1" t="s">
        <v>5192</v>
      </c>
      <c r="Q4048" s="3">
        <v>0</v>
      </c>
      <c r="R4048" s="22" t="s">
        <v>5189</v>
      </c>
      <c r="S4048" s="22" t="s">
        <v>5099</v>
      </c>
      <c r="T4048" s="51">
        <v>31</v>
      </c>
      <c r="V4048" s="41" t="str">
        <f>HYPERLINK("http://ictvonline.org/taxonomy/p/taxonomy-history?taxnode_id=20184345","ICTVonline=20184345")</f>
        <v>ICTVonline=20184345</v>
      </c>
    </row>
    <row r="4049" spans="1:22">
      <c r="A4049" s="3">
        <v>4048</v>
      </c>
      <c r="L4049" s="1" t="s">
        <v>4038</v>
      </c>
      <c r="N4049" s="1" t="s">
        <v>4039</v>
      </c>
      <c r="P4049" s="1" t="s">
        <v>5193</v>
      </c>
      <c r="Q4049" s="3">
        <v>0</v>
      </c>
      <c r="R4049" s="22" t="s">
        <v>5189</v>
      </c>
      <c r="S4049" s="22" t="s">
        <v>5099</v>
      </c>
      <c r="T4049" s="51">
        <v>31</v>
      </c>
      <c r="V4049" s="41" t="str">
        <f>HYPERLINK("http://ictvonline.org/taxonomy/p/taxonomy-history?taxnode_id=20184346","ICTVonline=20184346")</f>
        <v>ICTVonline=20184346</v>
      </c>
    </row>
    <row r="4050" spans="1:22">
      <c r="A4050" s="3">
        <v>4049</v>
      </c>
      <c r="L4050" s="1" t="s">
        <v>4038</v>
      </c>
      <c r="N4050" s="1" t="s">
        <v>4040</v>
      </c>
      <c r="P4050" s="1" t="s">
        <v>5194</v>
      </c>
      <c r="Q4050" s="3">
        <v>0</v>
      </c>
      <c r="R4050" s="22" t="s">
        <v>2764</v>
      </c>
      <c r="S4050" s="22" t="s">
        <v>5099</v>
      </c>
      <c r="T4050" s="51">
        <v>31</v>
      </c>
      <c r="V4050" s="41" t="str">
        <f>HYPERLINK("http://ictvonline.org/taxonomy/p/taxonomy-history?taxnode_id=20184348","ICTVonline=20184348")</f>
        <v>ICTVonline=20184348</v>
      </c>
    </row>
    <row r="4051" spans="1:22">
      <c r="A4051" s="3">
        <v>4050</v>
      </c>
      <c r="L4051" s="1" t="s">
        <v>4038</v>
      </c>
      <c r="N4051" s="1" t="s">
        <v>4040</v>
      </c>
      <c r="P4051" s="1" t="s">
        <v>5195</v>
      </c>
      <c r="Q4051" s="3">
        <v>1</v>
      </c>
      <c r="R4051" s="22" t="s">
        <v>2764</v>
      </c>
      <c r="S4051" s="22" t="s">
        <v>5099</v>
      </c>
      <c r="T4051" s="51">
        <v>31</v>
      </c>
      <c r="V4051" s="41" t="str">
        <f>HYPERLINK("http://ictvonline.org/taxonomy/p/taxonomy-history?taxnode_id=20184349","ICTVonline=20184349")</f>
        <v>ICTVonline=20184349</v>
      </c>
    </row>
    <row r="4052" spans="1:22">
      <c r="A4052" s="3">
        <v>4051</v>
      </c>
      <c r="L4052" s="1" t="s">
        <v>4038</v>
      </c>
      <c r="N4052" s="1" t="s">
        <v>4041</v>
      </c>
      <c r="P4052" s="1" t="s">
        <v>4042</v>
      </c>
      <c r="Q4052" s="3">
        <v>1</v>
      </c>
      <c r="R4052" s="22" t="s">
        <v>2764</v>
      </c>
      <c r="S4052" s="22" t="s">
        <v>5099</v>
      </c>
      <c r="T4052" s="51">
        <v>31</v>
      </c>
      <c r="V4052" s="41" t="str">
        <f>HYPERLINK("http://ictvonline.org/taxonomy/p/taxonomy-history?taxnode_id=20184351","ICTVonline=20184351")</f>
        <v>ICTVonline=20184351</v>
      </c>
    </row>
    <row r="4053" spans="1:22">
      <c r="A4053" s="3">
        <v>4052</v>
      </c>
      <c r="L4053" s="1" t="s">
        <v>952</v>
      </c>
      <c r="N4053" s="1" t="s">
        <v>612</v>
      </c>
      <c r="P4053" s="1" t="s">
        <v>953</v>
      </c>
      <c r="Q4053" s="3">
        <v>0</v>
      </c>
      <c r="R4053" s="22" t="s">
        <v>2764</v>
      </c>
      <c r="S4053" s="22" t="s">
        <v>5100</v>
      </c>
      <c r="T4053" s="51">
        <v>18</v>
      </c>
      <c r="U4053" s="3" t="s">
        <v>5486</v>
      </c>
      <c r="V4053" s="41" t="str">
        <f>HYPERLINK("http://ictvonline.org/taxonomy/p/taxonomy-history?taxnode_id=20184355","ICTVonline=20184355")</f>
        <v>ICTVonline=20184355</v>
      </c>
    </row>
    <row r="4054" spans="1:22">
      <c r="A4054" s="3">
        <v>4053</v>
      </c>
      <c r="L4054" s="1" t="s">
        <v>952</v>
      </c>
      <c r="N4054" s="1" t="s">
        <v>612</v>
      </c>
      <c r="P4054" s="1" t="s">
        <v>605</v>
      </c>
      <c r="Q4054" s="3">
        <v>0</v>
      </c>
      <c r="R4054" s="22" t="s">
        <v>2764</v>
      </c>
      <c r="S4054" s="22" t="s">
        <v>5100</v>
      </c>
      <c r="T4054" s="51">
        <v>18</v>
      </c>
      <c r="U4054" s="3" t="s">
        <v>5486</v>
      </c>
      <c r="V4054" s="41" t="str">
        <f>HYPERLINK("http://ictvonline.org/taxonomy/p/taxonomy-history?taxnode_id=20184356","ICTVonline=20184356")</f>
        <v>ICTVonline=20184356</v>
      </c>
    </row>
    <row r="4055" spans="1:22">
      <c r="A4055" s="3">
        <v>4054</v>
      </c>
      <c r="L4055" s="1" t="s">
        <v>952</v>
      </c>
      <c r="N4055" s="1" t="s">
        <v>612</v>
      </c>
      <c r="P4055" s="1" t="s">
        <v>606</v>
      </c>
      <c r="Q4055" s="3">
        <v>0</v>
      </c>
      <c r="R4055" s="22" t="s">
        <v>2764</v>
      </c>
      <c r="S4055" s="22" t="s">
        <v>5100</v>
      </c>
      <c r="T4055" s="51">
        <v>18</v>
      </c>
      <c r="U4055" s="3" t="s">
        <v>5486</v>
      </c>
      <c r="V4055" s="41" t="str">
        <f>HYPERLINK("http://ictvonline.org/taxonomy/p/taxonomy-history?taxnode_id=20184357","ICTVonline=20184357")</f>
        <v>ICTVonline=20184357</v>
      </c>
    </row>
    <row r="4056" spans="1:22">
      <c r="A4056" s="3">
        <v>4055</v>
      </c>
      <c r="L4056" s="1" t="s">
        <v>952</v>
      </c>
      <c r="N4056" s="1" t="s">
        <v>612</v>
      </c>
      <c r="P4056" s="1" t="s">
        <v>607</v>
      </c>
      <c r="Q4056" s="3">
        <v>0</v>
      </c>
      <c r="R4056" s="22" t="s">
        <v>2764</v>
      </c>
      <c r="S4056" s="22" t="s">
        <v>5100</v>
      </c>
      <c r="T4056" s="51">
        <v>18</v>
      </c>
      <c r="U4056" s="3" t="s">
        <v>5486</v>
      </c>
      <c r="V4056" s="41" t="str">
        <f>HYPERLINK("http://ictvonline.org/taxonomy/p/taxonomy-history?taxnode_id=20184358","ICTVonline=20184358")</f>
        <v>ICTVonline=20184358</v>
      </c>
    </row>
    <row r="4057" spans="1:22">
      <c r="A4057" s="3">
        <v>4056</v>
      </c>
      <c r="L4057" s="1" t="s">
        <v>952</v>
      </c>
      <c r="N4057" s="1" t="s">
        <v>612</v>
      </c>
      <c r="P4057" s="1" t="s">
        <v>608</v>
      </c>
      <c r="Q4057" s="3">
        <v>0</v>
      </c>
      <c r="R4057" s="22" t="s">
        <v>2764</v>
      </c>
      <c r="S4057" s="22" t="s">
        <v>5100</v>
      </c>
      <c r="T4057" s="51">
        <v>18</v>
      </c>
      <c r="U4057" s="3" t="s">
        <v>5486</v>
      </c>
      <c r="V4057" s="41" t="str">
        <f>HYPERLINK("http://ictvonline.org/taxonomy/p/taxonomy-history?taxnode_id=20184359","ICTVonline=20184359")</f>
        <v>ICTVonline=20184359</v>
      </c>
    </row>
    <row r="4058" spans="1:22">
      <c r="A4058" s="3">
        <v>4057</v>
      </c>
      <c r="L4058" s="1" t="s">
        <v>952</v>
      </c>
      <c r="N4058" s="1" t="s">
        <v>612</v>
      </c>
      <c r="P4058" s="1" t="s">
        <v>946</v>
      </c>
      <c r="Q4058" s="3">
        <v>0</v>
      </c>
      <c r="R4058" s="22" t="s">
        <v>2764</v>
      </c>
      <c r="S4058" s="22" t="s">
        <v>5100</v>
      </c>
      <c r="T4058" s="51">
        <v>18</v>
      </c>
      <c r="U4058" s="3" t="s">
        <v>5486</v>
      </c>
      <c r="V4058" s="41" t="str">
        <f>HYPERLINK("http://ictvonline.org/taxonomy/p/taxonomy-history?taxnode_id=20184360","ICTVonline=20184360")</f>
        <v>ICTVonline=20184360</v>
      </c>
    </row>
    <row r="4059" spans="1:22">
      <c r="A4059" s="3">
        <v>4058</v>
      </c>
      <c r="L4059" s="1" t="s">
        <v>952</v>
      </c>
      <c r="N4059" s="1" t="s">
        <v>612</v>
      </c>
      <c r="P4059" s="1" t="s">
        <v>947</v>
      </c>
      <c r="Q4059" s="3">
        <v>0</v>
      </c>
      <c r="R4059" s="22" t="s">
        <v>2764</v>
      </c>
      <c r="S4059" s="22" t="s">
        <v>5100</v>
      </c>
      <c r="T4059" s="51">
        <v>18</v>
      </c>
      <c r="U4059" s="3" t="s">
        <v>5486</v>
      </c>
      <c r="V4059" s="41" t="str">
        <f>HYPERLINK("http://ictvonline.org/taxonomy/p/taxonomy-history?taxnode_id=20184361","ICTVonline=20184361")</f>
        <v>ICTVonline=20184361</v>
      </c>
    </row>
    <row r="4060" spans="1:22">
      <c r="A4060" s="3">
        <v>4059</v>
      </c>
      <c r="L4060" s="1" t="s">
        <v>952</v>
      </c>
      <c r="N4060" s="1" t="s">
        <v>612</v>
      </c>
      <c r="P4060" s="1" t="s">
        <v>948</v>
      </c>
      <c r="Q4060" s="3">
        <v>0</v>
      </c>
      <c r="R4060" s="22" t="s">
        <v>2764</v>
      </c>
      <c r="S4060" s="22" t="s">
        <v>5097</v>
      </c>
      <c r="T4060" s="51">
        <v>18</v>
      </c>
      <c r="U4060" s="3" t="s">
        <v>5486</v>
      </c>
      <c r="V4060" s="41" t="str">
        <f>HYPERLINK("http://ictvonline.org/taxonomy/p/taxonomy-history?taxnode_id=20184362","ICTVonline=20184362")</f>
        <v>ICTVonline=20184362</v>
      </c>
    </row>
    <row r="4061" spans="1:22">
      <c r="A4061" s="3">
        <v>4060</v>
      </c>
      <c r="L4061" s="1" t="s">
        <v>952</v>
      </c>
      <c r="N4061" s="1" t="s">
        <v>612</v>
      </c>
      <c r="P4061" s="1" t="s">
        <v>949</v>
      </c>
      <c r="Q4061" s="3">
        <v>0</v>
      </c>
      <c r="R4061" s="22" t="s">
        <v>2764</v>
      </c>
      <c r="S4061" s="22" t="s">
        <v>5100</v>
      </c>
      <c r="T4061" s="51">
        <v>18</v>
      </c>
      <c r="U4061" s="3" t="s">
        <v>5486</v>
      </c>
      <c r="V4061" s="41" t="str">
        <f>HYPERLINK("http://ictvonline.org/taxonomy/p/taxonomy-history?taxnode_id=20184363","ICTVonline=20184363")</f>
        <v>ICTVonline=20184363</v>
      </c>
    </row>
    <row r="4062" spans="1:22">
      <c r="A4062" s="3">
        <v>4061</v>
      </c>
      <c r="L4062" s="1" t="s">
        <v>952</v>
      </c>
      <c r="N4062" s="1" t="s">
        <v>612</v>
      </c>
      <c r="P4062" s="1" t="s">
        <v>6167</v>
      </c>
      <c r="Q4062" s="3">
        <v>0</v>
      </c>
      <c r="R4062" s="22" t="s">
        <v>2764</v>
      </c>
      <c r="S4062" s="22" t="s">
        <v>5100</v>
      </c>
      <c r="T4062" s="51">
        <v>18</v>
      </c>
      <c r="U4062" s="3" t="s">
        <v>5486</v>
      </c>
      <c r="V4062" s="41" t="str">
        <f>HYPERLINK("http://ictvonline.org/taxonomy/p/taxonomy-history?taxnode_id=20184364","ICTVonline=20184364")</f>
        <v>ICTVonline=20184364</v>
      </c>
    </row>
    <row r="4063" spans="1:22">
      <c r="A4063" s="3">
        <v>4062</v>
      </c>
      <c r="L4063" s="1" t="s">
        <v>952</v>
      </c>
      <c r="N4063" s="1" t="s">
        <v>612</v>
      </c>
      <c r="P4063" s="1" t="s">
        <v>1758</v>
      </c>
      <c r="Q4063" s="3">
        <v>0</v>
      </c>
      <c r="R4063" s="22" t="s">
        <v>2764</v>
      </c>
      <c r="S4063" s="22" t="s">
        <v>5100</v>
      </c>
      <c r="T4063" s="51">
        <v>18</v>
      </c>
      <c r="U4063" s="3" t="s">
        <v>5486</v>
      </c>
      <c r="V4063" s="41" t="str">
        <f>HYPERLINK("http://ictvonline.org/taxonomy/p/taxonomy-history?taxnode_id=20184365","ICTVonline=20184365")</f>
        <v>ICTVonline=20184365</v>
      </c>
    </row>
    <row r="4064" spans="1:22">
      <c r="A4064" s="3">
        <v>4063</v>
      </c>
      <c r="L4064" s="1" t="s">
        <v>952</v>
      </c>
      <c r="N4064" s="1" t="s">
        <v>612</v>
      </c>
      <c r="P4064" s="1" t="s">
        <v>613</v>
      </c>
      <c r="Q4064" s="3">
        <v>0</v>
      </c>
      <c r="R4064" s="22" t="s">
        <v>2764</v>
      </c>
      <c r="S4064" s="22" t="s">
        <v>5100</v>
      </c>
      <c r="T4064" s="51">
        <v>18</v>
      </c>
      <c r="U4064" s="3" t="s">
        <v>5486</v>
      </c>
      <c r="V4064" s="41" t="str">
        <f>HYPERLINK("http://ictvonline.org/taxonomy/p/taxonomy-history?taxnode_id=20184366","ICTVonline=20184366")</f>
        <v>ICTVonline=20184366</v>
      </c>
    </row>
    <row r="4065" spans="1:22">
      <c r="A4065" s="3">
        <v>4064</v>
      </c>
      <c r="L4065" s="1" t="s">
        <v>952</v>
      </c>
      <c r="N4065" s="1" t="s">
        <v>612</v>
      </c>
      <c r="P4065" s="1" t="s">
        <v>614</v>
      </c>
      <c r="Q4065" s="3">
        <v>0</v>
      </c>
      <c r="R4065" s="22" t="s">
        <v>2764</v>
      </c>
      <c r="S4065" s="22" t="s">
        <v>5100</v>
      </c>
      <c r="T4065" s="51">
        <v>18</v>
      </c>
      <c r="U4065" s="3" t="s">
        <v>5486</v>
      </c>
      <c r="V4065" s="41" t="str">
        <f>HYPERLINK("http://ictvonline.org/taxonomy/p/taxonomy-history?taxnode_id=20184367","ICTVonline=20184367")</f>
        <v>ICTVonline=20184367</v>
      </c>
    </row>
    <row r="4066" spans="1:22">
      <c r="A4066" s="3">
        <v>4065</v>
      </c>
      <c r="L4066" s="1" t="s">
        <v>952</v>
      </c>
      <c r="N4066" s="1" t="s">
        <v>612</v>
      </c>
      <c r="P4066" s="1" t="s">
        <v>1754</v>
      </c>
      <c r="Q4066" s="3">
        <v>0</v>
      </c>
      <c r="R4066" s="22" t="s">
        <v>2764</v>
      </c>
      <c r="S4066" s="22" t="s">
        <v>5100</v>
      </c>
      <c r="T4066" s="51">
        <v>18</v>
      </c>
      <c r="U4066" s="3" t="s">
        <v>5486</v>
      </c>
      <c r="V4066" s="41" t="str">
        <f>HYPERLINK("http://ictvonline.org/taxonomy/p/taxonomy-history?taxnode_id=20184368","ICTVonline=20184368")</f>
        <v>ICTVonline=20184368</v>
      </c>
    </row>
    <row r="4067" spans="1:22">
      <c r="A4067" s="3">
        <v>4066</v>
      </c>
      <c r="L4067" s="1" t="s">
        <v>952</v>
      </c>
      <c r="N4067" s="1" t="s">
        <v>612</v>
      </c>
      <c r="P4067" s="1" t="s">
        <v>1755</v>
      </c>
      <c r="Q4067" s="3">
        <v>0</v>
      </c>
      <c r="R4067" s="22" t="s">
        <v>2764</v>
      </c>
      <c r="S4067" s="22" t="s">
        <v>5100</v>
      </c>
      <c r="T4067" s="51">
        <v>18</v>
      </c>
      <c r="U4067" s="3" t="s">
        <v>5486</v>
      </c>
      <c r="V4067" s="41" t="str">
        <f>HYPERLINK("http://ictvonline.org/taxonomy/p/taxonomy-history?taxnode_id=20184369","ICTVonline=20184369")</f>
        <v>ICTVonline=20184369</v>
      </c>
    </row>
    <row r="4068" spans="1:22">
      <c r="A4068" s="3">
        <v>4067</v>
      </c>
      <c r="L4068" s="1" t="s">
        <v>952</v>
      </c>
      <c r="N4068" s="1" t="s">
        <v>612</v>
      </c>
      <c r="P4068" s="1" t="s">
        <v>1756</v>
      </c>
      <c r="Q4068" s="3">
        <v>0</v>
      </c>
      <c r="R4068" s="22" t="s">
        <v>2764</v>
      </c>
      <c r="S4068" s="22" t="s">
        <v>5100</v>
      </c>
      <c r="T4068" s="51">
        <v>18</v>
      </c>
      <c r="U4068" s="3" t="s">
        <v>5486</v>
      </c>
      <c r="V4068" s="41" t="str">
        <f>HYPERLINK("http://ictvonline.org/taxonomy/p/taxonomy-history?taxnode_id=20184370","ICTVonline=20184370")</f>
        <v>ICTVonline=20184370</v>
      </c>
    </row>
    <row r="4069" spans="1:22">
      <c r="A4069" s="3">
        <v>4068</v>
      </c>
      <c r="L4069" s="1" t="s">
        <v>952</v>
      </c>
      <c r="N4069" s="1" t="s">
        <v>612</v>
      </c>
      <c r="P4069" s="1" t="s">
        <v>609</v>
      </c>
      <c r="Q4069" s="3">
        <v>0</v>
      </c>
      <c r="R4069" s="22" t="s">
        <v>2764</v>
      </c>
      <c r="S4069" s="22" t="s">
        <v>5100</v>
      </c>
      <c r="T4069" s="51">
        <v>18</v>
      </c>
      <c r="U4069" s="3" t="s">
        <v>5486</v>
      </c>
      <c r="V4069" s="41" t="str">
        <f>HYPERLINK("http://ictvonline.org/taxonomy/p/taxonomy-history?taxnode_id=20184371","ICTVonline=20184371")</f>
        <v>ICTVonline=20184371</v>
      </c>
    </row>
    <row r="4070" spans="1:22">
      <c r="A4070" s="3">
        <v>4069</v>
      </c>
      <c r="L4070" s="1" t="s">
        <v>952</v>
      </c>
      <c r="N4070" s="1" t="s">
        <v>612</v>
      </c>
      <c r="P4070" s="1" t="s">
        <v>610</v>
      </c>
      <c r="Q4070" s="3">
        <v>1</v>
      </c>
      <c r="R4070" s="22" t="s">
        <v>2764</v>
      </c>
      <c r="S4070" s="22" t="s">
        <v>5100</v>
      </c>
      <c r="T4070" s="51">
        <v>18</v>
      </c>
      <c r="U4070" s="3" t="s">
        <v>5486</v>
      </c>
      <c r="V4070" s="41" t="str">
        <f>HYPERLINK("http://ictvonline.org/taxonomy/p/taxonomy-history?taxnode_id=20184372","ICTVonline=20184372")</f>
        <v>ICTVonline=20184372</v>
      </c>
    </row>
    <row r="4071" spans="1:22">
      <c r="A4071" s="3">
        <v>4070</v>
      </c>
      <c r="L4071" s="1" t="s">
        <v>952</v>
      </c>
      <c r="N4071" s="1" t="s">
        <v>612</v>
      </c>
      <c r="P4071" s="1" t="s">
        <v>611</v>
      </c>
      <c r="Q4071" s="3">
        <v>0</v>
      </c>
      <c r="R4071" s="22" t="s">
        <v>2764</v>
      </c>
      <c r="S4071" s="22" t="s">
        <v>5100</v>
      </c>
      <c r="T4071" s="51">
        <v>18</v>
      </c>
      <c r="U4071" s="3" t="s">
        <v>5486</v>
      </c>
      <c r="V4071" s="41" t="str">
        <f>HYPERLINK("http://ictvonline.org/taxonomy/p/taxonomy-history?taxnode_id=20184373","ICTVonline=20184373")</f>
        <v>ICTVonline=20184373</v>
      </c>
    </row>
    <row r="4072" spans="1:22">
      <c r="A4072" s="3">
        <v>4071</v>
      </c>
      <c r="L4072" s="1" t="s">
        <v>952</v>
      </c>
      <c r="N4072" s="1" t="s">
        <v>612</v>
      </c>
      <c r="P4072" s="1" t="s">
        <v>621</v>
      </c>
      <c r="Q4072" s="3">
        <v>0</v>
      </c>
      <c r="R4072" s="22" t="s">
        <v>2764</v>
      </c>
      <c r="S4072" s="22" t="s">
        <v>5100</v>
      </c>
      <c r="T4072" s="51">
        <v>18</v>
      </c>
      <c r="U4072" s="3" t="s">
        <v>5486</v>
      </c>
      <c r="V4072" s="41" t="str">
        <f>HYPERLINK("http://ictvonline.org/taxonomy/p/taxonomy-history?taxnode_id=20184374","ICTVonline=20184374")</f>
        <v>ICTVonline=20184374</v>
      </c>
    </row>
    <row r="4073" spans="1:22">
      <c r="A4073" s="3">
        <v>4072</v>
      </c>
      <c r="L4073" s="1" t="s">
        <v>952</v>
      </c>
      <c r="N4073" s="1" t="s">
        <v>612</v>
      </c>
      <c r="P4073" s="1" t="s">
        <v>622</v>
      </c>
      <c r="Q4073" s="3">
        <v>0</v>
      </c>
      <c r="R4073" s="22" t="s">
        <v>2764</v>
      </c>
      <c r="S4073" s="22" t="s">
        <v>5100</v>
      </c>
      <c r="T4073" s="51">
        <v>18</v>
      </c>
      <c r="U4073" s="3" t="s">
        <v>5486</v>
      </c>
      <c r="V4073" s="41" t="str">
        <f>HYPERLINK("http://ictvonline.org/taxonomy/p/taxonomy-history?taxnode_id=20184375","ICTVonline=20184375")</f>
        <v>ICTVonline=20184375</v>
      </c>
    </row>
    <row r="4074" spans="1:22">
      <c r="A4074" s="3">
        <v>4073</v>
      </c>
      <c r="L4074" s="1" t="s">
        <v>952</v>
      </c>
      <c r="N4074" s="1" t="s">
        <v>612</v>
      </c>
      <c r="P4074" s="1" t="s">
        <v>888</v>
      </c>
      <c r="Q4074" s="3">
        <v>0</v>
      </c>
      <c r="R4074" s="22" t="s">
        <v>2764</v>
      </c>
      <c r="S4074" s="22" t="s">
        <v>5100</v>
      </c>
      <c r="T4074" s="51">
        <v>18</v>
      </c>
      <c r="U4074" s="3" t="s">
        <v>5486</v>
      </c>
      <c r="V4074" s="41" t="str">
        <f>HYPERLINK("http://ictvonline.org/taxonomy/p/taxonomy-history?taxnode_id=20184376","ICTVonline=20184376")</f>
        <v>ICTVonline=20184376</v>
      </c>
    </row>
    <row r="4075" spans="1:22">
      <c r="A4075" s="3">
        <v>4074</v>
      </c>
      <c r="L4075" s="1" t="s">
        <v>952</v>
      </c>
      <c r="N4075" s="1" t="s">
        <v>612</v>
      </c>
      <c r="P4075" s="1" t="s">
        <v>964</v>
      </c>
      <c r="Q4075" s="3">
        <v>0</v>
      </c>
      <c r="R4075" s="22" t="s">
        <v>2764</v>
      </c>
      <c r="S4075" s="22" t="s">
        <v>5100</v>
      </c>
      <c r="T4075" s="51">
        <v>18</v>
      </c>
      <c r="U4075" s="3" t="s">
        <v>5486</v>
      </c>
      <c r="V4075" s="41" t="str">
        <f>HYPERLINK("http://ictvonline.org/taxonomy/p/taxonomy-history?taxnode_id=20184377","ICTVonline=20184377")</f>
        <v>ICTVonline=20184377</v>
      </c>
    </row>
    <row r="4076" spans="1:22">
      <c r="A4076" s="3">
        <v>4075</v>
      </c>
      <c r="L4076" s="1" t="s">
        <v>952</v>
      </c>
      <c r="N4076" s="1" t="s">
        <v>612</v>
      </c>
      <c r="P4076" s="1" t="s">
        <v>965</v>
      </c>
      <c r="Q4076" s="3">
        <v>0</v>
      </c>
      <c r="R4076" s="22" t="s">
        <v>2764</v>
      </c>
      <c r="S4076" s="22" t="s">
        <v>5100</v>
      </c>
      <c r="T4076" s="51">
        <v>18</v>
      </c>
      <c r="U4076" s="3" t="s">
        <v>5486</v>
      </c>
      <c r="V4076" s="41" t="str">
        <f>HYPERLINK("http://ictvonline.org/taxonomy/p/taxonomy-history?taxnode_id=20184378","ICTVonline=20184378")</f>
        <v>ICTVonline=20184378</v>
      </c>
    </row>
    <row r="4077" spans="1:22">
      <c r="A4077" s="3">
        <v>4076</v>
      </c>
      <c r="L4077" s="1" t="s">
        <v>952</v>
      </c>
      <c r="N4077" s="1" t="s">
        <v>612</v>
      </c>
      <c r="P4077" s="1" t="s">
        <v>1924</v>
      </c>
      <c r="Q4077" s="3">
        <v>0</v>
      </c>
      <c r="R4077" s="22" t="s">
        <v>2764</v>
      </c>
      <c r="S4077" s="22" t="s">
        <v>5100</v>
      </c>
      <c r="T4077" s="51">
        <v>18</v>
      </c>
      <c r="U4077" s="3" t="s">
        <v>5486</v>
      </c>
      <c r="V4077" s="41" t="str">
        <f>HYPERLINK("http://ictvonline.org/taxonomy/p/taxonomy-history?taxnode_id=20184379","ICTVonline=20184379")</f>
        <v>ICTVonline=20184379</v>
      </c>
    </row>
    <row r="4078" spans="1:22">
      <c r="A4078" s="3">
        <v>4077</v>
      </c>
      <c r="L4078" s="1" t="s">
        <v>952</v>
      </c>
      <c r="N4078" s="1" t="s">
        <v>612</v>
      </c>
      <c r="P4078" s="1" t="s">
        <v>1925</v>
      </c>
      <c r="Q4078" s="3">
        <v>0</v>
      </c>
      <c r="R4078" s="22" t="s">
        <v>2764</v>
      </c>
      <c r="S4078" s="22" t="s">
        <v>5100</v>
      </c>
      <c r="T4078" s="51">
        <v>18</v>
      </c>
      <c r="U4078" s="3" t="s">
        <v>5486</v>
      </c>
      <c r="V4078" s="41" t="str">
        <f>HYPERLINK("http://ictvonline.org/taxonomy/p/taxonomy-history?taxnode_id=20184380","ICTVonline=20184380")</f>
        <v>ICTVonline=20184380</v>
      </c>
    </row>
    <row r="4079" spans="1:22">
      <c r="A4079" s="3">
        <v>4078</v>
      </c>
      <c r="L4079" s="1" t="s">
        <v>952</v>
      </c>
      <c r="N4079" s="1" t="s">
        <v>612</v>
      </c>
      <c r="P4079" s="1" t="s">
        <v>1926</v>
      </c>
      <c r="Q4079" s="3">
        <v>0</v>
      </c>
      <c r="R4079" s="22" t="s">
        <v>2764</v>
      </c>
      <c r="S4079" s="22" t="s">
        <v>5100</v>
      </c>
      <c r="T4079" s="51">
        <v>18</v>
      </c>
      <c r="U4079" s="3" t="s">
        <v>5486</v>
      </c>
      <c r="V4079" s="41" t="str">
        <f>HYPERLINK("http://ictvonline.org/taxonomy/p/taxonomy-history?taxnode_id=20184381","ICTVonline=20184381")</f>
        <v>ICTVonline=20184381</v>
      </c>
    </row>
    <row r="4080" spans="1:22">
      <c r="A4080" s="3">
        <v>4079</v>
      </c>
      <c r="L4080" s="1" t="s">
        <v>952</v>
      </c>
      <c r="N4080" s="1" t="s">
        <v>612</v>
      </c>
      <c r="P4080" s="1" t="s">
        <v>892</v>
      </c>
      <c r="Q4080" s="3">
        <v>0</v>
      </c>
      <c r="R4080" s="22" t="s">
        <v>2764</v>
      </c>
      <c r="S4080" s="22" t="s">
        <v>5100</v>
      </c>
      <c r="T4080" s="51">
        <v>18</v>
      </c>
      <c r="U4080" s="3" t="s">
        <v>5486</v>
      </c>
      <c r="V4080" s="41" t="str">
        <f>HYPERLINK("http://ictvonline.org/taxonomy/p/taxonomy-history?taxnode_id=20184382","ICTVonline=20184382")</f>
        <v>ICTVonline=20184382</v>
      </c>
    </row>
    <row r="4081" spans="1:22">
      <c r="A4081" s="3">
        <v>4080</v>
      </c>
      <c r="L4081" s="1" t="s">
        <v>952</v>
      </c>
      <c r="N4081" s="1" t="s">
        <v>612</v>
      </c>
      <c r="P4081" s="1" t="s">
        <v>962</v>
      </c>
      <c r="Q4081" s="3">
        <v>0</v>
      </c>
      <c r="R4081" s="22" t="s">
        <v>2764</v>
      </c>
      <c r="S4081" s="22" t="s">
        <v>5100</v>
      </c>
      <c r="T4081" s="51">
        <v>18</v>
      </c>
      <c r="U4081" s="3" t="s">
        <v>5486</v>
      </c>
      <c r="V4081" s="41" t="str">
        <f>HYPERLINK("http://ictvonline.org/taxonomy/p/taxonomy-history?taxnode_id=20184383","ICTVonline=20184383")</f>
        <v>ICTVonline=20184383</v>
      </c>
    </row>
    <row r="4082" spans="1:22">
      <c r="A4082" s="3">
        <v>4081</v>
      </c>
      <c r="L4082" s="1" t="s">
        <v>952</v>
      </c>
      <c r="N4082" s="1" t="s">
        <v>612</v>
      </c>
      <c r="P4082" s="1" t="s">
        <v>963</v>
      </c>
      <c r="Q4082" s="3">
        <v>0</v>
      </c>
      <c r="R4082" s="22" t="s">
        <v>2764</v>
      </c>
      <c r="S4082" s="22" t="s">
        <v>5100</v>
      </c>
      <c r="T4082" s="51">
        <v>18</v>
      </c>
      <c r="U4082" s="3" t="s">
        <v>5486</v>
      </c>
      <c r="V4082" s="41" t="str">
        <f>HYPERLINK("http://ictvonline.org/taxonomy/p/taxonomy-history?taxnode_id=20184384","ICTVonline=20184384")</f>
        <v>ICTVonline=20184384</v>
      </c>
    </row>
    <row r="4083" spans="1:22">
      <c r="A4083" s="3">
        <v>4082</v>
      </c>
      <c r="L4083" s="1" t="s">
        <v>952</v>
      </c>
      <c r="N4083" s="1" t="s">
        <v>612</v>
      </c>
      <c r="P4083" s="1" t="s">
        <v>1766</v>
      </c>
      <c r="Q4083" s="3">
        <v>0</v>
      </c>
      <c r="R4083" s="22" t="s">
        <v>2764</v>
      </c>
      <c r="S4083" s="22" t="s">
        <v>5100</v>
      </c>
      <c r="T4083" s="51">
        <v>18</v>
      </c>
      <c r="U4083" s="3" t="s">
        <v>5486</v>
      </c>
      <c r="V4083" s="41" t="str">
        <f>HYPERLINK("http://ictvonline.org/taxonomy/p/taxonomy-history?taxnode_id=20184385","ICTVonline=20184385")</f>
        <v>ICTVonline=20184385</v>
      </c>
    </row>
    <row r="4084" spans="1:22">
      <c r="A4084" s="3">
        <v>4083</v>
      </c>
      <c r="L4084" s="1" t="s">
        <v>952</v>
      </c>
      <c r="N4084" s="1" t="s">
        <v>612</v>
      </c>
      <c r="P4084" s="1" t="s">
        <v>623</v>
      </c>
      <c r="Q4084" s="3">
        <v>0</v>
      </c>
      <c r="R4084" s="22" t="s">
        <v>2764</v>
      </c>
      <c r="S4084" s="22" t="s">
        <v>5097</v>
      </c>
      <c r="T4084" s="51">
        <v>18</v>
      </c>
      <c r="U4084" s="3" t="s">
        <v>5486</v>
      </c>
      <c r="V4084" s="41" t="str">
        <f>HYPERLINK("http://ictvonline.org/taxonomy/p/taxonomy-history?taxnode_id=20184386","ICTVonline=20184386")</f>
        <v>ICTVonline=20184386</v>
      </c>
    </row>
    <row r="4085" spans="1:22">
      <c r="A4085" s="3">
        <v>4084</v>
      </c>
      <c r="L4085" s="1" t="s">
        <v>952</v>
      </c>
      <c r="N4085" s="1" t="s">
        <v>624</v>
      </c>
      <c r="P4085" s="1" t="s">
        <v>966</v>
      </c>
      <c r="Q4085" s="3">
        <v>0</v>
      </c>
      <c r="R4085" s="22" t="s">
        <v>2764</v>
      </c>
      <c r="S4085" s="22" t="s">
        <v>5100</v>
      </c>
      <c r="T4085" s="51">
        <v>18</v>
      </c>
      <c r="U4085" s="3" t="s">
        <v>5486</v>
      </c>
      <c r="V4085" s="41" t="str">
        <f>HYPERLINK("http://ictvonline.org/taxonomy/p/taxonomy-history?taxnode_id=20184388","ICTVonline=20184388")</f>
        <v>ICTVonline=20184388</v>
      </c>
    </row>
    <row r="4086" spans="1:22">
      <c r="A4086" s="3">
        <v>4085</v>
      </c>
      <c r="L4086" s="1" t="s">
        <v>952</v>
      </c>
      <c r="N4086" s="1" t="s">
        <v>624</v>
      </c>
      <c r="P4086" s="1" t="s">
        <v>898</v>
      </c>
      <c r="Q4086" s="3">
        <v>0</v>
      </c>
      <c r="R4086" s="22" t="s">
        <v>2764</v>
      </c>
      <c r="S4086" s="22" t="s">
        <v>5100</v>
      </c>
      <c r="T4086" s="51">
        <v>18</v>
      </c>
      <c r="U4086" s="3" t="s">
        <v>5486</v>
      </c>
      <c r="V4086" s="41" t="str">
        <f>HYPERLINK("http://ictvonline.org/taxonomy/p/taxonomy-history?taxnode_id=20184389","ICTVonline=20184389")</f>
        <v>ICTVonline=20184389</v>
      </c>
    </row>
    <row r="4087" spans="1:22">
      <c r="A4087" s="3">
        <v>4086</v>
      </c>
      <c r="L4087" s="1" t="s">
        <v>952</v>
      </c>
      <c r="N4087" s="1" t="s">
        <v>624</v>
      </c>
      <c r="P4087" s="1" t="s">
        <v>899</v>
      </c>
      <c r="Q4087" s="3">
        <v>1</v>
      </c>
      <c r="R4087" s="22" t="s">
        <v>2764</v>
      </c>
      <c r="S4087" s="22" t="s">
        <v>5100</v>
      </c>
      <c r="T4087" s="51">
        <v>18</v>
      </c>
      <c r="U4087" s="3" t="s">
        <v>5486</v>
      </c>
      <c r="V4087" s="41" t="str">
        <f>HYPERLINK("http://ictvonline.org/taxonomy/p/taxonomy-history?taxnode_id=20184390","ICTVonline=20184390")</f>
        <v>ICTVonline=20184390</v>
      </c>
    </row>
    <row r="4088" spans="1:22">
      <c r="A4088" s="3">
        <v>4087</v>
      </c>
      <c r="L4088" s="1" t="s">
        <v>952</v>
      </c>
      <c r="N4088" s="1" t="s">
        <v>624</v>
      </c>
      <c r="P4088" s="1" t="s">
        <v>900</v>
      </c>
      <c r="Q4088" s="3">
        <v>0</v>
      </c>
      <c r="R4088" s="22" t="s">
        <v>2764</v>
      </c>
      <c r="S4088" s="22" t="s">
        <v>5100</v>
      </c>
      <c r="T4088" s="51">
        <v>18</v>
      </c>
      <c r="U4088" s="3" t="s">
        <v>5486</v>
      </c>
      <c r="V4088" s="41" t="str">
        <f>HYPERLINK("http://ictvonline.org/taxonomy/p/taxonomy-history?taxnode_id=20184391","ICTVonline=20184391")</f>
        <v>ICTVonline=20184391</v>
      </c>
    </row>
    <row r="4089" spans="1:22">
      <c r="A4089" s="3">
        <v>4088</v>
      </c>
      <c r="L4089" s="1" t="s">
        <v>952</v>
      </c>
      <c r="N4089" s="1" t="s">
        <v>624</v>
      </c>
      <c r="P4089" s="1" t="s">
        <v>982</v>
      </c>
      <c r="Q4089" s="3">
        <v>0</v>
      </c>
      <c r="R4089" s="22" t="s">
        <v>2764</v>
      </c>
      <c r="S4089" s="22" t="s">
        <v>5100</v>
      </c>
      <c r="T4089" s="51">
        <v>18</v>
      </c>
      <c r="U4089" s="3" t="s">
        <v>5486</v>
      </c>
      <c r="V4089" s="41" t="str">
        <f>HYPERLINK("http://ictvonline.org/taxonomy/p/taxonomy-history?taxnode_id=20184392","ICTVonline=20184392")</f>
        <v>ICTVonline=20184392</v>
      </c>
    </row>
    <row r="4090" spans="1:22">
      <c r="A4090" s="3">
        <v>4089</v>
      </c>
      <c r="L4090" s="1" t="s">
        <v>952</v>
      </c>
      <c r="N4090" s="1" t="s">
        <v>624</v>
      </c>
      <c r="P4090" s="1" t="s">
        <v>983</v>
      </c>
      <c r="Q4090" s="3">
        <v>0</v>
      </c>
      <c r="R4090" s="22" t="s">
        <v>2764</v>
      </c>
      <c r="S4090" s="22" t="s">
        <v>5100</v>
      </c>
      <c r="T4090" s="51">
        <v>18</v>
      </c>
      <c r="U4090" s="3" t="s">
        <v>5486</v>
      </c>
      <c r="V4090" s="41" t="str">
        <f>HYPERLINK("http://ictvonline.org/taxonomy/p/taxonomy-history?taxnode_id=20184393","ICTVonline=20184393")</f>
        <v>ICTVonline=20184393</v>
      </c>
    </row>
    <row r="4091" spans="1:22">
      <c r="A4091" s="3">
        <v>4090</v>
      </c>
      <c r="L4091" s="1" t="s">
        <v>952</v>
      </c>
      <c r="N4091" s="1" t="s">
        <v>624</v>
      </c>
      <c r="P4091" s="1" t="s">
        <v>984</v>
      </c>
      <c r="Q4091" s="3">
        <v>0</v>
      </c>
      <c r="R4091" s="22" t="s">
        <v>2764</v>
      </c>
      <c r="S4091" s="22" t="s">
        <v>5100</v>
      </c>
      <c r="T4091" s="51">
        <v>18</v>
      </c>
      <c r="U4091" s="3" t="s">
        <v>5486</v>
      </c>
      <c r="V4091" s="41" t="str">
        <f>HYPERLINK("http://ictvonline.org/taxonomy/p/taxonomy-history?taxnode_id=20184394","ICTVonline=20184394")</f>
        <v>ICTVonline=20184394</v>
      </c>
    </row>
    <row r="4092" spans="1:22">
      <c r="A4092" s="3">
        <v>4091</v>
      </c>
      <c r="L4092" s="1" t="s">
        <v>952</v>
      </c>
      <c r="N4092" s="1" t="s">
        <v>624</v>
      </c>
      <c r="P4092" s="1" t="s">
        <v>985</v>
      </c>
      <c r="Q4092" s="3">
        <v>0</v>
      </c>
      <c r="R4092" s="22" t="s">
        <v>2764</v>
      </c>
      <c r="S4092" s="22" t="s">
        <v>5100</v>
      </c>
      <c r="T4092" s="51">
        <v>18</v>
      </c>
      <c r="U4092" s="3" t="s">
        <v>5486</v>
      </c>
      <c r="V4092" s="41" t="str">
        <f>HYPERLINK("http://ictvonline.org/taxonomy/p/taxonomy-history?taxnode_id=20184395","ICTVonline=20184395")</f>
        <v>ICTVonline=20184395</v>
      </c>
    </row>
    <row r="4093" spans="1:22">
      <c r="A4093" s="3">
        <v>4092</v>
      </c>
      <c r="L4093" s="1" t="s">
        <v>952</v>
      </c>
      <c r="N4093" s="1" t="s">
        <v>624</v>
      </c>
      <c r="P4093" s="1" t="s">
        <v>986</v>
      </c>
      <c r="Q4093" s="3">
        <v>0</v>
      </c>
      <c r="R4093" s="22" t="s">
        <v>2764</v>
      </c>
      <c r="S4093" s="22" t="s">
        <v>5100</v>
      </c>
      <c r="T4093" s="51">
        <v>18</v>
      </c>
      <c r="U4093" s="3" t="s">
        <v>5486</v>
      </c>
      <c r="V4093" s="41" t="str">
        <f>HYPERLINK("http://ictvonline.org/taxonomy/p/taxonomy-history?taxnode_id=20184396","ICTVonline=20184396")</f>
        <v>ICTVonline=20184396</v>
      </c>
    </row>
    <row r="4094" spans="1:22">
      <c r="A4094" s="3">
        <v>4093</v>
      </c>
      <c r="L4094" s="1" t="s">
        <v>952</v>
      </c>
      <c r="N4094" s="1" t="s">
        <v>624</v>
      </c>
      <c r="P4094" s="1" t="s">
        <v>987</v>
      </c>
      <c r="Q4094" s="3">
        <v>0</v>
      </c>
      <c r="R4094" s="22" t="s">
        <v>2764</v>
      </c>
      <c r="S4094" s="22" t="s">
        <v>5100</v>
      </c>
      <c r="T4094" s="51">
        <v>18</v>
      </c>
      <c r="U4094" s="3" t="s">
        <v>5486</v>
      </c>
      <c r="V4094" s="41" t="str">
        <f>HYPERLINK("http://ictvonline.org/taxonomy/p/taxonomy-history?taxnode_id=20184397","ICTVonline=20184397")</f>
        <v>ICTVonline=20184397</v>
      </c>
    </row>
    <row r="4095" spans="1:22">
      <c r="A4095" s="3">
        <v>4094</v>
      </c>
      <c r="L4095" s="1" t="s">
        <v>952</v>
      </c>
      <c r="N4095" s="1" t="s">
        <v>624</v>
      </c>
      <c r="P4095" s="1" t="s">
        <v>988</v>
      </c>
      <c r="Q4095" s="3">
        <v>0</v>
      </c>
      <c r="R4095" s="22" t="s">
        <v>2764</v>
      </c>
      <c r="S4095" s="22" t="s">
        <v>5100</v>
      </c>
      <c r="T4095" s="51">
        <v>18</v>
      </c>
      <c r="U4095" s="3" t="s">
        <v>5486</v>
      </c>
      <c r="V4095" s="41" t="str">
        <f>HYPERLINK("http://ictvonline.org/taxonomy/p/taxonomy-history?taxnode_id=20184398","ICTVonline=20184398")</f>
        <v>ICTVonline=20184398</v>
      </c>
    </row>
    <row r="4096" spans="1:22">
      <c r="A4096" s="3">
        <v>4095</v>
      </c>
      <c r="L4096" s="1" t="s">
        <v>952</v>
      </c>
      <c r="N4096" s="1" t="s">
        <v>624</v>
      </c>
      <c r="P4096" s="1" t="s">
        <v>989</v>
      </c>
      <c r="Q4096" s="3">
        <v>0</v>
      </c>
      <c r="R4096" s="22" t="s">
        <v>2764</v>
      </c>
      <c r="S4096" s="22" t="s">
        <v>5100</v>
      </c>
      <c r="T4096" s="51">
        <v>18</v>
      </c>
      <c r="U4096" s="3" t="s">
        <v>5486</v>
      </c>
      <c r="V4096" s="41" t="str">
        <f>HYPERLINK("http://ictvonline.org/taxonomy/p/taxonomy-history?taxnode_id=20184399","ICTVonline=20184399")</f>
        <v>ICTVonline=20184399</v>
      </c>
    </row>
    <row r="4097" spans="1:22">
      <c r="A4097" s="3">
        <v>4096</v>
      </c>
      <c r="L4097" s="1" t="s">
        <v>952</v>
      </c>
      <c r="N4097" s="1" t="s">
        <v>624</v>
      </c>
      <c r="P4097" s="1" t="s">
        <v>990</v>
      </c>
      <c r="Q4097" s="3">
        <v>0</v>
      </c>
      <c r="R4097" s="22" t="s">
        <v>2764</v>
      </c>
      <c r="S4097" s="22" t="s">
        <v>5100</v>
      </c>
      <c r="T4097" s="51">
        <v>18</v>
      </c>
      <c r="U4097" s="3" t="s">
        <v>5486</v>
      </c>
      <c r="V4097" s="41" t="str">
        <f>HYPERLINK("http://ictvonline.org/taxonomy/p/taxonomy-history?taxnode_id=20184400","ICTVonline=20184400")</f>
        <v>ICTVonline=20184400</v>
      </c>
    </row>
    <row r="4098" spans="1:22">
      <c r="A4098" s="3">
        <v>4097</v>
      </c>
      <c r="L4098" s="1" t="s">
        <v>952</v>
      </c>
      <c r="N4098" s="1" t="s">
        <v>624</v>
      </c>
      <c r="P4098" s="1" t="s">
        <v>991</v>
      </c>
      <c r="Q4098" s="3">
        <v>0</v>
      </c>
      <c r="R4098" s="22" t="s">
        <v>2764</v>
      </c>
      <c r="S4098" s="22" t="s">
        <v>5100</v>
      </c>
      <c r="T4098" s="51">
        <v>18</v>
      </c>
      <c r="U4098" s="3" t="s">
        <v>5486</v>
      </c>
      <c r="V4098" s="41" t="str">
        <f>HYPERLINK("http://ictvonline.org/taxonomy/p/taxonomy-history?taxnode_id=20184401","ICTVonline=20184401")</f>
        <v>ICTVonline=20184401</v>
      </c>
    </row>
    <row r="4099" spans="1:22">
      <c r="A4099" s="3">
        <v>4098</v>
      </c>
      <c r="L4099" s="1" t="s">
        <v>952</v>
      </c>
      <c r="N4099" s="1" t="s">
        <v>624</v>
      </c>
      <c r="P4099" s="1" t="s">
        <v>992</v>
      </c>
      <c r="Q4099" s="3">
        <v>0</v>
      </c>
      <c r="R4099" s="22" t="s">
        <v>2764</v>
      </c>
      <c r="S4099" s="22" t="s">
        <v>5100</v>
      </c>
      <c r="T4099" s="51">
        <v>18</v>
      </c>
      <c r="U4099" s="3" t="s">
        <v>5486</v>
      </c>
      <c r="V4099" s="41" t="str">
        <f>HYPERLINK("http://ictvonline.org/taxonomy/p/taxonomy-history?taxnode_id=20184402","ICTVonline=20184402")</f>
        <v>ICTVonline=20184402</v>
      </c>
    </row>
    <row r="4100" spans="1:22">
      <c r="A4100" s="3">
        <v>4099</v>
      </c>
      <c r="L4100" s="1" t="s">
        <v>952</v>
      </c>
      <c r="N4100" s="1" t="s">
        <v>624</v>
      </c>
      <c r="P4100" s="1" t="s">
        <v>993</v>
      </c>
      <c r="Q4100" s="3">
        <v>0</v>
      </c>
      <c r="R4100" s="22" t="s">
        <v>2764</v>
      </c>
      <c r="S4100" s="22" t="s">
        <v>5100</v>
      </c>
      <c r="T4100" s="51">
        <v>18</v>
      </c>
      <c r="U4100" s="3" t="s">
        <v>5486</v>
      </c>
      <c r="V4100" s="41" t="str">
        <f>HYPERLINK("http://ictvonline.org/taxonomy/p/taxonomy-history?taxnode_id=20184403","ICTVonline=20184403")</f>
        <v>ICTVonline=20184403</v>
      </c>
    </row>
    <row r="4101" spans="1:22">
      <c r="A4101" s="3">
        <v>4100</v>
      </c>
      <c r="L4101" s="1" t="s">
        <v>952</v>
      </c>
      <c r="N4101" s="1" t="s">
        <v>624</v>
      </c>
      <c r="P4101" s="1" t="s">
        <v>994</v>
      </c>
      <c r="Q4101" s="3">
        <v>0</v>
      </c>
      <c r="R4101" s="22" t="s">
        <v>2764</v>
      </c>
      <c r="S4101" s="22" t="s">
        <v>5100</v>
      </c>
      <c r="T4101" s="51">
        <v>18</v>
      </c>
      <c r="U4101" s="3" t="s">
        <v>5486</v>
      </c>
      <c r="V4101" s="41" t="str">
        <f>HYPERLINK("http://ictvonline.org/taxonomy/p/taxonomy-history?taxnode_id=20184404","ICTVonline=20184404")</f>
        <v>ICTVonline=20184404</v>
      </c>
    </row>
    <row r="4102" spans="1:22">
      <c r="A4102" s="3">
        <v>4101</v>
      </c>
      <c r="L4102" s="1" t="s">
        <v>952</v>
      </c>
      <c r="N4102" s="1" t="s">
        <v>624</v>
      </c>
      <c r="P4102" s="1" t="s">
        <v>995</v>
      </c>
      <c r="Q4102" s="3">
        <v>0</v>
      </c>
      <c r="R4102" s="22" t="s">
        <v>2764</v>
      </c>
      <c r="S4102" s="22" t="s">
        <v>5100</v>
      </c>
      <c r="T4102" s="51">
        <v>18</v>
      </c>
      <c r="U4102" s="3" t="s">
        <v>5486</v>
      </c>
      <c r="V4102" s="41" t="str">
        <f>HYPERLINK("http://ictvonline.org/taxonomy/p/taxonomy-history?taxnode_id=20184405","ICTVonline=20184405")</f>
        <v>ICTVonline=20184405</v>
      </c>
    </row>
    <row r="4103" spans="1:22">
      <c r="A4103" s="3">
        <v>4102</v>
      </c>
      <c r="L4103" s="1" t="s">
        <v>952</v>
      </c>
      <c r="N4103" s="1" t="s">
        <v>624</v>
      </c>
      <c r="P4103" s="1" t="s">
        <v>996</v>
      </c>
      <c r="Q4103" s="3">
        <v>0</v>
      </c>
      <c r="R4103" s="22" t="s">
        <v>2764</v>
      </c>
      <c r="S4103" s="22" t="s">
        <v>5100</v>
      </c>
      <c r="T4103" s="51">
        <v>18</v>
      </c>
      <c r="U4103" s="3" t="s">
        <v>5486</v>
      </c>
      <c r="V4103" s="41" t="str">
        <f>HYPERLINK("http://ictvonline.org/taxonomy/p/taxonomy-history?taxnode_id=20184406","ICTVonline=20184406")</f>
        <v>ICTVonline=20184406</v>
      </c>
    </row>
    <row r="4104" spans="1:22">
      <c r="A4104" s="3">
        <v>4103</v>
      </c>
      <c r="L4104" s="1" t="s">
        <v>952</v>
      </c>
      <c r="N4104" s="1" t="s">
        <v>624</v>
      </c>
      <c r="P4104" s="1" t="s">
        <v>997</v>
      </c>
      <c r="Q4104" s="3">
        <v>0</v>
      </c>
      <c r="R4104" s="22" t="s">
        <v>2764</v>
      </c>
      <c r="S4104" s="22" t="s">
        <v>5100</v>
      </c>
      <c r="T4104" s="51">
        <v>18</v>
      </c>
      <c r="U4104" s="3" t="s">
        <v>5486</v>
      </c>
      <c r="V4104" s="41" t="str">
        <f>HYPERLINK("http://ictvonline.org/taxonomy/p/taxonomy-history?taxnode_id=20184407","ICTVonline=20184407")</f>
        <v>ICTVonline=20184407</v>
      </c>
    </row>
    <row r="4105" spans="1:22">
      <c r="A4105" s="3">
        <v>4104</v>
      </c>
      <c r="L4105" s="1" t="s">
        <v>952</v>
      </c>
      <c r="N4105" s="1" t="s">
        <v>624</v>
      </c>
      <c r="P4105" s="1" t="s">
        <v>998</v>
      </c>
      <c r="Q4105" s="3">
        <v>0</v>
      </c>
      <c r="R4105" s="22" t="s">
        <v>2764</v>
      </c>
      <c r="S4105" s="22" t="s">
        <v>5100</v>
      </c>
      <c r="T4105" s="51">
        <v>18</v>
      </c>
      <c r="U4105" s="3" t="s">
        <v>5486</v>
      </c>
      <c r="V4105" s="41" t="str">
        <f>HYPERLINK("http://ictvonline.org/taxonomy/p/taxonomy-history?taxnode_id=20184408","ICTVonline=20184408")</f>
        <v>ICTVonline=20184408</v>
      </c>
    </row>
    <row r="4106" spans="1:22">
      <c r="A4106" s="3">
        <v>4105</v>
      </c>
      <c r="L4106" s="1" t="s">
        <v>999</v>
      </c>
      <c r="N4106" s="1" t="s">
        <v>4043</v>
      </c>
      <c r="P4106" s="1" t="s">
        <v>4044</v>
      </c>
      <c r="Q4106" s="3">
        <v>0</v>
      </c>
      <c r="R4106" s="22" t="s">
        <v>2764</v>
      </c>
      <c r="S4106" s="22" t="s">
        <v>5097</v>
      </c>
      <c r="T4106" s="51">
        <v>30</v>
      </c>
      <c r="U4106" s="3" t="s">
        <v>6168</v>
      </c>
      <c r="V4106" s="41" t="str">
        <f>HYPERLINK("http://ictvonline.org/taxonomy/p/taxonomy-history?taxnode_id=20184412","ICTVonline=20184412")</f>
        <v>ICTVonline=20184412</v>
      </c>
    </row>
    <row r="4107" spans="1:22">
      <c r="A4107" s="3">
        <v>4106</v>
      </c>
      <c r="L4107" s="1" t="s">
        <v>999</v>
      </c>
      <c r="N4107" s="1" t="s">
        <v>4043</v>
      </c>
      <c r="P4107" s="1" t="s">
        <v>4045</v>
      </c>
      <c r="Q4107" s="3">
        <v>0</v>
      </c>
      <c r="R4107" s="22" t="s">
        <v>2764</v>
      </c>
      <c r="S4107" s="22" t="s">
        <v>5097</v>
      </c>
      <c r="T4107" s="51">
        <v>30</v>
      </c>
      <c r="U4107" s="3" t="s">
        <v>6168</v>
      </c>
      <c r="V4107" s="41" t="str">
        <f>HYPERLINK("http://ictvonline.org/taxonomy/p/taxonomy-history?taxnode_id=20184413","ICTVonline=20184413")</f>
        <v>ICTVonline=20184413</v>
      </c>
    </row>
    <row r="4108" spans="1:22">
      <c r="A4108" s="3">
        <v>4107</v>
      </c>
      <c r="L4108" s="1" t="s">
        <v>999</v>
      </c>
      <c r="N4108" s="1" t="s">
        <v>4043</v>
      </c>
      <c r="P4108" s="1" t="s">
        <v>4046</v>
      </c>
      <c r="Q4108" s="3">
        <v>0</v>
      </c>
      <c r="R4108" s="22" t="s">
        <v>2764</v>
      </c>
      <c r="S4108" s="22" t="s">
        <v>5097</v>
      </c>
      <c r="T4108" s="51">
        <v>30</v>
      </c>
      <c r="U4108" s="3" t="s">
        <v>6168</v>
      </c>
      <c r="V4108" s="41" t="str">
        <f>HYPERLINK("http://ictvonline.org/taxonomy/p/taxonomy-history?taxnode_id=20184414","ICTVonline=20184414")</f>
        <v>ICTVonline=20184414</v>
      </c>
    </row>
    <row r="4109" spans="1:22">
      <c r="A4109" s="3">
        <v>4108</v>
      </c>
      <c r="L4109" s="1" t="s">
        <v>999</v>
      </c>
      <c r="N4109" s="1" t="s">
        <v>4043</v>
      </c>
      <c r="P4109" s="1" t="s">
        <v>4047</v>
      </c>
      <c r="Q4109" s="3">
        <v>0</v>
      </c>
      <c r="R4109" s="22" t="s">
        <v>2764</v>
      </c>
      <c r="S4109" s="22" t="s">
        <v>5097</v>
      </c>
      <c r="T4109" s="51">
        <v>30</v>
      </c>
      <c r="U4109" s="3" t="s">
        <v>6168</v>
      </c>
      <c r="V4109" s="41" t="str">
        <f>HYPERLINK("http://ictvonline.org/taxonomy/p/taxonomy-history?taxnode_id=20184415","ICTVonline=20184415")</f>
        <v>ICTVonline=20184415</v>
      </c>
    </row>
    <row r="4110" spans="1:22">
      <c r="A4110" s="3">
        <v>4109</v>
      </c>
      <c r="L4110" s="1" t="s">
        <v>999</v>
      </c>
      <c r="N4110" s="1" t="s">
        <v>4043</v>
      </c>
      <c r="P4110" s="1" t="s">
        <v>4048</v>
      </c>
      <c r="Q4110" s="3">
        <v>0</v>
      </c>
      <c r="R4110" s="22" t="s">
        <v>2764</v>
      </c>
      <c r="S4110" s="22" t="s">
        <v>5097</v>
      </c>
      <c r="T4110" s="51">
        <v>30</v>
      </c>
      <c r="U4110" s="3" t="s">
        <v>6168</v>
      </c>
      <c r="V4110" s="41" t="str">
        <f>HYPERLINK("http://ictvonline.org/taxonomy/p/taxonomy-history?taxnode_id=20184416","ICTVonline=20184416")</f>
        <v>ICTVonline=20184416</v>
      </c>
    </row>
    <row r="4111" spans="1:22">
      <c r="A4111" s="3">
        <v>4110</v>
      </c>
      <c r="L4111" s="1" t="s">
        <v>999</v>
      </c>
      <c r="N4111" s="1" t="s">
        <v>4043</v>
      </c>
      <c r="P4111" s="1" t="s">
        <v>4049</v>
      </c>
      <c r="Q4111" s="3">
        <v>0</v>
      </c>
      <c r="R4111" s="22" t="s">
        <v>2764</v>
      </c>
      <c r="S4111" s="22" t="s">
        <v>5097</v>
      </c>
      <c r="T4111" s="51">
        <v>30</v>
      </c>
      <c r="U4111" s="3" t="s">
        <v>6168</v>
      </c>
      <c r="V4111" s="41" t="str">
        <f>HYPERLINK("http://ictvonline.org/taxonomy/p/taxonomy-history?taxnode_id=20184417","ICTVonline=20184417")</f>
        <v>ICTVonline=20184417</v>
      </c>
    </row>
    <row r="4112" spans="1:22">
      <c r="A4112" s="3">
        <v>4111</v>
      </c>
      <c r="L4112" s="1" t="s">
        <v>999</v>
      </c>
      <c r="N4112" s="1" t="s">
        <v>4043</v>
      </c>
      <c r="P4112" s="1" t="s">
        <v>4050</v>
      </c>
      <c r="Q4112" s="3">
        <v>0</v>
      </c>
      <c r="R4112" s="22" t="s">
        <v>2764</v>
      </c>
      <c r="S4112" s="22" t="s">
        <v>5097</v>
      </c>
      <c r="T4112" s="51">
        <v>30</v>
      </c>
      <c r="U4112" s="3" t="s">
        <v>6168</v>
      </c>
      <c r="V4112" s="41" t="str">
        <f>HYPERLINK("http://ictvonline.org/taxonomy/p/taxonomy-history?taxnode_id=20184418","ICTVonline=20184418")</f>
        <v>ICTVonline=20184418</v>
      </c>
    </row>
    <row r="4113" spans="1:22">
      <c r="A4113" s="3">
        <v>4112</v>
      </c>
      <c r="L4113" s="1" t="s">
        <v>999</v>
      </c>
      <c r="N4113" s="1" t="s">
        <v>4043</v>
      </c>
      <c r="P4113" s="1" t="s">
        <v>4051</v>
      </c>
      <c r="Q4113" s="3">
        <v>0</v>
      </c>
      <c r="R4113" s="22" t="s">
        <v>2764</v>
      </c>
      <c r="S4113" s="22" t="s">
        <v>5097</v>
      </c>
      <c r="T4113" s="51">
        <v>30</v>
      </c>
      <c r="U4113" s="3" t="s">
        <v>6168</v>
      </c>
      <c r="V4113" s="41" t="str">
        <f>HYPERLINK("http://ictvonline.org/taxonomy/p/taxonomy-history?taxnode_id=20184419","ICTVonline=20184419")</f>
        <v>ICTVonline=20184419</v>
      </c>
    </row>
    <row r="4114" spans="1:22">
      <c r="A4114" s="3">
        <v>4113</v>
      </c>
      <c r="L4114" s="1" t="s">
        <v>999</v>
      </c>
      <c r="N4114" s="1" t="s">
        <v>4043</v>
      </c>
      <c r="P4114" s="1" t="s">
        <v>4052</v>
      </c>
      <c r="Q4114" s="3">
        <v>0</v>
      </c>
      <c r="R4114" s="22" t="s">
        <v>2764</v>
      </c>
      <c r="S4114" s="22" t="s">
        <v>5097</v>
      </c>
      <c r="T4114" s="51">
        <v>30</v>
      </c>
      <c r="U4114" s="3" t="s">
        <v>6168</v>
      </c>
      <c r="V4114" s="41" t="str">
        <f>HYPERLINK("http://ictvonline.org/taxonomy/p/taxonomy-history?taxnode_id=20184420","ICTVonline=20184420")</f>
        <v>ICTVonline=20184420</v>
      </c>
    </row>
    <row r="4115" spans="1:22">
      <c r="A4115" s="3">
        <v>4114</v>
      </c>
      <c r="L4115" s="1" t="s">
        <v>999</v>
      </c>
      <c r="N4115" s="1" t="s">
        <v>4043</v>
      </c>
      <c r="P4115" s="1" t="s">
        <v>4053</v>
      </c>
      <c r="Q4115" s="3">
        <v>0</v>
      </c>
      <c r="R4115" s="22" t="s">
        <v>2764</v>
      </c>
      <c r="S4115" s="22" t="s">
        <v>5097</v>
      </c>
      <c r="T4115" s="51">
        <v>30</v>
      </c>
      <c r="U4115" s="3" t="s">
        <v>6168</v>
      </c>
      <c r="V4115" s="41" t="str">
        <f>HYPERLINK("http://ictvonline.org/taxonomy/p/taxonomy-history?taxnode_id=20184421","ICTVonline=20184421")</f>
        <v>ICTVonline=20184421</v>
      </c>
    </row>
    <row r="4116" spans="1:22">
      <c r="A4116" s="3">
        <v>4115</v>
      </c>
      <c r="L4116" s="1" t="s">
        <v>999</v>
      </c>
      <c r="N4116" s="1" t="s">
        <v>4043</v>
      </c>
      <c r="P4116" s="1" t="s">
        <v>4054</v>
      </c>
      <c r="Q4116" s="3">
        <v>0</v>
      </c>
      <c r="R4116" s="22" t="s">
        <v>2764</v>
      </c>
      <c r="S4116" s="22" t="s">
        <v>5097</v>
      </c>
      <c r="T4116" s="51">
        <v>30</v>
      </c>
      <c r="U4116" s="3" t="s">
        <v>6168</v>
      </c>
      <c r="V4116" s="41" t="str">
        <f>HYPERLINK("http://ictvonline.org/taxonomy/p/taxonomy-history?taxnode_id=20184422","ICTVonline=20184422")</f>
        <v>ICTVonline=20184422</v>
      </c>
    </row>
    <row r="4117" spans="1:22">
      <c r="A4117" s="3">
        <v>4116</v>
      </c>
      <c r="L4117" s="1" t="s">
        <v>999</v>
      </c>
      <c r="N4117" s="1" t="s">
        <v>4043</v>
      </c>
      <c r="P4117" s="1" t="s">
        <v>4055</v>
      </c>
      <c r="Q4117" s="3">
        <v>0</v>
      </c>
      <c r="R4117" s="22" t="s">
        <v>2764</v>
      </c>
      <c r="S4117" s="22" t="s">
        <v>5097</v>
      </c>
      <c r="T4117" s="51">
        <v>30</v>
      </c>
      <c r="U4117" s="3" t="s">
        <v>6168</v>
      </c>
      <c r="V4117" s="41" t="str">
        <f>HYPERLINK("http://ictvonline.org/taxonomy/p/taxonomy-history?taxnode_id=20184423","ICTVonline=20184423")</f>
        <v>ICTVonline=20184423</v>
      </c>
    </row>
    <row r="4118" spans="1:22">
      <c r="A4118" s="3">
        <v>4117</v>
      </c>
      <c r="L4118" s="1" t="s">
        <v>999</v>
      </c>
      <c r="N4118" s="1" t="s">
        <v>4043</v>
      </c>
      <c r="P4118" s="1" t="s">
        <v>4056</v>
      </c>
      <c r="Q4118" s="3">
        <v>0</v>
      </c>
      <c r="R4118" s="22" t="s">
        <v>2764</v>
      </c>
      <c r="S4118" s="22" t="s">
        <v>5097</v>
      </c>
      <c r="T4118" s="51">
        <v>30</v>
      </c>
      <c r="U4118" s="3" t="s">
        <v>6168</v>
      </c>
      <c r="V4118" s="41" t="str">
        <f>HYPERLINK("http://ictvonline.org/taxonomy/p/taxonomy-history?taxnode_id=20184424","ICTVonline=20184424")</f>
        <v>ICTVonline=20184424</v>
      </c>
    </row>
    <row r="4119" spans="1:22">
      <c r="A4119" s="3">
        <v>4118</v>
      </c>
      <c r="L4119" s="1" t="s">
        <v>999</v>
      </c>
      <c r="N4119" s="1" t="s">
        <v>4043</v>
      </c>
      <c r="P4119" s="1" t="s">
        <v>4057</v>
      </c>
      <c r="Q4119" s="3">
        <v>0</v>
      </c>
      <c r="R4119" s="22" t="s">
        <v>2764</v>
      </c>
      <c r="S4119" s="22" t="s">
        <v>5097</v>
      </c>
      <c r="T4119" s="51">
        <v>30</v>
      </c>
      <c r="U4119" s="3" t="s">
        <v>6168</v>
      </c>
      <c r="V4119" s="41" t="str">
        <f>HYPERLINK("http://ictvonline.org/taxonomy/p/taxonomy-history?taxnode_id=20184425","ICTVonline=20184425")</f>
        <v>ICTVonline=20184425</v>
      </c>
    </row>
    <row r="4120" spans="1:22">
      <c r="A4120" s="3">
        <v>4119</v>
      </c>
      <c r="L4120" s="1" t="s">
        <v>999</v>
      </c>
      <c r="N4120" s="1" t="s">
        <v>4043</v>
      </c>
      <c r="P4120" s="1" t="s">
        <v>4058</v>
      </c>
      <c r="Q4120" s="3">
        <v>0</v>
      </c>
      <c r="R4120" s="22" t="s">
        <v>2764</v>
      </c>
      <c r="S4120" s="22" t="s">
        <v>5097</v>
      </c>
      <c r="T4120" s="51">
        <v>30</v>
      </c>
      <c r="U4120" s="3" t="s">
        <v>6168</v>
      </c>
      <c r="V4120" s="41" t="str">
        <f>HYPERLINK("http://ictvonline.org/taxonomy/p/taxonomy-history?taxnode_id=20184426","ICTVonline=20184426")</f>
        <v>ICTVonline=20184426</v>
      </c>
    </row>
    <row r="4121" spans="1:22">
      <c r="A4121" s="3">
        <v>4120</v>
      </c>
      <c r="L4121" s="1" t="s">
        <v>999</v>
      </c>
      <c r="N4121" s="1" t="s">
        <v>4043</v>
      </c>
      <c r="P4121" s="1" t="s">
        <v>4059</v>
      </c>
      <c r="Q4121" s="3">
        <v>0</v>
      </c>
      <c r="R4121" s="22" t="s">
        <v>2764</v>
      </c>
      <c r="S4121" s="22" t="s">
        <v>5097</v>
      </c>
      <c r="T4121" s="51">
        <v>30</v>
      </c>
      <c r="U4121" s="3" t="s">
        <v>6168</v>
      </c>
      <c r="V4121" s="41" t="str">
        <f>HYPERLINK("http://ictvonline.org/taxonomy/p/taxonomy-history?taxnode_id=20184427","ICTVonline=20184427")</f>
        <v>ICTVonline=20184427</v>
      </c>
    </row>
    <row r="4122" spans="1:22">
      <c r="A4122" s="3">
        <v>4121</v>
      </c>
      <c r="L4122" s="1" t="s">
        <v>999</v>
      </c>
      <c r="N4122" s="1" t="s">
        <v>4043</v>
      </c>
      <c r="P4122" s="1" t="s">
        <v>4060</v>
      </c>
      <c r="Q4122" s="3">
        <v>0</v>
      </c>
      <c r="R4122" s="22" t="s">
        <v>2764</v>
      </c>
      <c r="S4122" s="22" t="s">
        <v>5097</v>
      </c>
      <c r="T4122" s="51">
        <v>30</v>
      </c>
      <c r="U4122" s="3" t="s">
        <v>6168</v>
      </c>
      <c r="V4122" s="41" t="str">
        <f>HYPERLINK("http://ictvonline.org/taxonomy/p/taxonomy-history?taxnode_id=20184428","ICTVonline=20184428")</f>
        <v>ICTVonline=20184428</v>
      </c>
    </row>
    <row r="4123" spans="1:22">
      <c r="A4123" s="3">
        <v>4122</v>
      </c>
      <c r="L4123" s="1" t="s">
        <v>999</v>
      </c>
      <c r="N4123" s="1" t="s">
        <v>4043</v>
      </c>
      <c r="P4123" s="1" t="s">
        <v>4061</v>
      </c>
      <c r="Q4123" s="3">
        <v>0</v>
      </c>
      <c r="R4123" s="22" t="s">
        <v>2764</v>
      </c>
      <c r="S4123" s="22" t="s">
        <v>5098</v>
      </c>
      <c r="T4123" s="51">
        <v>30</v>
      </c>
      <c r="U4123" s="3" t="s">
        <v>6168</v>
      </c>
      <c r="V4123" s="41" t="str">
        <f>HYPERLINK("http://ictvonline.org/taxonomy/p/taxonomy-history?taxnode_id=20184429","ICTVonline=20184429")</f>
        <v>ICTVonline=20184429</v>
      </c>
    </row>
    <row r="4124" spans="1:22">
      <c r="A4124" s="3">
        <v>4123</v>
      </c>
      <c r="L4124" s="1" t="s">
        <v>999</v>
      </c>
      <c r="N4124" s="1" t="s">
        <v>4043</v>
      </c>
      <c r="P4124" s="1" t="s">
        <v>4062</v>
      </c>
      <c r="Q4124" s="3">
        <v>0</v>
      </c>
      <c r="R4124" s="22" t="s">
        <v>2764</v>
      </c>
      <c r="S4124" s="22" t="s">
        <v>5097</v>
      </c>
      <c r="T4124" s="51">
        <v>30</v>
      </c>
      <c r="U4124" s="3" t="s">
        <v>6168</v>
      </c>
      <c r="V4124" s="41" t="str">
        <f>HYPERLINK("http://ictvonline.org/taxonomy/p/taxonomy-history?taxnode_id=20184430","ICTVonline=20184430")</f>
        <v>ICTVonline=20184430</v>
      </c>
    </row>
    <row r="4125" spans="1:22">
      <c r="A4125" s="3">
        <v>4124</v>
      </c>
      <c r="L4125" s="1" t="s">
        <v>999</v>
      </c>
      <c r="N4125" s="1" t="s">
        <v>4043</v>
      </c>
      <c r="P4125" s="1" t="s">
        <v>4063</v>
      </c>
      <c r="Q4125" s="3">
        <v>1</v>
      </c>
      <c r="R4125" s="22" t="s">
        <v>2764</v>
      </c>
      <c r="S4125" s="22" t="s">
        <v>5098</v>
      </c>
      <c r="T4125" s="51">
        <v>30</v>
      </c>
      <c r="U4125" s="3" t="s">
        <v>6168</v>
      </c>
      <c r="V4125" s="41" t="str">
        <f>HYPERLINK("http://ictvonline.org/taxonomy/p/taxonomy-history?taxnode_id=20184431","ICTVonline=20184431")</f>
        <v>ICTVonline=20184431</v>
      </c>
    </row>
    <row r="4126" spans="1:22">
      <c r="A4126" s="3">
        <v>4125</v>
      </c>
      <c r="L4126" s="1" t="s">
        <v>999</v>
      </c>
      <c r="N4126" s="1" t="s">
        <v>4043</v>
      </c>
      <c r="P4126" s="1" t="s">
        <v>4064</v>
      </c>
      <c r="Q4126" s="3">
        <v>0</v>
      </c>
      <c r="R4126" s="22" t="s">
        <v>2764</v>
      </c>
      <c r="S4126" s="22" t="s">
        <v>5097</v>
      </c>
      <c r="T4126" s="51">
        <v>30</v>
      </c>
      <c r="U4126" s="3" t="s">
        <v>6168</v>
      </c>
      <c r="V4126" s="41" t="str">
        <f>HYPERLINK("http://ictvonline.org/taxonomy/p/taxonomy-history?taxnode_id=20184432","ICTVonline=20184432")</f>
        <v>ICTVonline=20184432</v>
      </c>
    </row>
    <row r="4127" spans="1:22">
      <c r="A4127" s="3">
        <v>4126</v>
      </c>
      <c r="L4127" s="1" t="s">
        <v>999</v>
      </c>
      <c r="N4127" s="1" t="s">
        <v>4043</v>
      </c>
      <c r="P4127" s="1" t="s">
        <v>4065</v>
      </c>
      <c r="Q4127" s="3">
        <v>0</v>
      </c>
      <c r="R4127" s="22" t="s">
        <v>2764</v>
      </c>
      <c r="S4127" s="22" t="s">
        <v>5097</v>
      </c>
      <c r="T4127" s="51">
        <v>30</v>
      </c>
      <c r="U4127" s="3" t="s">
        <v>6168</v>
      </c>
      <c r="V4127" s="41" t="str">
        <f>HYPERLINK("http://ictvonline.org/taxonomy/p/taxonomy-history?taxnode_id=20184433","ICTVonline=20184433")</f>
        <v>ICTVonline=20184433</v>
      </c>
    </row>
    <row r="4128" spans="1:22">
      <c r="A4128" s="3">
        <v>4127</v>
      </c>
      <c r="L4128" s="1" t="s">
        <v>999</v>
      </c>
      <c r="N4128" s="1" t="s">
        <v>4043</v>
      </c>
      <c r="P4128" s="1" t="s">
        <v>4066</v>
      </c>
      <c r="Q4128" s="3">
        <v>0</v>
      </c>
      <c r="R4128" s="22" t="s">
        <v>2764</v>
      </c>
      <c r="S4128" s="22" t="s">
        <v>5097</v>
      </c>
      <c r="T4128" s="51">
        <v>30</v>
      </c>
      <c r="U4128" s="3" t="s">
        <v>6168</v>
      </c>
      <c r="V4128" s="41" t="str">
        <f>HYPERLINK("http://ictvonline.org/taxonomy/p/taxonomy-history?taxnode_id=20184434","ICTVonline=20184434")</f>
        <v>ICTVonline=20184434</v>
      </c>
    </row>
    <row r="4129" spans="1:22">
      <c r="A4129" s="3">
        <v>4128</v>
      </c>
      <c r="L4129" s="1" t="s">
        <v>999</v>
      </c>
      <c r="N4129" s="1" t="s">
        <v>4043</v>
      </c>
      <c r="P4129" s="1" t="s">
        <v>4067</v>
      </c>
      <c r="Q4129" s="3">
        <v>0</v>
      </c>
      <c r="R4129" s="22" t="s">
        <v>2764</v>
      </c>
      <c r="S4129" s="22" t="s">
        <v>5097</v>
      </c>
      <c r="T4129" s="51">
        <v>30</v>
      </c>
      <c r="U4129" s="3" t="s">
        <v>6168</v>
      </c>
      <c r="V4129" s="41" t="str">
        <f>HYPERLINK("http://ictvonline.org/taxonomy/p/taxonomy-history?taxnode_id=20184435","ICTVonline=20184435")</f>
        <v>ICTVonline=20184435</v>
      </c>
    </row>
    <row r="4130" spans="1:22">
      <c r="A4130" s="3">
        <v>4129</v>
      </c>
      <c r="L4130" s="1" t="s">
        <v>999</v>
      </c>
      <c r="N4130" s="1" t="s">
        <v>4043</v>
      </c>
      <c r="P4130" s="1" t="s">
        <v>4068</v>
      </c>
      <c r="Q4130" s="3">
        <v>0</v>
      </c>
      <c r="R4130" s="22" t="s">
        <v>2764</v>
      </c>
      <c r="S4130" s="22" t="s">
        <v>5097</v>
      </c>
      <c r="T4130" s="51">
        <v>30</v>
      </c>
      <c r="U4130" s="3" t="s">
        <v>6168</v>
      </c>
      <c r="V4130" s="41" t="str">
        <f>HYPERLINK("http://ictvonline.org/taxonomy/p/taxonomy-history?taxnode_id=20184436","ICTVonline=20184436")</f>
        <v>ICTVonline=20184436</v>
      </c>
    </row>
    <row r="4131" spans="1:22">
      <c r="A4131" s="3">
        <v>4130</v>
      </c>
      <c r="L4131" s="1" t="s">
        <v>999</v>
      </c>
      <c r="N4131" s="1" t="s">
        <v>4043</v>
      </c>
      <c r="P4131" s="1" t="s">
        <v>4069</v>
      </c>
      <c r="Q4131" s="3">
        <v>0</v>
      </c>
      <c r="R4131" s="22" t="s">
        <v>2764</v>
      </c>
      <c r="S4131" s="22" t="s">
        <v>5097</v>
      </c>
      <c r="T4131" s="51">
        <v>30</v>
      </c>
      <c r="U4131" s="3" t="s">
        <v>6168</v>
      </c>
      <c r="V4131" s="41" t="str">
        <f>HYPERLINK("http://ictvonline.org/taxonomy/p/taxonomy-history?taxnode_id=20184437","ICTVonline=20184437")</f>
        <v>ICTVonline=20184437</v>
      </c>
    </row>
    <row r="4132" spans="1:22">
      <c r="A4132" s="3">
        <v>4131</v>
      </c>
      <c r="L4132" s="1" t="s">
        <v>999</v>
      </c>
      <c r="N4132" s="1" t="s">
        <v>4043</v>
      </c>
      <c r="P4132" s="1" t="s">
        <v>4070</v>
      </c>
      <c r="Q4132" s="3">
        <v>0</v>
      </c>
      <c r="R4132" s="22" t="s">
        <v>2764</v>
      </c>
      <c r="S4132" s="22" t="s">
        <v>5097</v>
      </c>
      <c r="T4132" s="51">
        <v>30</v>
      </c>
      <c r="U4132" s="3" t="s">
        <v>6168</v>
      </c>
      <c r="V4132" s="41" t="str">
        <f>HYPERLINK("http://ictvonline.org/taxonomy/p/taxonomy-history?taxnode_id=20184438","ICTVonline=20184438")</f>
        <v>ICTVonline=20184438</v>
      </c>
    </row>
    <row r="4133" spans="1:22">
      <c r="A4133" s="3">
        <v>4132</v>
      </c>
      <c r="L4133" s="1" t="s">
        <v>999</v>
      </c>
      <c r="N4133" s="1" t="s">
        <v>4043</v>
      </c>
      <c r="P4133" s="1" t="s">
        <v>4071</v>
      </c>
      <c r="Q4133" s="3">
        <v>0</v>
      </c>
      <c r="R4133" s="22" t="s">
        <v>2764</v>
      </c>
      <c r="S4133" s="22" t="s">
        <v>5097</v>
      </c>
      <c r="T4133" s="51">
        <v>30</v>
      </c>
      <c r="U4133" s="3" t="s">
        <v>6168</v>
      </c>
      <c r="V4133" s="41" t="str">
        <f>HYPERLINK("http://ictvonline.org/taxonomy/p/taxonomy-history?taxnode_id=20184439","ICTVonline=20184439")</f>
        <v>ICTVonline=20184439</v>
      </c>
    </row>
    <row r="4134" spans="1:22">
      <c r="A4134" s="3">
        <v>4133</v>
      </c>
      <c r="L4134" s="1" t="s">
        <v>999</v>
      </c>
      <c r="N4134" s="1" t="s">
        <v>4043</v>
      </c>
      <c r="P4134" s="1" t="s">
        <v>4072</v>
      </c>
      <c r="Q4134" s="3">
        <v>0</v>
      </c>
      <c r="R4134" s="22" t="s">
        <v>2764</v>
      </c>
      <c r="S4134" s="22" t="s">
        <v>5097</v>
      </c>
      <c r="T4134" s="51">
        <v>30</v>
      </c>
      <c r="U4134" s="3" t="s">
        <v>6168</v>
      </c>
      <c r="V4134" s="41" t="str">
        <f>HYPERLINK("http://ictvonline.org/taxonomy/p/taxonomy-history?taxnode_id=20184440","ICTVonline=20184440")</f>
        <v>ICTVonline=20184440</v>
      </c>
    </row>
    <row r="4135" spans="1:22">
      <c r="A4135" s="3">
        <v>4134</v>
      </c>
      <c r="L4135" s="1" t="s">
        <v>999</v>
      </c>
      <c r="N4135" s="1" t="s">
        <v>4043</v>
      </c>
      <c r="P4135" s="1" t="s">
        <v>4073</v>
      </c>
      <c r="Q4135" s="3">
        <v>0</v>
      </c>
      <c r="R4135" s="22" t="s">
        <v>2764</v>
      </c>
      <c r="S4135" s="22" t="s">
        <v>5097</v>
      </c>
      <c r="T4135" s="51">
        <v>30</v>
      </c>
      <c r="U4135" s="3" t="s">
        <v>6168</v>
      </c>
      <c r="V4135" s="41" t="str">
        <f>HYPERLINK("http://ictvonline.org/taxonomy/p/taxonomy-history?taxnode_id=20184441","ICTVonline=20184441")</f>
        <v>ICTVonline=20184441</v>
      </c>
    </row>
    <row r="4136" spans="1:22">
      <c r="A4136" s="3">
        <v>4135</v>
      </c>
      <c r="L4136" s="1" t="s">
        <v>999</v>
      </c>
      <c r="N4136" s="1" t="s">
        <v>4043</v>
      </c>
      <c r="P4136" s="1" t="s">
        <v>6169</v>
      </c>
      <c r="Q4136" s="3">
        <v>0</v>
      </c>
      <c r="R4136" s="22" t="s">
        <v>2764</v>
      </c>
      <c r="S4136" s="22" t="s">
        <v>5097</v>
      </c>
      <c r="T4136" s="51">
        <v>32</v>
      </c>
      <c r="U4136" s="3" t="s">
        <v>6170</v>
      </c>
      <c r="V4136" s="41" t="str">
        <f>HYPERLINK("http://ictvonline.org/taxonomy/p/taxonomy-history?taxnode_id=20185904","ICTVonline=20185904")</f>
        <v>ICTVonline=20185904</v>
      </c>
    </row>
    <row r="4137" spans="1:22">
      <c r="A4137" s="3">
        <v>4136</v>
      </c>
      <c r="L4137" s="1" t="s">
        <v>999</v>
      </c>
      <c r="N4137" s="1" t="s">
        <v>4043</v>
      </c>
      <c r="P4137" s="1" t="s">
        <v>4074</v>
      </c>
      <c r="Q4137" s="3">
        <v>0</v>
      </c>
      <c r="R4137" s="22" t="s">
        <v>2764</v>
      </c>
      <c r="S4137" s="22" t="s">
        <v>5097</v>
      </c>
      <c r="T4137" s="51">
        <v>30</v>
      </c>
      <c r="U4137" s="3" t="s">
        <v>6168</v>
      </c>
      <c r="V4137" s="41" t="str">
        <f>HYPERLINK("http://ictvonline.org/taxonomy/p/taxonomy-history?taxnode_id=20184442","ICTVonline=20184442")</f>
        <v>ICTVonline=20184442</v>
      </c>
    </row>
    <row r="4138" spans="1:22">
      <c r="A4138" s="3">
        <v>4137</v>
      </c>
      <c r="L4138" s="1" t="s">
        <v>999</v>
      </c>
      <c r="N4138" s="1" t="s">
        <v>4043</v>
      </c>
      <c r="P4138" s="1" t="s">
        <v>4075</v>
      </c>
      <c r="Q4138" s="3">
        <v>0</v>
      </c>
      <c r="R4138" s="22" t="s">
        <v>2764</v>
      </c>
      <c r="S4138" s="22" t="s">
        <v>5097</v>
      </c>
      <c r="T4138" s="51">
        <v>30</v>
      </c>
      <c r="U4138" s="3" t="s">
        <v>6168</v>
      </c>
      <c r="V4138" s="41" t="str">
        <f>HYPERLINK("http://ictvonline.org/taxonomy/p/taxonomy-history?taxnode_id=20184443","ICTVonline=20184443")</f>
        <v>ICTVonline=20184443</v>
      </c>
    </row>
    <row r="4139" spans="1:22">
      <c r="A4139" s="3">
        <v>4138</v>
      </c>
      <c r="L4139" s="1" t="s">
        <v>999</v>
      </c>
      <c r="N4139" s="1" t="s">
        <v>4043</v>
      </c>
      <c r="P4139" s="1" t="s">
        <v>4076</v>
      </c>
      <c r="Q4139" s="3">
        <v>0</v>
      </c>
      <c r="R4139" s="22" t="s">
        <v>2764</v>
      </c>
      <c r="S4139" s="22" t="s">
        <v>5097</v>
      </c>
      <c r="T4139" s="51">
        <v>30</v>
      </c>
      <c r="U4139" s="3" t="s">
        <v>6168</v>
      </c>
      <c r="V4139" s="41" t="str">
        <f>HYPERLINK("http://ictvonline.org/taxonomy/p/taxonomy-history?taxnode_id=20184444","ICTVonline=20184444")</f>
        <v>ICTVonline=20184444</v>
      </c>
    </row>
    <row r="4140" spans="1:22">
      <c r="A4140" s="3">
        <v>4139</v>
      </c>
      <c r="L4140" s="1" t="s">
        <v>999</v>
      </c>
      <c r="N4140" s="1" t="s">
        <v>4043</v>
      </c>
      <c r="P4140" s="1" t="s">
        <v>4077</v>
      </c>
      <c r="Q4140" s="3">
        <v>0</v>
      </c>
      <c r="R4140" s="22" t="s">
        <v>2764</v>
      </c>
      <c r="S4140" s="22" t="s">
        <v>5097</v>
      </c>
      <c r="T4140" s="51">
        <v>30</v>
      </c>
      <c r="U4140" s="3" t="s">
        <v>6168</v>
      </c>
      <c r="V4140" s="41" t="str">
        <f>HYPERLINK("http://ictvonline.org/taxonomy/p/taxonomy-history?taxnode_id=20184445","ICTVonline=20184445")</f>
        <v>ICTVonline=20184445</v>
      </c>
    </row>
    <row r="4141" spans="1:22">
      <c r="A4141" s="3">
        <v>4140</v>
      </c>
      <c r="L4141" s="1" t="s">
        <v>999</v>
      </c>
      <c r="N4141" s="1" t="s">
        <v>4043</v>
      </c>
      <c r="P4141" s="1" t="s">
        <v>4078</v>
      </c>
      <c r="Q4141" s="3">
        <v>0</v>
      </c>
      <c r="R4141" s="22" t="s">
        <v>2764</v>
      </c>
      <c r="S4141" s="22" t="s">
        <v>5097</v>
      </c>
      <c r="T4141" s="51">
        <v>30</v>
      </c>
      <c r="U4141" s="3" t="s">
        <v>6168</v>
      </c>
      <c r="V4141" s="41" t="str">
        <f>HYPERLINK("http://ictvonline.org/taxonomy/p/taxonomy-history?taxnode_id=20184446","ICTVonline=20184446")</f>
        <v>ICTVonline=20184446</v>
      </c>
    </row>
    <row r="4142" spans="1:22">
      <c r="A4142" s="3">
        <v>4141</v>
      </c>
      <c r="L4142" s="1" t="s">
        <v>999</v>
      </c>
      <c r="N4142" s="1" t="s">
        <v>4043</v>
      </c>
      <c r="P4142" s="1" t="s">
        <v>4990</v>
      </c>
      <c r="Q4142" s="3">
        <v>0</v>
      </c>
      <c r="R4142" s="22" t="s">
        <v>2764</v>
      </c>
      <c r="S4142" s="22" t="s">
        <v>5097</v>
      </c>
      <c r="T4142" s="51">
        <v>31</v>
      </c>
      <c r="U4142" s="3" t="s">
        <v>6171</v>
      </c>
      <c r="V4142" s="41" t="str">
        <f>HYPERLINK("http://ictvonline.org/taxonomy/p/taxonomy-history?taxnode_id=20184447","ICTVonline=20184447")</f>
        <v>ICTVonline=20184447</v>
      </c>
    </row>
    <row r="4143" spans="1:22">
      <c r="A4143" s="3">
        <v>4142</v>
      </c>
      <c r="L4143" s="1" t="s">
        <v>999</v>
      </c>
      <c r="N4143" s="1" t="s">
        <v>4043</v>
      </c>
      <c r="P4143" s="1" t="s">
        <v>4079</v>
      </c>
      <c r="Q4143" s="3">
        <v>0</v>
      </c>
      <c r="R4143" s="22" t="s">
        <v>2764</v>
      </c>
      <c r="S4143" s="22" t="s">
        <v>5097</v>
      </c>
      <c r="T4143" s="51">
        <v>30</v>
      </c>
      <c r="U4143" s="3" t="s">
        <v>6168</v>
      </c>
      <c r="V4143" s="41" t="str">
        <f>HYPERLINK("http://ictvonline.org/taxonomy/p/taxonomy-history?taxnode_id=20184448","ICTVonline=20184448")</f>
        <v>ICTVonline=20184448</v>
      </c>
    </row>
    <row r="4144" spans="1:22">
      <c r="A4144" s="3">
        <v>4143</v>
      </c>
      <c r="L4144" s="1" t="s">
        <v>999</v>
      </c>
      <c r="N4144" s="1" t="s">
        <v>4080</v>
      </c>
      <c r="P4144" s="1" t="s">
        <v>4081</v>
      </c>
      <c r="Q4144" s="3">
        <v>0</v>
      </c>
      <c r="R4144" s="22" t="s">
        <v>2764</v>
      </c>
      <c r="S4144" s="22" t="s">
        <v>5097</v>
      </c>
      <c r="T4144" s="51">
        <v>30</v>
      </c>
      <c r="U4144" s="3" t="s">
        <v>6168</v>
      </c>
      <c r="V4144" s="41" t="str">
        <f>HYPERLINK("http://ictvonline.org/taxonomy/p/taxonomy-history?taxnode_id=20184450","ICTVonline=20184450")</f>
        <v>ICTVonline=20184450</v>
      </c>
    </row>
    <row r="4145" spans="1:22">
      <c r="A4145" s="3">
        <v>4144</v>
      </c>
      <c r="L4145" s="1" t="s">
        <v>999</v>
      </c>
      <c r="N4145" s="1" t="s">
        <v>4080</v>
      </c>
      <c r="P4145" s="1" t="s">
        <v>4082</v>
      </c>
      <c r="Q4145" s="3">
        <v>0</v>
      </c>
      <c r="R4145" s="22" t="s">
        <v>2764</v>
      </c>
      <c r="S4145" s="22" t="s">
        <v>5097</v>
      </c>
      <c r="T4145" s="51">
        <v>30</v>
      </c>
      <c r="U4145" s="3" t="s">
        <v>6168</v>
      </c>
      <c r="V4145" s="41" t="str">
        <f>HYPERLINK("http://ictvonline.org/taxonomy/p/taxonomy-history?taxnode_id=20184451","ICTVonline=20184451")</f>
        <v>ICTVonline=20184451</v>
      </c>
    </row>
    <row r="4146" spans="1:22">
      <c r="A4146" s="3">
        <v>4145</v>
      </c>
      <c r="L4146" s="1" t="s">
        <v>999</v>
      </c>
      <c r="N4146" s="1" t="s">
        <v>4080</v>
      </c>
      <c r="P4146" s="1" t="s">
        <v>4083</v>
      </c>
      <c r="Q4146" s="3">
        <v>0</v>
      </c>
      <c r="R4146" s="22" t="s">
        <v>2764</v>
      </c>
      <c r="S4146" s="22" t="s">
        <v>5097</v>
      </c>
      <c r="T4146" s="51">
        <v>30</v>
      </c>
      <c r="U4146" s="3" t="s">
        <v>6168</v>
      </c>
      <c r="V4146" s="41" t="str">
        <f>HYPERLINK("http://ictvonline.org/taxonomy/p/taxonomy-history?taxnode_id=20184452","ICTVonline=20184452")</f>
        <v>ICTVonline=20184452</v>
      </c>
    </row>
    <row r="4147" spans="1:22">
      <c r="A4147" s="3">
        <v>4146</v>
      </c>
      <c r="L4147" s="1" t="s">
        <v>999</v>
      </c>
      <c r="N4147" s="1" t="s">
        <v>4080</v>
      </c>
      <c r="P4147" s="1" t="s">
        <v>4084</v>
      </c>
      <c r="Q4147" s="3">
        <v>0</v>
      </c>
      <c r="R4147" s="22" t="s">
        <v>2764</v>
      </c>
      <c r="S4147" s="22" t="s">
        <v>5097</v>
      </c>
      <c r="T4147" s="51">
        <v>30</v>
      </c>
      <c r="U4147" s="3" t="s">
        <v>6168</v>
      </c>
      <c r="V4147" s="41" t="str">
        <f>HYPERLINK("http://ictvonline.org/taxonomy/p/taxonomy-history?taxnode_id=20184453","ICTVonline=20184453")</f>
        <v>ICTVonline=20184453</v>
      </c>
    </row>
    <row r="4148" spans="1:22">
      <c r="A4148" s="3">
        <v>4147</v>
      </c>
      <c r="L4148" s="1" t="s">
        <v>999</v>
      </c>
      <c r="N4148" s="1" t="s">
        <v>4080</v>
      </c>
      <c r="P4148" s="1" t="s">
        <v>4085</v>
      </c>
      <c r="Q4148" s="3">
        <v>0</v>
      </c>
      <c r="R4148" s="22" t="s">
        <v>2764</v>
      </c>
      <c r="S4148" s="22" t="s">
        <v>5097</v>
      </c>
      <c r="T4148" s="51">
        <v>30</v>
      </c>
      <c r="U4148" s="3" t="s">
        <v>6168</v>
      </c>
      <c r="V4148" s="41" t="str">
        <f>HYPERLINK("http://ictvonline.org/taxonomy/p/taxonomy-history?taxnode_id=20184454","ICTVonline=20184454")</f>
        <v>ICTVonline=20184454</v>
      </c>
    </row>
    <row r="4149" spans="1:22">
      <c r="A4149" s="3">
        <v>4148</v>
      </c>
      <c r="L4149" s="1" t="s">
        <v>999</v>
      </c>
      <c r="N4149" s="1" t="s">
        <v>4080</v>
      </c>
      <c r="P4149" s="1" t="s">
        <v>4086</v>
      </c>
      <c r="Q4149" s="3">
        <v>0</v>
      </c>
      <c r="R4149" s="22" t="s">
        <v>2764</v>
      </c>
      <c r="S4149" s="22" t="s">
        <v>5097</v>
      </c>
      <c r="T4149" s="51">
        <v>30</v>
      </c>
      <c r="U4149" s="3" t="s">
        <v>6168</v>
      </c>
      <c r="V4149" s="41" t="str">
        <f>HYPERLINK("http://ictvonline.org/taxonomy/p/taxonomy-history?taxnode_id=20184455","ICTVonline=20184455")</f>
        <v>ICTVonline=20184455</v>
      </c>
    </row>
    <row r="4150" spans="1:22">
      <c r="A4150" s="3">
        <v>4149</v>
      </c>
      <c r="L4150" s="1" t="s">
        <v>999</v>
      </c>
      <c r="N4150" s="1" t="s">
        <v>4080</v>
      </c>
      <c r="P4150" s="1" t="s">
        <v>4087</v>
      </c>
      <c r="Q4150" s="3">
        <v>0</v>
      </c>
      <c r="R4150" s="22" t="s">
        <v>2764</v>
      </c>
      <c r="S4150" s="22" t="s">
        <v>5097</v>
      </c>
      <c r="T4150" s="51">
        <v>30</v>
      </c>
      <c r="U4150" s="3" t="s">
        <v>6168</v>
      </c>
      <c r="V4150" s="41" t="str">
        <f>HYPERLINK("http://ictvonline.org/taxonomy/p/taxonomy-history?taxnode_id=20184456","ICTVonline=20184456")</f>
        <v>ICTVonline=20184456</v>
      </c>
    </row>
    <row r="4151" spans="1:22">
      <c r="A4151" s="3">
        <v>4150</v>
      </c>
      <c r="L4151" s="1" t="s">
        <v>999</v>
      </c>
      <c r="N4151" s="1" t="s">
        <v>4080</v>
      </c>
      <c r="P4151" s="1" t="s">
        <v>4088</v>
      </c>
      <c r="Q4151" s="3">
        <v>0</v>
      </c>
      <c r="R4151" s="22" t="s">
        <v>2764</v>
      </c>
      <c r="S4151" s="22" t="s">
        <v>5097</v>
      </c>
      <c r="T4151" s="51">
        <v>30</v>
      </c>
      <c r="U4151" s="3" t="s">
        <v>6168</v>
      </c>
      <c r="V4151" s="41" t="str">
        <f>HYPERLINK("http://ictvonline.org/taxonomy/p/taxonomy-history?taxnode_id=20184457","ICTVonline=20184457")</f>
        <v>ICTVonline=20184457</v>
      </c>
    </row>
    <row r="4152" spans="1:22">
      <c r="A4152" s="3">
        <v>4151</v>
      </c>
      <c r="L4152" s="1" t="s">
        <v>999</v>
      </c>
      <c r="N4152" s="1" t="s">
        <v>4080</v>
      </c>
      <c r="P4152" s="1" t="s">
        <v>4089</v>
      </c>
      <c r="Q4152" s="3">
        <v>0</v>
      </c>
      <c r="R4152" s="22" t="s">
        <v>2764</v>
      </c>
      <c r="S4152" s="22" t="s">
        <v>5097</v>
      </c>
      <c r="T4152" s="51">
        <v>30</v>
      </c>
      <c r="U4152" s="3" t="s">
        <v>6168</v>
      </c>
      <c r="V4152" s="41" t="str">
        <f>HYPERLINK("http://ictvonline.org/taxonomy/p/taxonomy-history?taxnode_id=20184458","ICTVonline=20184458")</f>
        <v>ICTVonline=20184458</v>
      </c>
    </row>
    <row r="4153" spans="1:22">
      <c r="A4153" s="3">
        <v>4152</v>
      </c>
      <c r="L4153" s="1" t="s">
        <v>999</v>
      </c>
      <c r="N4153" s="1" t="s">
        <v>4080</v>
      </c>
      <c r="P4153" s="1" t="s">
        <v>4090</v>
      </c>
      <c r="Q4153" s="3">
        <v>0</v>
      </c>
      <c r="R4153" s="22" t="s">
        <v>2764</v>
      </c>
      <c r="S4153" s="22" t="s">
        <v>5098</v>
      </c>
      <c r="T4153" s="51">
        <v>30</v>
      </c>
      <c r="U4153" s="3" t="s">
        <v>6168</v>
      </c>
      <c r="V4153" s="41" t="str">
        <f>HYPERLINK("http://ictvonline.org/taxonomy/p/taxonomy-history?taxnode_id=20184459","ICTVonline=20184459")</f>
        <v>ICTVonline=20184459</v>
      </c>
    </row>
    <row r="4154" spans="1:22">
      <c r="A4154" s="3">
        <v>4153</v>
      </c>
      <c r="L4154" s="1" t="s">
        <v>999</v>
      </c>
      <c r="N4154" s="1" t="s">
        <v>4080</v>
      </c>
      <c r="P4154" s="1" t="s">
        <v>4091</v>
      </c>
      <c r="Q4154" s="3">
        <v>0</v>
      </c>
      <c r="R4154" s="22" t="s">
        <v>2764</v>
      </c>
      <c r="S4154" s="22" t="s">
        <v>5098</v>
      </c>
      <c r="T4154" s="51">
        <v>30</v>
      </c>
      <c r="U4154" s="3" t="s">
        <v>6168</v>
      </c>
      <c r="V4154" s="41" t="str">
        <f>HYPERLINK("http://ictvonline.org/taxonomy/p/taxonomy-history?taxnode_id=20184460","ICTVonline=20184460")</f>
        <v>ICTVonline=20184460</v>
      </c>
    </row>
    <row r="4155" spans="1:22">
      <c r="A4155" s="3">
        <v>4154</v>
      </c>
      <c r="L4155" s="1" t="s">
        <v>999</v>
      </c>
      <c r="N4155" s="1" t="s">
        <v>4080</v>
      </c>
      <c r="P4155" s="1" t="s">
        <v>4092</v>
      </c>
      <c r="Q4155" s="3">
        <v>0</v>
      </c>
      <c r="R4155" s="22" t="s">
        <v>2764</v>
      </c>
      <c r="S4155" s="22" t="s">
        <v>5097</v>
      </c>
      <c r="T4155" s="51">
        <v>30</v>
      </c>
      <c r="U4155" s="3" t="s">
        <v>6168</v>
      </c>
      <c r="V4155" s="41" t="str">
        <f>HYPERLINK("http://ictvonline.org/taxonomy/p/taxonomy-history?taxnode_id=20184461","ICTVonline=20184461")</f>
        <v>ICTVonline=20184461</v>
      </c>
    </row>
    <row r="4156" spans="1:22">
      <c r="A4156" s="3">
        <v>4155</v>
      </c>
      <c r="L4156" s="1" t="s">
        <v>999</v>
      </c>
      <c r="N4156" s="1" t="s">
        <v>4080</v>
      </c>
      <c r="P4156" s="1" t="s">
        <v>4093</v>
      </c>
      <c r="Q4156" s="3">
        <v>0</v>
      </c>
      <c r="R4156" s="22" t="s">
        <v>2764</v>
      </c>
      <c r="S4156" s="22" t="s">
        <v>5097</v>
      </c>
      <c r="T4156" s="51">
        <v>30</v>
      </c>
      <c r="U4156" s="3" t="s">
        <v>6168</v>
      </c>
      <c r="V4156" s="41" t="str">
        <f>HYPERLINK("http://ictvonline.org/taxonomy/p/taxonomy-history?taxnode_id=20184462","ICTVonline=20184462")</f>
        <v>ICTVonline=20184462</v>
      </c>
    </row>
    <row r="4157" spans="1:22">
      <c r="A4157" s="3">
        <v>4156</v>
      </c>
      <c r="L4157" s="1" t="s">
        <v>999</v>
      </c>
      <c r="N4157" s="1" t="s">
        <v>4080</v>
      </c>
      <c r="P4157" s="1" t="s">
        <v>6172</v>
      </c>
      <c r="Q4157" s="3">
        <v>0</v>
      </c>
      <c r="R4157" s="22" t="s">
        <v>2764</v>
      </c>
      <c r="S4157" s="22" t="s">
        <v>5097</v>
      </c>
      <c r="T4157" s="51">
        <v>32</v>
      </c>
      <c r="U4157" s="3" t="s">
        <v>6170</v>
      </c>
      <c r="V4157" s="41" t="str">
        <f>HYPERLINK("http://ictvonline.org/taxonomy/p/taxonomy-history?taxnode_id=20185905","ICTVonline=20185905")</f>
        <v>ICTVonline=20185905</v>
      </c>
    </row>
    <row r="4158" spans="1:22">
      <c r="A4158" s="3">
        <v>4157</v>
      </c>
      <c r="L4158" s="1" t="s">
        <v>999</v>
      </c>
      <c r="N4158" s="1" t="s">
        <v>4080</v>
      </c>
      <c r="P4158" s="1" t="s">
        <v>4094</v>
      </c>
      <c r="Q4158" s="3">
        <v>0</v>
      </c>
      <c r="R4158" s="22" t="s">
        <v>2764</v>
      </c>
      <c r="S4158" s="22" t="s">
        <v>5097</v>
      </c>
      <c r="T4158" s="51">
        <v>30</v>
      </c>
      <c r="U4158" s="3" t="s">
        <v>6168</v>
      </c>
      <c r="V4158" s="41" t="str">
        <f>HYPERLINK("http://ictvonline.org/taxonomy/p/taxonomy-history?taxnode_id=20184463","ICTVonline=20184463")</f>
        <v>ICTVonline=20184463</v>
      </c>
    </row>
    <row r="4159" spans="1:22">
      <c r="A4159" s="3">
        <v>4158</v>
      </c>
      <c r="L4159" s="1" t="s">
        <v>999</v>
      </c>
      <c r="N4159" s="1" t="s">
        <v>4080</v>
      </c>
      <c r="P4159" s="1" t="s">
        <v>4095</v>
      </c>
      <c r="Q4159" s="3">
        <v>1</v>
      </c>
      <c r="R4159" s="22" t="s">
        <v>2764</v>
      </c>
      <c r="S4159" s="22" t="s">
        <v>5098</v>
      </c>
      <c r="T4159" s="51">
        <v>30</v>
      </c>
      <c r="U4159" s="3" t="s">
        <v>6168</v>
      </c>
      <c r="V4159" s="41" t="str">
        <f>HYPERLINK("http://ictvonline.org/taxonomy/p/taxonomy-history?taxnode_id=20184464","ICTVonline=20184464")</f>
        <v>ICTVonline=20184464</v>
      </c>
    </row>
    <row r="4160" spans="1:22">
      <c r="A4160" s="3">
        <v>4159</v>
      </c>
      <c r="L4160" s="1" t="s">
        <v>999</v>
      </c>
      <c r="N4160" s="1" t="s">
        <v>4080</v>
      </c>
      <c r="P4160" s="1" t="s">
        <v>4096</v>
      </c>
      <c r="Q4160" s="3">
        <v>0</v>
      </c>
      <c r="R4160" s="22" t="s">
        <v>2764</v>
      </c>
      <c r="S4160" s="22" t="s">
        <v>5097</v>
      </c>
      <c r="T4160" s="51">
        <v>30</v>
      </c>
      <c r="U4160" s="3" t="s">
        <v>6168</v>
      </c>
      <c r="V4160" s="41" t="str">
        <f>HYPERLINK("http://ictvonline.org/taxonomy/p/taxonomy-history?taxnode_id=20184465","ICTVonline=20184465")</f>
        <v>ICTVonline=20184465</v>
      </c>
    </row>
    <row r="4161" spans="1:22">
      <c r="A4161" s="3">
        <v>4160</v>
      </c>
      <c r="L4161" s="1" t="s">
        <v>999</v>
      </c>
      <c r="N4161" s="1" t="s">
        <v>4080</v>
      </c>
      <c r="P4161" s="1" t="s">
        <v>4097</v>
      </c>
      <c r="Q4161" s="3">
        <v>0</v>
      </c>
      <c r="R4161" s="22" t="s">
        <v>2764</v>
      </c>
      <c r="S4161" s="22" t="s">
        <v>5097</v>
      </c>
      <c r="T4161" s="51">
        <v>30</v>
      </c>
      <c r="U4161" s="3" t="s">
        <v>6168</v>
      </c>
      <c r="V4161" s="41" t="str">
        <f>HYPERLINK("http://ictvonline.org/taxonomy/p/taxonomy-history?taxnode_id=20184466","ICTVonline=20184466")</f>
        <v>ICTVonline=20184466</v>
      </c>
    </row>
    <row r="4162" spans="1:22">
      <c r="A4162" s="3">
        <v>4161</v>
      </c>
      <c r="L4162" s="1" t="s">
        <v>999</v>
      </c>
      <c r="N4162" s="1" t="s">
        <v>4080</v>
      </c>
      <c r="P4162" s="1" t="s">
        <v>4991</v>
      </c>
      <c r="Q4162" s="3">
        <v>0</v>
      </c>
      <c r="R4162" s="22" t="s">
        <v>2764</v>
      </c>
      <c r="S4162" s="22" t="s">
        <v>5097</v>
      </c>
      <c r="T4162" s="51">
        <v>31</v>
      </c>
      <c r="U4162" s="3" t="s">
        <v>6173</v>
      </c>
      <c r="V4162" s="41" t="str">
        <f>HYPERLINK("http://ictvonline.org/taxonomy/p/taxonomy-history?taxnode_id=20184467","ICTVonline=20184467")</f>
        <v>ICTVonline=20184467</v>
      </c>
    </row>
    <row r="4163" spans="1:22">
      <c r="A4163" s="3">
        <v>4162</v>
      </c>
      <c r="L4163" s="1" t="s">
        <v>999</v>
      </c>
      <c r="N4163" s="1" t="s">
        <v>4080</v>
      </c>
      <c r="P4163" s="1" t="s">
        <v>4098</v>
      </c>
      <c r="Q4163" s="3">
        <v>0</v>
      </c>
      <c r="R4163" s="22" t="s">
        <v>2764</v>
      </c>
      <c r="S4163" s="22" t="s">
        <v>5097</v>
      </c>
      <c r="T4163" s="51">
        <v>30</v>
      </c>
      <c r="U4163" s="3" t="s">
        <v>6168</v>
      </c>
      <c r="V4163" s="41" t="str">
        <f>HYPERLINK("http://ictvonline.org/taxonomy/p/taxonomy-history?taxnode_id=20184468","ICTVonline=20184468")</f>
        <v>ICTVonline=20184468</v>
      </c>
    </row>
    <row r="4164" spans="1:22">
      <c r="A4164" s="3">
        <v>4163</v>
      </c>
      <c r="L4164" s="1" t="s">
        <v>999</v>
      </c>
      <c r="N4164" s="1" t="s">
        <v>4080</v>
      </c>
      <c r="P4164" s="1" t="s">
        <v>4099</v>
      </c>
      <c r="Q4164" s="3">
        <v>0</v>
      </c>
      <c r="R4164" s="22" t="s">
        <v>2764</v>
      </c>
      <c r="S4164" s="22" t="s">
        <v>5098</v>
      </c>
      <c r="T4164" s="51">
        <v>30</v>
      </c>
      <c r="U4164" s="3" t="s">
        <v>6168</v>
      </c>
      <c r="V4164" s="41" t="str">
        <f>HYPERLINK("http://ictvonline.org/taxonomy/p/taxonomy-history?taxnode_id=20184469","ICTVonline=20184469")</f>
        <v>ICTVonline=20184469</v>
      </c>
    </row>
    <row r="4165" spans="1:22">
      <c r="A4165" s="3">
        <v>4164</v>
      </c>
      <c r="L4165" s="1" t="s">
        <v>999</v>
      </c>
      <c r="N4165" s="1" t="s">
        <v>4080</v>
      </c>
      <c r="P4165" s="1" t="s">
        <v>4992</v>
      </c>
      <c r="Q4165" s="3">
        <v>0</v>
      </c>
      <c r="R4165" s="22" t="s">
        <v>2764</v>
      </c>
      <c r="S4165" s="22" t="s">
        <v>5097</v>
      </c>
      <c r="T4165" s="51">
        <v>31</v>
      </c>
      <c r="U4165" s="3" t="s">
        <v>6173</v>
      </c>
      <c r="V4165" s="41" t="str">
        <f>HYPERLINK("http://ictvonline.org/taxonomy/p/taxonomy-history?taxnode_id=20184470","ICTVonline=20184470")</f>
        <v>ICTVonline=20184470</v>
      </c>
    </row>
    <row r="4166" spans="1:22">
      <c r="A4166" s="3">
        <v>4165</v>
      </c>
      <c r="L4166" s="1" t="s">
        <v>999</v>
      </c>
      <c r="N4166" s="1" t="s">
        <v>4080</v>
      </c>
      <c r="P4166" s="1" t="s">
        <v>4100</v>
      </c>
      <c r="Q4166" s="3">
        <v>0</v>
      </c>
      <c r="R4166" s="22" t="s">
        <v>2764</v>
      </c>
      <c r="S4166" s="22" t="s">
        <v>5097</v>
      </c>
      <c r="T4166" s="51">
        <v>30</v>
      </c>
      <c r="U4166" s="3" t="s">
        <v>6168</v>
      </c>
      <c r="V4166" s="41" t="str">
        <f>HYPERLINK("http://ictvonline.org/taxonomy/p/taxonomy-history?taxnode_id=20184471","ICTVonline=20184471")</f>
        <v>ICTVonline=20184471</v>
      </c>
    </row>
    <row r="4167" spans="1:22">
      <c r="A4167" s="3">
        <v>4166</v>
      </c>
      <c r="L4167" s="1" t="s">
        <v>999</v>
      </c>
      <c r="N4167" s="1" t="s">
        <v>4080</v>
      </c>
      <c r="P4167" s="1" t="s">
        <v>4993</v>
      </c>
      <c r="Q4167" s="3">
        <v>0</v>
      </c>
      <c r="R4167" s="22" t="s">
        <v>2764</v>
      </c>
      <c r="S4167" s="22" t="s">
        <v>5097</v>
      </c>
      <c r="T4167" s="51">
        <v>31</v>
      </c>
      <c r="U4167" s="3" t="s">
        <v>6174</v>
      </c>
      <c r="V4167" s="41" t="str">
        <f>HYPERLINK("http://ictvonline.org/taxonomy/p/taxonomy-history?taxnode_id=20184472","ICTVonline=20184472")</f>
        <v>ICTVonline=20184472</v>
      </c>
    </row>
    <row r="4168" spans="1:22">
      <c r="A4168" s="3">
        <v>4167</v>
      </c>
      <c r="L4168" s="1" t="s">
        <v>999</v>
      </c>
      <c r="N4168" s="1" t="s">
        <v>4080</v>
      </c>
      <c r="P4168" s="1" t="s">
        <v>4101</v>
      </c>
      <c r="Q4168" s="3">
        <v>0</v>
      </c>
      <c r="R4168" s="22" t="s">
        <v>2764</v>
      </c>
      <c r="S4168" s="22" t="s">
        <v>5097</v>
      </c>
      <c r="T4168" s="51">
        <v>30</v>
      </c>
      <c r="U4168" s="3" t="s">
        <v>6168</v>
      </c>
      <c r="V4168" s="41" t="str">
        <f>HYPERLINK("http://ictvonline.org/taxonomy/p/taxonomy-history?taxnode_id=20184473","ICTVonline=20184473")</f>
        <v>ICTVonline=20184473</v>
      </c>
    </row>
    <row r="4169" spans="1:22">
      <c r="A4169" s="3">
        <v>4168</v>
      </c>
      <c r="L4169" s="1" t="s">
        <v>999</v>
      </c>
      <c r="N4169" s="1" t="s">
        <v>4080</v>
      </c>
      <c r="P4169" s="1" t="s">
        <v>4102</v>
      </c>
      <c r="Q4169" s="3">
        <v>0</v>
      </c>
      <c r="R4169" s="22" t="s">
        <v>2764</v>
      </c>
      <c r="S4169" s="22" t="s">
        <v>5097</v>
      </c>
      <c r="T4169" s="51">
        <v>30</v>
      </c>
      <c r="U4169" s="3" t="s">
        <v>6168</v>
      </c>
      <c r="V4169" s="41" t="str">
        <f>HYPERLINK("http://ictvonline.org/taxonomy/p/taxonomy-history?taxnode_id=20184474","ICTVonline=20184474")</f>
        <v>ICTVonline=20184474</v>
      </c>
    </row>
    <row r="4170" spans="1:22">
      <c r="A4170" s="3">
        <v>4169</v>
      </c>
      <c r="L4170" s="1" t="s">
        <v>999</v>
      </c>
      <c r="N4170" s="1" t="s">
        <v>4080</v>
      </c>
      <c r="P4170" s="1" t="s">
        <v>4103</v>
      </c>
      <c r="Q4170" s="3">
        <v>0</v>
      </c>
      <c r="R4170" s="22" t="s">
        <v>2764</v>
      </c>
      <c r="S4170" s="22" t="s">
        <v>5097</v>
      </c>
      <c r="T4170" s="51">
        <v>30</v>
      </c>
      <c r="U4170" s="3" t="s">
        <v>6168</v>
      </c>
      <c r="V4170" s="41" t="str">
        <f>HYPERLINK("http://ictvonline.org/taxonomy/p/taxonomy-history?taxnode_id=20184475","ICTVonline=20184475")</f>
        <v>ICTVonline=20184475</v>
      </c>
    </row>
    <row r="4171" spans="1:22">
      <c r="A4171" s="3">
        <v>4170</v>
      </c>
      <c r="L4171" s="1" t="s">
        <v>999</v>
      </c>
      <c r="N4171" s="1" t="s">
        <v>4080</v>
      </c>
      <c r="P4171" s="1" t="s">
        <v>6175</v>
      </c>
      <c r="Q4171" s="3">
        <v>0</v>
      </c>
      <c r="R4171" s="22" t="s">
        <v>2764</v>
      </c>
      <c r="S4171" s="22" t="s">
        <v>5097</v>
      </c>
      <c r="T4171" s="51">
        <v>32</v>
      </c>
      <c r="U4171" s="3" t="s">
        <v>6170</v>
      </c>
      <c r="V4171" s="41" t="str">
        <f>HYPERLINK("http://ictvonline.org/taxonomy/p/taxonomy-history?taxnode_id=20185906","ICTVonline=20185906")</f>
        <v>ICTVonline=20185906</v>
      </c>
    </row>
    <row r="4172" spans="1:22">
      <c r="A4172" s="3">
        <v>4171</v>
      </c>
      <c r="L4172" s="1" t="s">
        <v>999</v>
      </c>
      <c r="N4172" s="1" t="s">
        <v>4080</v>
      </c>
      <c r="P4172" s="1" t="s">
        <v>4104</v>
      </c>
      <c r="Q4172" s="3">
        <v>0</v>
      </c>
      <c r="R4172" s="22" t="s">
        <v>2764</v>
      </c>
      <c r="S4172" s="22" t="s">
        <v>5097</v>
      </c>
      <c r="T4172" s="51">
        <v>30</v>
      </c>
      <c r="U4172" s="3" t="s">
        <v>6168</v>
      </c>
      <c r="V4172" s="41" t="str">
        <f>HYPERLINK("http://ictvonline.org/taxonomy/p/taxonomy-history?taxnode_id=20184476","ICTVonline=20184476")</f>
        <v>ICTVonline=20184476</v>
      </c>
    </row>
    <row r="4173" spans="1:22">
      <c r="A4173" s="3">
        <v>4172</v>
      </c>
      <c r="L4173" s="1" t="s">
        <v>999</v>
      </c>
      <c r="N4173" s="1" t="s">
        <v>4080</v>
      </c>
      <c r="P4173" s="1" t="s">
        <v>4105</v>
      </c>
      <c r="Q4173" s="3">
        <v>0</v>
      </c>
      <c r="R4173" s="22" t="s">
        <v>2764</v>
      </c>
      <c r="S4173" s="22" t="s">
        <v>5097</v>
      </c>
      <c r="T4173" s="51">
        <v>30</v>
      </c>
      <c r="U4173" s="3" t="s">
        <v>6168</v>
      </c>
      <c r="V4173" s="41" t="str">
        <f>HYPERLINK("http://ictvonline.org/taxonomy/p/taxonomy-history?taxnode_id=20184477","ICTVonline=20184477")</f>
        <v>ICTVonline=20184477</v>
      </c>
    </row>
    <row r="4174" spans="1:22">
      <c r="A4174" s="3">
        <v>4173</v>
      </c>
      <c r="L4174" s="1" t="s">
        <v>999</v>
      </c>
      <c r="N4174" s="1" t="s">
        <v>4080</v>
      </c>
      <c r="P4174" s="1" t="s">
        <v>6176</v>
      </c>
      <c r="Q4174" s="3">
        <v>0</v>
      </c>
      <c r="R4174" s="22" t="s">
        <v>2764</v>
      </c>
      <c r="S4174" s="22" t="s">
        <v>5097</v>
      </c>
      <c r="T4174" s="51">
        <v>32</v>
      </c>
      <c r="U4174" s="3" t="s">
        <v>6170</v>
      </c>
      <c r="V4174" s="41" t="str">
        <f>HYPERLINK("http://ictvonline.org/taxonomy/p/taxonomy-history?taxnode_id=20185907","ICTVonline=20185907")</f>
        <v>ICTVonline=20185907</v>
      </c>
    </row>
    <row r="4175" spans="1:22">
      <c r="A4175" s="3">
        <v>4174</v>
      </c>
      <c r="L4175" s="1" t="s">
        <v>999</v>
      </c>
      <c r="N4175" s="1" t="s">
        <v>4080</v>
      </c>
      <c r="P4175" s="1" t="s">
        <v>4106</v>
      </c>
      <c r="Q4175" s="3">
        <v>0</v>
      </c>
      <c r="R4175" s="22" t="s">
        <v>2764</v>
      </c>
      <c r="S4175" s="22" t="s">
        <v>5097</v>
      </c>
      <c r="T4175" s="51">
        <v>30</v>
      </c>
      <c r="U4175" s="3" t="s">
        <v>6168</v>
      </c>
      <c r="V4175" s="41" t="str">
        <f>HYPERLINK("http://ictvonline.org/taxonomy/p/taxonomy-history?taxnode_id=20184478","ICTVonline=20184478")</f>
        <v>ICTVonline=20184478</v>
      </c>
    </row>
    <row r="4176" spans="1:22">
      <c r="A4176" s="3">
        <v>4175</v>
      </c>
      <c r="L4176" s="1" t="s">
        <v>999</v>
      </c>
      <c r="N4176" s="1" t="s">
        <v>4107</v>
      </c>
      <c r="P4176" s="1" t="s">
        <v>4108</v>
      </c>
      <c r="Q4176" s="3">
        <v>1</v>
      </c>
      <c r="R4176" s="22" t="s">
        <v>2764</v>
      </c>
      <c r="S4176" s="22" t="s">
        <v>5097</v>
      </c>
      <c r="T4176" s="51">
        <v>30</v>
      </c>
      <c r="U4176" s="3" t="s">
        <v>6168</v>
      </c>
      <c r="V4176" s="41" t="str">
        <f>HYPERLINK("http://ictvonline.org/taxonomy/p/taxonomy-history?taxnode_id=20184480","ICTVonline=20184480")</f>
        <v>ICTVonline=20184480</v>
      </c>
    </row>
    <row r="4177" spans="1:22">
      <c r="A4177" s="3">
        <v>4176</v>
      </c>
      <c r="L4177" s="1" t="s">
        <v>999</v>
      </c>
      <c r="N4177" s="1" t="s">
        <v>4107</v>
      </c>
      <c r="P4177" s="1" t="s">
        <v>4109</v>
      </c>
      <c r="Q4177" s="3">
        <v>0</v>
      </c>
      <c r="R4177" s="22" t="s">
        <v>2764</v>
      </c>
      <c r="S4177" s="22" t="s">
        <v>5097</v>
      </c>
      <c r="T4177" s="51">
        <v>30</v>
      </c>
      <c r="U4177" s="3" t="s">
        <v>6168</v>
      </c>
      <c r="V4177" s="41" t="str">
        <f>HYPERLINK("http://ictvonline.org/taxonomy/p/taxonomy-history?taxnode_id=20184481","ICTVonline=20184481")</f>
        <v>ICTVonline=20184481</v>
      </c>
    </row>
    <row r="4178" spans="1:22">
      <c r="A4178" s="3">
        <v>4177</v>
      </c>
      <c r="L4178" s="1" t="s">
        <v>999</v>
      </c>
      <c r="N4178" s="1" t="s">
        <v>4107</v>
      </c>
      <c r="P4178" s="1" t="s">
        <v>4110</v>
      </c>
      <c r="Q4178" s="3">
        <v>0</v>
      </c>
      <c r="R4178" s="22" t="s">
        <v>2764</v>
      </c>
      <c r="S4178" s="22" t="s">
        <v>5097</v>
      </c>
      <c r="T4178" s="51">
        <v>30</v>
      </c>
      <c r="U4178" s="3" t="s">
        <v>6168</v>
      </c>
      <c r="V4178" s="41" t="str">
        <f>HYPERLINK("http://ictvonline.org/taxonomy/p/taxonomy-history?taxnode_id=20184482","ICTVonline=20184482")</f>
        <v>ICTVonline=20184482</v>
      </c>
    </row>
    <row r="4179" spans="1:22">
      <c r="A4179" s="3">
        <v>4178</v>
      </c>
      <c r="L4179" s="1" t="s">
        <v>999</v>
      </c>
      <c r="N4179" s="1" t="s">
        <v>4107</v>
      </c>
      <c r="P4179" s="1" t="s">
        <v>4111</v>
      </c>
      <c r="Q4179" s="3">
        <v>0</v>
      </c>
      <c r="R4179" s="22" t="s">
        <v>2764</v>
      </c>
      <c r="S4179" s="22" t="s">
        <v>5097</v>
      </c>
      <c r="T4179" s="51">
        <v>30</v>
      </c>
      <c r="U4179" s="3" t="s">
        <v>6168</v>
      </c>
      <c r="V4179" s="41" t="str">
        <f>HYPERLINK("http://ictvonline.org/taxonomy/p/taxonomy-history?taxnode_id=20184483","ICTVonline=20184483")</f>
        <v>ICTVonline=20184483</v>
      </c>
    </row>
    <row r="4180" spans="1:22">
      <c r="A4180" s="3">
        <v>4179</v>
      </c>
      <c r="L4180" s="1" t="s">
        <v>999</v>
      </c>
      <c r="N4180" s="1" t="s">
        <v>4112</v>
      </c>
      <c r="P4180" s="1" t="s">
        <v>4113</v>
      </c>
      <c r="Q4180" s="3">
        <v>0</v>
      </c>
      <c r="R4180" s="22" t="s">
        <v>2764</v>
      </c>
      <c r="S4180" s="22" t="s">
        <v>5097</v>
      </c>
      <c r="T4180" s="51">
        <v>30</v>
      </c>
      <c r="U4180" s="3" t="s">
        <v>6168</v>
      </c>
      <c r="V4180" s="41" t="str">
        <f>HYPERLINK("http://ictvonline.org/taxonomy/p/taxonomy-history?taxnode_id=20184485","ICTVonline=20184485")</f>
        <v>ICTVonline=20184485</v>
      </c>
    </row>
    <row r="4181" spans="1:22">
      <c r="A4181" s="3">
        <v>4180</v>
      </c>
      <c r="L4181" s="1" t="s">
        <v>999</v>
      </c>
      <c r="N4181" s="1" t="s">
        <v>4112</v>
      </c>
      <c r="P4181" s="1" t="s">
        <v>4114</v>
      </c>
      <c r="Q4181" s="3">
        <v>1</v>
      </c>
      <c r="R4181" s="22" t="s">
        <v>2764</v>
      </c>
      <c r="S4181" s="22" t="s">
        <v>5098</v>
      </c>
      <c r="T4181" s="51">
        <v>30</v>
      </c>
      <c r="U4181" s="3" t="s">
        <v>6168</v>
      </c>
      <c r="V4181" s="41" t="str">
        <f>HYPERLINK("http://ictvonline.org/taxonomy/p/taxonomy-history?taxnode_id=20184486","ICTVonline=20184486")</f>
        <v>ICTVonline=20184486</v>
      </c>
    </row>
    <row r="4182" spans="1:22">
      <c r="A4182" s="3">
        <v>4181</v>
      </c>
      <c r="L4182" s="1" t="s">
        <v>999</v>
      </c>
      <c r="N4182" s="1" t="s">
        <v>4112</v>
      </c>
      <c r="P4182" s="1" t="s">
        <v>4115</v>
      </c>
      <c r="Q4182" s="3">
        <v>0</v>
      </c>
      <c r="R4182" s="22" t="s">
        <v>2764</v>
      </c>
      <c r="S4182" s="22" t="s">
        <v>5097</v>
      </c>
      <c r="T4182" s="51">
        <v>30</v>
      </c>
      <c r="U4182" s="3" t="s">
        <v>6168</v>
      </c>
      <c r="V4182" s="41" t="str">
        <f>HYPERLINK("http://ictvonline.org/taxonomy/p/taxonomy-history?taxnode_id=20184487","ICTVonline=20184487")</f>
        <v>ICTVonline=20184487</v>
      </c>
    </row>
    <row r="4183" spans="1:22">
      <c r="A4183" s="3">
        <v>4182</v>
      </c>
      <c r="L4183" s="1" t="s">
        <v>999</v>
      </c>
      <c r="N4183" s="1" t="s">
        <v>4112</v>
      </c>
      <c r="P4183" s="1" t="s">
        <v>4116</v>
      </c>
      <c r="Q4183" s="3">
        <v>0</v>
      </c>
      <c r="R4183" s="22" t="s">
        <v>2764</v>
      </c>
      <c r="S4183" s="22" t="s">
        <v>5097</v>
      </c>
      <c r="T4183" s="51">
        <v>30</v>
      </c>
      <c r="U4183" s="3" t="s">
        <v>6168</v>
      </c>
      <c r="V4183" s="41" t="str">
        <f>HYPERLINK("http://ictvonline.org/taxonomy/p/taxonomy-history?taxnode_id=20184488","ICTVonline=20184488")</f>
        <v>ICTVonline=20184488</v>
      </c>
    </row>
    <row r="4184" spans="1:22">
      <c r="A4184" s="3">
        <v>4183</v>
      </c>
      <c r="L4184" s="1" t="s">
        <v>999</v>
      </c>
      <c r="N4184" s="1" t="s">
        <v>4112</v>
      </c>
      <c r="P4184" s="1" t="s">
        <v>6177</v>
      </c>
      <c r="Q4184" s="3">
        <v>0</v>
      </c>
      <c r="R4184" s="22" t="s">
        <v>2764</v>
      </c>
      <c r="S4184" s="22" t="s">
        <v>5097</v>
      </c>
      <c r="T4184" s="51">
        <v>32</v>
      </c>
      <c r="U4184" s="3" t="s">
        <v>6170</v>
      </c>
      <c r="V4184" s="41" t="str">
        <f>HYPERLINK("http://ictvonline.org/taxonomy/p/taxonomy-history?taxnode_id=20185908","ICTVonline=20185908")</f>
        <v>ICTVonline=20185908</v>
      </c>
    </row>
    <row r="4185" spans="1:22">
      <c r="A4185" s="3">
        <v>4184</v>
      </c>
      <c r="L4185" s="1" t="s">
        <v>999</v>
      </c>
      <c r="N4185" s="1" t="s">
        <v>4112</v>
      </c>
      <c r="P4185" s="1" t="s">
        <v>6178</v>
      </c>
      <c r="Q4185" s="3">
        <v>0</v>
      </c>
      <c r="R4185" s="22" t="s">
        <v>2764</v>
      </c>
      <c r="S4185" s="22" t="s">
        <v>5097</v>
      </c>
      <c r="T4185" s="51">
        <v>32</v>
      </c>
      <c r="U4185" s="3" t="s">
        <v>6170</v>
      </c>
      <c r="V4185" s="41" t="str">
        <f>HYPERLINK("http://ictvonline.org/taxonomy/p/taxonomy-history?taxnode_id=20185909","ICTVonline=20185909")</f>
        <v>ICTVonline=20185909</v>
      </c>
    </row>
    <row r="4186" spans="1:22">
      <c r="A4186" s="3">
        <v>4185</v>
      </c>
      <c r="L4186" s="1" t="s">
        <v>999</v>
      </c>
      <c r="N4186" s="1" t="s">
        <v>4112</v>
      </c>
      <c r="P4186" s="1" t="s">
        <v>4117</v>
      </c>
      <c r="Q4186" s="3">
        <v>0</v>
      </c>
      <c r="R4186" s="22" t="s">
        <v>2764</v>
      </c>
      <c r="S4186" s="22" t="s">
        <v>5097</v>
      </c>
      <c r="T4186" s="51">
        <v>30</v>
      </c>
      <c r="U4186" s="3" t="s">
        <v>6168</v>
      </c>
      <c r="V4186" s="41" t="str">
        <f>HYPERLINK("http://ictvonline.org/taxonomy/p/taxonomy-history?taxnode_id=20184489","ICTVonline=20184489")</f>
        <v>ICTVonline=20184489</v>
      </c>
    </row>
    <row r="4187" spans="1:22">
      <c r="A4187" s="3">
        <v>4186</v>
      </c>
      <c r="L4187" s="1" t="s">
        <v>999</v>
      </c>
      <c r="N4187" s="1" t="s">
        <v>4112</v>
      </c>
      <c r="P4187" s="1" t="s">
        <v>4118</v>
      </c>
      <c r="Q4187" s="3">
        <v>0</v>
      </c>
      <c r="R4187" s="22" t="s">
        <v>2764</v>
      </c>
      <c r="S4187" s="22" t="s">
        <v>5097</v>
      </c>
      <c r="T4187" s="51">
        <v>30</v>
      </c>
      <c r="U4187" s="3" t="s">
        <v>6168</v>
      </c>
      <c r="V4187" s="41" t="str">
        <f>HYPERLINK("http://ictvonline.org/taxonomy/p/taxonomy-history?taxnode_id=20184490","ICTVonline=20184490")</f>
        <v>ICTVonline=20184490</v>
      </c>
    </row>
    <row r="4188" spans="1:22">
      <c r="A4188" s="3">
        <v>4187</v>
      </c>
      <c r="L4188" s="1" t="s">
        <v>999</v>
      </c>
      <c r="N4188" s="1" t="s">
        <v>4112</v>
      </c>
      <c r="P4188" s="1" t="s">
        <v>4119</v>
      </c>
      <c r="Q4188" s="3">
        <v>0</v>
      </c>
      <c r="R4188" s="22" t="s">
        <v>2764</v>
      </c>
      <c r="S4188" s="22" t="s">
        <v>5097</v>
      </c>
      <c r="T4188" s="51">
        <v>30</v>
      </c>
      <c r="U4188" s="3" t="s">
        <v>6168</v>
      </c>
      <c r="V4188" s="41" t="str">
        <f>HYPERLINK("http://ictvonline.org/taxonomy/p/taxonomy-history?taxnode_id=20184491","ICTVonline=20184491")</f>
        <v>ICTVonline=20184491</v>
      </c>
    </row>
    <row r="4189" spans="1:22">
      <c r="A4189" s="3">
        <v>4188</v>
      </c>
      <c r="L4189" s="1" t="s">
        <v>999</v>
      </c>
      <c r="P4189" s="1" t="s">
        <v>4120</v>
      </c>
      <c r="Q4189" s="3">
        <v>0</v>
      </c>
      <c r="R4189" s="22" t="s">
        <v>2764</v>
      </c>
      <c r="S4189" s="22" t="s">
        <v>5098</v>
      </c>
      <c r="T4189" s="51">
        <v>30</v>
      </c>
      <c r="U4189" s="3" t="s">
        <v>6168</v>
      </c>
      <c r="V4189" s="41" t="str">
        <f>HYPERLINK("http://ictvonline.org/taxonomy/p/taxonomy-history?taxnode_id=20184493","ICTVonline=20184493")</f>
        <v>ICTVonline=20184493</v>
      </c>
    </row>
    <row r="4190" spans="1:22">
      <c r="A4190" s="3">
        <v>4189</v>
      </c>
      <c r="L4190" s="1" t="s">
        <v>999</v>
      </c>
      <c r="P4190" s="1" t="s">
        <v>4121</v>
      </c>
      <c r="Q4190" s="3">
        <v>0</v>
      </c>
      <c r="R4190" s="22" t="s">
        <v>2764</v>
      </c>
      <c r="S4190" s="22" t="s">
        <v>5097</v>
      </c>
      <c r="T4190" s="51">
        <v>30</v>
      </c>
      <c r="U4190" s="3" t="s">
        <v>6168</v>
      </c>
      <c r="V4190" s="41" t="str">
        <f>HYPERLINK("http://ictvonline.org/taxonomy/p/taxonomy-history?taxnode_id=20184494","ICTVonline=20184494")</f>
        <v>ICTVonline=20184494</v>
      </c>
    </row>
    <row r="4191" spans="1:22">
      <c r="A4191" s="3">
        <v>4190</v>
      </c>
      <c r="L4191" s="1" t="s">
        <v>999</v>
      </c>
      <c r="P4191" s="1" t="s">
        <v>4122</v>
      </c>
      <c r="Q4191" s="3">
        <v>0</v>
      </c>
      <c r="R4191" s="22" t="s">
        <v>2764</v>
      </c>
      <c r="S4191" s="22" t="s">
        <v>5097</v>
      </c>
      <c r="T4191" s="51">
        <v>30</v>
      </c>
      <c r="U4191" s="3" t="s">
        <v>6168</v>
      </c>
      <c r="V4191" s="41" t="str">
        <f>HYPERLINK("http://ictvonline.org/taxonomy/p/taxonomy-history?taxnode_id=20184495","ICTVonline=20184495")</f>
        <v>ICTVonline=20184495</v>
      </c>
    </row>
    <row r="4192" spans="1:22">
      <c r="A4192" s="3">
        <v>4191</v>
      </c>
      <c r="L4192" s="1" t="s">
        <v>999</v>
      </c>
      <c r="P4192" s="1" t="s">
        <v>6179</v>
      </c>
      <c r="Q4192" s="3">
        <v>0</v>
      </c>
      <c r="R4192" s="22" t="s">
        <v>2764</v>
      </c>
      <c r="S4192" s="22" t="s">
        <v>5097</v>
      </c>
      <c r="T4192" s="51">
        <v>32</v>
      </c>
      <c r="U4192" s="3" t="s">
        <v>6170</v>
      </c>
      <c r="V4192" s="41" t="str">
        <f>HYPERLINK("http://ictvonline.org/taxonomy/p/taxonomy-history?taxnode_id=20185910","ICTVonline=20185910")</f>
        <v>ICTVonline=20185910</v>
      </c>
    </row>
    <row r="4193" spans="1:22">
      <c r="A4193" s="3">
        <v>4192</v>
      </c>
      <c r="L4193" s="1" t="s">
        <v>999</v>
      </c>
      <c r="P4193" s="1" t="s">
        <v>6180</v>
      </c>
      <c r="Q4193" s="3">
        <v>0</v>
      </c>
      <c r="R4193" s="22" t="s">
        <v>2764</v>
      </c>
      <c r="S4193" s="22" t="s">
        <v>5097</v>
      </c>
      <c r="T4193" s="51">
        <v>32</v>
      </c>
      <c r="U4193" s="3" t="s">
        <v>6170</v>
      </c>
      <c r="V4193" s="41" t="str">
        <f>HYPERLINK("http://ictvonline.org/taxonomy/p/taxonomy-history?taxnode_id=20185911","ICTVonline=20185911")</f>
        <v>ICTVonline=20185911</v>
      </c>
    </row>
    <row r="4194" spans="1:22">
      <c r="A4194" s="3">
        <v>4193</v>
      </c>
      <c r="L4194" s="1" t="s">
        <v>6181</v>
      </c>
      <c r="N4194" s="1" t="s">
        <v>6182</v>
      </c>
      <c r="P4194" s="1" t="s">
        <v>6183</v>
      </c>
      <c r="Q4194" s="3">
        <v>1</v>
      </c>
      <c r="R4194" s="22" t="s">
        <v>2764</v>
      </c>
      <c r="S4194" s="22" t="s">
        <v>5097</v>
      </c>
      <c r="T4194" s="51">
        <v>32</v>
      </c>
      <c r="U4194" s="3" t="s">
        <v>6184</v>
      </c>
      <c r="V4194" s="41" t="str">
        <f>HYPERLINK("http://ictvonline.org/taxonomy/p/taxonomy-history?taxnode_id=20185912","ICTVonline=20185912")</f>
        <v>ICTVonline=20185912</v>
      </c>
    </row>
    <row r="4195" spans="1:22">
      <c r="A4195" s="3">
        <v>4194</v>
      </c>
      <c r="L4195" s="1" t="s">
        <v>2053</v>
      </c>
      <c r="N4195" s="1" t="s">
        <v>2054</v>
      </c>
      <c r="P4195" s="1" t="s">
        <v>2055</v>
      </c>
      <c r="Q4195" s="3">
        <v>0</v>
      </c>
      <c r="R4195" s="22" t="s">
        <v>6712</v>
      </c>
      <c r="S4195" s="22" t="s">
        <v>5097</v>
      </c>
      <c r="T4195" s="51">
        <v>18</v>
      </c>
      <c r="U4195" s="3" t="s">
        <v>5486</v>
      </c>
      <c r="V4195" s="41" t="str">
        <f>HYPERLINK("http://ictvonline.org/taxonomy/p/taxonomy-history?taxnode_id=20184499","ICTVonline=20184499")</f>
        <v>ICTVonline=20184499</v>
      </c>
    </row>
    <row r="4196" spans="1:22">
      <c r="A4196" s="3">
        <v>4195</v>
      </c>
      <c r="L4196" s="1" t="s">
        <v>2053</v>
      </c>
      <c r="N4196" s="1" t="s">
        <v>2054</v>
      </c>
      <c r="P4196" s="1" t="s">
        <v>2056</v>
      </c>
      <c r="Q4196" s="3">
        <v>1</v>
      </c>
      <c r="R4196" s="22" t="s">
        <v>6712</v>
      </c>
      <c r="S4196" s="22" t="s">
        <v>5099</v>
      </c>
      <c r="T4196" s="51">
        <v>17</v>
      </c>
      <c r="U4196" s="3" t="s">
        <v>5823</v>
      </c>
      <c r="V4196" s="41" t="str">
        <f>HYPERLINK("http://ictvonline.org/taxonomy/p/taxonomy-history?taxnode_id=20184500","ICTVonline=20184500")</f>
        <v>ICTVonline=20184500</v>
      </c>
    </row>
    <row r="4197" spans="1:22">
      <c r="A4197" s="3">
        <v>4196</v>
      </c>
      <c r="L4197" s="1" t="s">
        <v>2053</v>
      </c>
      <c r="N4197" s="1" t="s">
        <v>2054</v>
      </c>
      <c r="P4197" s="1" t="s">
        <v>2057</v>
      </c>
      <c r="Q4197" s="3">
        <v>0</v>
      </c>
      <c r="R4197" s="22" t="s">
        <v>6712</v>
      </c>
      <c r="S4197" s="22" t="s">
        <v>5099</v>
      </c>
      <c r="T4197" s="51">
        <v>17</v>
      </c>
      <c r="U4197" s="3" t="s">
        <v>5823</v>
      </c>
      <c r="V4197" s="41" t="str">
        <f>HYPERLINK("http://ictvonline.org/taxonomy/p/taxonomy-history?taxnode_id=20184501","ICTVonline=20184501")</f>
        <v>ICTVonline=20184501</v>
      </c>
    </row>
    <row r="4198" spans="1:22">
      <c r="A4198" s="3">
        <v>4197</v>
      </c>
      <c r="L4198" s="1" t="s">
        <v>2053</v>
      </c>
      <c r="N4198" s="1" t="s">
        <v>2054</v>
      </c>
      <c r="P4198" s="1" t="s">
        <v>2058</v>
      </c>
      <c r="Q4198" s="3">
        <v>0</v>
      </c>
      <c r="R4198" s="22" t="s">
        <v>6712</v>
      </c>
      <c r="S4198" s="22" t="s">
        <v>5099</v>
      </c>
      <c r="T4198" s="51">
        <v>17</v>
      </c>
      <c r="U4198" s="3" t="s">
        <v>5823</v>
      </c>
      <c r="V4198" s="41" t="str">
        <f>HYPERLINK("http://ictvonline.org/taxonomy/p/taxonomy-history?taxnode_id=20184502","ICTVonline=20184502")</f>
        <v>ICTVonline=20184502</v>
      </c>
    </row>
    <row r="4199" spans="1:22">
      <c r="A4199" s="3">
        <v>4198</v>
      </c>
      <c r="L4199" s="1" t="s">
        <v>2053</v>
      </c>
      <c r="N4199" s="1" t="s">
        <v>2054</v>
      </c>
      <c r="P4199" s="1" t="s">
        <v>2059</v>
      </c>
      <c r="Q4199" s="3">
        <v>0</v>
      </c>
      <c r="R4199" s="22" t="s">
        <v>6712</v>
      </c>
      <c r="S4199" s="22" t="s">
        <v>5100</v>
      </c>
      <c r="T4199" s="51">
        <v>24</v>
      </c>
      <c r="U4199" s="3" t="s">
        <v>6185</v>
      </c>
      <c r="V4199" s="41" t="str">
        <f>HYPERLINK("http://ictvonline.org/taxonomy/p/taxonomy-history?taxnode_id=20184503","ICTVonline=20184503")</f>
        <v>ICTVonline=20184503</v>
      </c>
    </row>
    <row r="4200" spans="1:22">
      <c r="A4200" s="3">
        <v>4199</v>
      </c>
      <c r="L4200" s="1" t="s">
        <v>2053</v>
      </c>
      <c r="N4200" s="1" t="s">
        <v>2054</v>
      </c>
      <c r="P4200" s="1" t="s">
        <v>2159</v>
      </c>
      <c r="Q4200" s="3">
        <v>0</v>
      </c>
      <c r="R4200" s="22" t="s">
        <v>6712</v>
      </c>
      <c r="S4200" s="22" t="s">
        <v>5097</v>
      </c>
      <c r="T4200" s="51">
        <v>25</v>
      </c>
      <c r="U4200" s="3" t="s">
        <v>6186</v>
      </c>
      <c r="V4200" s="41" t="str">
        <f>HYPERLINK("http://ictvonline.org/taxonomy/p/taxonomy-history?taxnode_id=20184504","ICTVonline=20184504")</f>
        <v>ICTVonline=20184504</v>
      </c>
    </row>
    <row r="4201" spans="1:22">
      <c r="A4201" s="3">
        <v>4200</v>
      </c>
      <c r="L4201" s="1" t="s">
        <v>2053</v>
      </c>
      <c r="N4201" s="1" t="s">
        <v>2054</v>
      </c>
      <c r="P4201" s="1" t="s">
        <v>2160</v>
      </c>
      <c r="Q4201" s="3">
        <v>0</v>
      </c>
      <c r="R4201" s="22" t="s">
        <v>6712</v>
      </c>
      <c r="S4201" s="22" t="s">
        <v>5097</v>
      </c>
      <c r="T4201" s="51">
        <v>25</v>
      </c>
      <c r="U4201" s="3" t="s">
        <v>6186</v>
      </c>
      <c r="V4201" s="41" t="str">
        <f>HYPERLINK("http://ictvonline.org/taxonomy/p/taxonomy-history?taxnode_id=20184505","ICTVonline=20184505")</f>
        <v>ICTVonline=20184505</v>
      </c>
    </row>
    <row r="4202" spans="1:22">
      <c r="A4202" s="3">
        <v>4201</v>
      </c>
      <c r="L4202" s="1" t="s">
        <v>2053</v>
      </c>
      <c r="N4202" s="1" t="s">
        <v>2054</v>
      </c>
      <c r="P4202" s="1" t="s">
        <v>2060</v>
      </c>
      <c r="Q4202" s="3">
        <v>0</v>
      </c>
      <c r="R4202" s="22" t="s">
        <v>6712</v>
      </c>
      <c r="S4202" s="22" t="s">
        <v>5099</v>
      </c>
      <c r="T4202" s="51">
        <v>17</v>
      </c>
      <c r="U4202" s="3" t="s">
        <v>5823</v>
      </c>
      <c r="V4202" s="41" t="str">
        <f>HYPERLINK("http://ictvonline.org/taxonomy/p/taxonomy-history?taxnode_id=20184506","ICTVonline=20184506")</f>
        <v>ICTVonline=20184506</v>
      </c>
    </row>
    <row r="4203" spans="1:22">
      <c r="A4203" s="3">
        <v>4202</v>
      </c>
      <c r="L4203" s="1" t="s">
        <v>2053</v>
      </c>
      <c r="N4203" s="1" t="s">
        <v>2054</v>
      </c>
      <c r="P4203" s="1" t="s">
        <v>2061</v>
      </c>
      <c r="Q4203" s="3">
        <v>0</v>
      </c>
      <c r="R4203" s="22" t="s">
        <v>6712</v>
      </c>
      <c r="S4203" s="22" t="s">
        <v>5099</v>
      </c>
      <c r="T4203" s="51">
        <v>17</v>
      </c>
      <c r="U4203" s="3" t="s">
        <v>5823</v>
      </c>
      <c r="V4203" s="41" t="str">
        <f>HYPERLINK("http://ictvonline.org/taxonomy/p/taxonomy-history?taxnode_id=20184507","ICTVonline=20184507")</f>
        <v>ICTVonline=20184507</v>
      </c>
    </row>
    <row r="4204" spans="1:22">
      <c r="A4204" s="3">
        <v>4203</v>
      </c>
      <c r="L4204" s="1" t="s">
        <v>2053</v>
      </c>
      <c r="N4204" s="1" t="s">
        <v>2054</v>
      </c>
      <c r="P4204" s="1" t="s">
        <v>2062</v>
      </c>
      <c r="Q4204" s="3">
        <v>0</v>
      </c>
      <c r="R4204" s="22" t="s">
        <v>6712</v>
      </c>
      <c r="S4204" s="22" t="s">
        <v>5099</v>
      </c>
      <c r="T4204" s="51">
        <v>17</v>
      </c>
      <c r="U4204" s="3" t="s">
        <v>5823</v>
      </c>
      <c r="V4204" s="41" t="str">
        <f>HYPERLINK("http://ictvonline.org/taxonomy/p/taxonomy-history?taxnode_id=20184508","ICTVonline=20184508")</f>
        <v>ICTVonline=20184508</v>
      </c>
    </row>
    <row r="4205" spans="1:22">
      <c r="A4205" s="3">
        <v>4204</v>
      </c>
      <c r="L4205" s="1" t="s">
        <v>2053</v>
      </c>
      <c r="N4205" s="1" t="s">
        <v>2063</v>
      </c>
      <c r="P4205" s="1" t="s">
        <v>2064</v>
      </c>
      <c r="Q4205" s="3">
        <v>0</v>
      </c>
      <c r="R4205" s="22" t="s">
        <v>6712</v>
      </c>
      <c r="S4205" s="22" t="s">
        <v>5100</v>
      </c>
      <c r="T4205" s="51">
        <v>24</v>
      </c>
      <c r="U4205" s="3" t="s">
        <v>6187</v>
      </c>
      <c r="V4205" s="41" t="str">
        <f>HYPERLINK("http://ictvonline.org/taxonomy/p/taxonomy-history?taxnode_id=20184510","ICTVonline=20184510")</f>
        <v>ICTVonline=20184510</v>
      </c>
    </row>
    <row r="4206" spans="1:22">
      <c r="A4206" s="3">
        <v>4205</v>
      </c>
      <c r="L4206" s="1" t="s">
        <v>2053</v>
      </c>
      <c r="N4206" s="1" t="s">
        <v>2063</v>
      </c>
      <c r="P4206" s="1" t="s">
        <v>2065</v>
      </c>
      <c r="Q4206" s="3">
        <v>1</v>
      </c>
      <c r="R4206" s="22" t="s">
        <v>6712</v>
      </c>
      <c r="S4206" s="22" t="s">
        <v>5099</v>
      </c>
      <c r="T4206" s="51">
        <v>17</v>
      </c>
      <c r="U4206" s="3" t="s">
        <v>5823</v>
      </c>
      <c r="V4206" s="41" t="str">
        <f>HYPERLINK("http://ictvonline.org/taxonomy/p/taxonomy-history?taxnode_id=20184511","ICTVonline=20184511")</f>
        <v>ICTVonline=20184511</v>
      </c>
    </row>
    <row r="4207" spans="1:22">
      <c r="A4207" s="3">
        <v>4206</v>
      </c>
      <c r="L4207" s="1" t="s">
        <v>2053</v>
      </c>
      <c r="N4207" s="1" t="s">
        <v>2063</v>
      </c>
      <c r="P4207" s="1" t="s">
        <v>2066</v>
      </c>
      <c r="Q4207" s="3">
        <v>0</v>
      </c>
      <c r="R4207" s="22" t="s">
        <v>6712</v>
      </c>
      <c r="S4207" s="22" t="s">
        <v>5099</v>
      </c>
      <c r="T4207" s="51">
        <v>17</v>
      </c>
      <c r="U4207" s="3" t="s">
        <v>5823</v>
      </c>
      <c r="V4207" s="41" t="str">
        <f>HYPERLINK("http://ictvonline.org/taxonomy/p/taxonomy-history?taxnode_id=20184512","ICTVonline=20184512")</f>
        <v>ICTVonline=20184512</v>
      </c>
    </row>
    <row r="4208" spans="1:22">
      <c r="A4208" s="3">
        <v>4207</v>
      </c>
      <c r="L4208" s="1" t="s">
        <v>2053</v>
      </c>
      <c r="N4208" s="1" t="s">
        <v>2063</v>
      </c>
      <c r="P4208" s="1" t="s">
        <v>2067</v>
      </c>
      <c r="Q4208" s="3">
        <v>0</v>
      </c>
      <c r="R4208" s="22" t="s">
        <v>6712</v>
      </c>
      <c r="S4208" s="22" t="s">
        <v>5099</v>
      </c>
      <c r="T4208" s="51">
        <v>17</v>
      </c>
      <c r="U4208" s="3" t="s">
        <v>5823</v>
      </c>
      <c r="V4208" s="41" t="str">
        <f>HYPERLINK("http://ictvonline.org/taxonomy/p/taxonomy-history?taxnode_id=20184513","ICTVonline=20184513")</f>
        <v>ICTVonline=20184513</v>
      </c>
    </row>
    <row r="4209" spans="1:22">
      <c r="A4209" s="3">
        <v>4208</v>
      </c>
      <c r="L4209" s="1" t="s">
        <v>2053</v>
      </c>
      <c r="N4209" s="1" t="s">
        <v>467</v>
      </c>
      <c r="P4209" s="1" t="s">
        <v>468</v>
      </c>
      <c r="Q4209" s="3">
        <v>1</v>
      </c>
      <c r="R4209" s="22" t="s">
        <v>6712</v>
      </c>
      <c r="S4209" s="22" t="s">
        <v>5099</v>
      </c>
      <c r="T4209" s="51">
        <v>17</v>
      </c>
      <c r="U4209" s="3" t="s">
        <v>5823</v>
      </c>
      <c r="V4209" s="41" t="str">
        <f>HYPERLINK("http://ictvonline.org/taxonomy/p/taxonomy-history?taxnode_id=20184515","ICTVonline=20184515")</f>
        <v>ICTVonline=20184515</v>
      </c>
    </row>
    <row r="4210" spans="1:22">
      <c r="A4210" s="3">
        <v>4209</v>
      </c>
      <c r="L4210" s="1" t="s">
        <v>2053</v>
      </c>
      <c r="N4210" s="1" t="s">
        <v>467</v>
      </c>
      <c r="P4210" s="1" t="s">
        <v>469</v>
      </c>
      <c r="Q4210" s="3">
        <v>0</v>
      </c>
      <c r="R4210" s="22" t="s">
        <v>6712</v>
      </c>
      <c r="S4210" s="22" t="s">
        <v>5097</v>
      </c>
      <c r="T4210" s="51">
        <v>18</v>
      </c>
      <c r="U4210" s="3" t="s">
        <v>5486</v>
      </c>
      <c r="V4210" s="41" t="str">
        <f>HYPERLINK("http://ictvonline.org/taxonomy/p/taxonomy-history?taxnode_id=20184516","ICTVonline=20184516")</f>
        <v>ICTVonline=20184516</v>
      </c>
    </row>
    <row r="4211" spans="1:22">
      <c r="A4211" s="3">
        <v>4210</v>
      </c>
      <c r="L4211" s="1" t="s">
        <v>2053</v>
      </c>
      <c r="N4211" s="1" t="s">
        <v>467</v>
      </c>
      <c r="P4211" s="1" t="s">
        <v>470</v>
      </c>
      <c r="Q4211" s="3">
        <v>0</v>
      </c>
      <c r="R4211" s="22" t="s">
        <v>6712</v>
      </c>
      <c r="S4211" s="22" t="s">
        <v>5097</v>
      </c>
      <c r="T4211" s="51">
        <v>18</v>
      </c>
      <c r="U4211" s="3" t="s">
        <v>5486</v>
      </c>
      <c r="V4211" s="41" t="str">
        <f>HYPERLINK("http://ictvonline.org/taxonomy/p/taxonomy-history?taxnode_id=20184517","ICTVonline=20184517")</f>
        <v>ICTVonline=20184517</v>
      </c>
    </row>
    <row r="4212" spans="1:22">
      <c r="A4212" s="3">
        <v>4211</v>
      </c>
      <c r="L4212" s="1" t="s">
        <v>2053</v>
      </c>
      <c r="N4212" s="1" t="s">
        <v>471</v>
      </c>
      <c r="P4212" s="1" t="s">
        <v>2712</v>
      </c>
      <c r="Q4212" s="3">
        <v>0</v>
      </c>
      <c r="R4212" s="22" t="s">
        <v>6712</v>
      </c>
      <c r="S4212" s="22" t="s">
        <v>5097</v>
      </c>
      <c r="T4212" s="51">
        <v>29</v>
      </c>
      <c r="U4212" s="3" t="s">
        <v>6188</v>
      </c>
      <c r="V4212" s="41" t="str">
        <f>HYPERLINK("http://ictvonline.org/taxonomy/p/taxonomy-history?taxnode_id=20184519","ICTVonline=20184519")</f>
        <v>ICTVonline=20184519</v>
      </c>
    </row>
    <row r="4213" spans="1:22">
      <c r="A4213" s="3">
        <v>4212</v>
      </c>
      <c r="L4213" s="1" t="s">
        <v>2053</v>
      </c>
      <c r="N4213" s="1" t="s">
        <v>471</v>
      </c>
      <c r="P4213" s="1" t="s">
        <v>472</v>
      </c>
      <c r="Q4213" s="3">
        <v>1</v>
      </c>
      <c r="R4213" s="22" t="s">
        <v>6712</v>
      </c>
      <c r="S4213" s="22" t="s">
        <v>5099</v>
      </c>
      <c r="T4213" s="51">
        <v>17</v>
      </c>
      <c r="U4213" s="3" t="s">
        <v>5823</v>
      </c>
      <c r="V4213" s="41" t="str">
        <f>HYPERLINK("http://ictvonline.org/taxonomy/p/taxonomy-history?taxnode_id=20184520","ICTVonline=20184520")</f>
        <v>ICTVonline=20184520</v>
      </c>
    </row>
    <row r="4214" spans="1:22">
      <c r="A4214" s="3">
        <v>4213</v>
      </c>
      <c r="L4214" s="1" t="s">
        <v>2053</v>
      </c>
      <c r="N4214" s="1" t="s">
        <v>473</v>
      </c>
      <c r="P4214" s="1" t="s">
        <v>474</v>
      </c>
      <c r="Q4214" s="3">
        <v>0</v>
      </c>
      <c r="R4214" s="22" t="s">
        <v>6712</v>
      </c>
      <c r="S4214" s="22" t="s">
        <v>5099</v>
      </c>
      <c r="T4214" s="51">
        <v>17</v>
      </c>
      <c r="U4214" s="3" t="s">
        <v>5823</v>
      </c>
      <c r="V4214" s="41" t="str">
        <f>HYPERLINK("http://ictvonline.org/taxonomy/p/taxonomy-history?taxnode_id=20184522","ICTVonline=20184522")</f>
        <v>ICTVonline=20184522</v>
      </c>
    </row>
    <row r="4215" spans="1:22">
      <c r="A4215" s="3">
        <v>4214</v>
      </c>
      <c r="L4215" s="1" t="s">
        <v>2053</v>
      </c>
      <c r="N4215" s="1" t="s">
        <v>473</v>
      </c>
      <c r="P4215" s="1" t="s">
        <v>475</v>
      </c>
      <c r="Q4215" s="3">
        <v>0</v>
      </c>
      <c r="R4215" s="22" t="s">
        <v>6712</v>
      </c>
      <c r="S4215" s="22" t="s">
        <v>5099</v>
      </c>
      <c r="T4215" s="51">
        <v>17</v>
      </c>
      <c r="U4215" s="3" t="s">
        <v>5823</v>
      </c>
      <c r="V4215" s="41" t="str">
        <f>HYPERLINK("http://ictvonline.org/taxonomy/p/taxonomy-history?taxnode_id=20184523","ICTVonline=20184523")</f>
        <v>ICTVonline=20184523</v>
      </c>
    </row>
    <row r="4216" spans="1:22">
      <c r="A4216" s="3">
        <v>4215</v>
      </c>
      <c r="L4216" s="1" t="s">
        <v>2053</v>
      </c>
      <c r="N4216" s="1" t="s">
        <v>473</v>
      </c>
      <c r="P4216" s="1" t="s">
        <v>476</v>
      </c>
      <c r="Q4216" s="3">
        <v>0</v>
      </c>
      <c r="R4216" s="22" t="s">
        <v>6712</v>
      </c>
      <c r="S4216" s="22" t="s">
        <v>5099</v>
      </c>
      <c r="T4216" s="51">
        <v>17</v>
      </c>
      <c r="U4216" s="3" t="s">
        <v>5823</v>
      </c>
      <c r="V4216" s="41" t="str">
        <f>HYPERLINK("http://ictvonline.org/taxonomy/p/taxonomy-history?taxnode_id=20184524","ICTVonline=20184524")</f>
        <v>ICTVonline=20184524</v>
      </c>
    </row>
    <row r="4217" spans="1:22">
      <c r="A4217" s="3">
        <v>4216</v>
      </c>
      <c r="L4217" s="1" t="s">
        <v>2053</v>
      </c>
      <c r="N4217" s="1" t="s">
        <v>473</v>
      </c>
      <c r="P4217" s="1" t="s">
        <v>477</v>
      </c>
      <c r="Q4217" s="3">
        <v>0</v>
      </c>
      <c r="R4217" s="22" t="s">
        <v>6712</v>
      </c>
      <c r="S4217" s="22" t="s">
        <v>5097</v>
      </c>
      <c r="T4217" s="51">
        <v>18</v>
      </c>
      <c r="U4217" s="3" t="s">
        <v>5486</v>
      </c>
      <c r="V4217" s="41" t="str">
        <f>HYPERLINK("http://ictvonline.org/taxonomy/p/taxonomy-history?taxnode_id=20184525","ICTVonline=20184525")</f>
        <v>ICTVonline=20184525</v>
      </c>
    </row>
    <row r="4218" spans="1:22">
      <c r="A4218" s="3">
        <v>4217</v>
      </c>
      <c r="L4218" s="1" t="s">
        <v>2053</v>
      </c>
      <c r="N4218" s="1" t="s">
        <v>473</v>
      </c>
      <c r="P4218" s="1" t="s">
        <v>193</v>
      </c>
      <c r="Q4218" s="3">
        <v>0</v>
      </c>
      <c r="R4218" s="22" t="s">
        <v>6712</v>
      </c>
      <c r="S4218" s="22" t="s">
        <v>5097</v>
      </c>
      <c r="T4218" s="51">
        <v>26</v>
      </c>
      <c r="U4218" s="3" t="s">
        <v>6189</v>
      </c>
      <c r="V4218" s="41" t="str">
        <f>HYPERLINK("http://ictvonline.org/taxonomy/p/taxonomy-history?taxnode_id=20184526","ICTVonline=20184526")</f>
        <v>ICTVonline=20184526</v>
      </c>
    </row>
    <row r="4219" spans="1:22">
      <c r="A4219" s="3">
        <v>4218</v>
      </c>
      <c r="L4219" s="1" t="s">
        <v>2053</v>
      </c>
      <c r="N4219" s="1" t="s">
        <v>473</v>
      </c>
      <c r="P4219" s="1" t="s">
        <v>478</v>
      </c>
      <c r="Q4219" s="3">
        <v>1</v>
      </c>
      <c r="R4219" s="22" t="s">
        <v>6712</v>
      </c>
      <c r="S4219" s="22" t="s">
        <v>5099</v>
      </c>
      <c r="T4219" s="51">
        <v>17</v>
      </c>
      <c r="U4219" s="3" t="s">
        <v>5823</v>
      </c>
      <c r="V4219" s="41" t="str">
        <f>HYPERLINK("http://ictvonline.org/taxonomy/p/taxonomy-history?taxnode_id=20184527","ICTVonline=20184527")</f>
        <v>ICTVonline=20184527</v>
      </c>
    </row>
    <row r="4220" spans="1:22">
      <c r="A4220" s="3">
        <v>4219</v>
      </c>
      <c r="L4220" s="1" t="s">
        <v>2053</v>
      </c>
      <c r="N4220" s="1" t="s">
        <v>473</v>
      </c>
      <c r="P4220" s="1" t="s">
        <v>479</v>
      </c>
      <c r="Q4220" s="3">
        <v>0</v>
      </c>
      <c r="R4220" s="22" t="s">
        <v>6712</v>
      </c>
      <c r="S4220" s="22" t="s">
        <v>5099</v>
      </c>
      <c r="T4220" s="51">
        <v>17</v>
      </c>
      <c r="U4220" s="3" t="s">
        <v>5823</v>
      </c>
      <c r="V4220" s="41" t="str">
        <f>HYPERLINK("http://ictvonline.org/taxonomy/p/taxonomy-history?taxnode_id=20184528","ICTVonline=20184528")</f>
        <v>ICTVonline=20184528</v>
      </c>
    </row>
    <row r="4221" spans="1:22">
      <c r="A4221" s="3">
        <v>4220</v>
      </c>
      <c r="L4221" s="1" t="s">
        <v>2053</v>
      </c>
      <c r="N4221" s="1" t="s">
        <v>473</v>
      </c>
      <c r="P4221" s="1" t="s">
        <v>480</v>
      </c>
      <c r="Q4221" s="3">
        <v>0</v>
      </c>
      <c r="R4221" s="22" t="s">
        <v>6712</v>
      </c>
      <c r="S4221" s="22" t="s">
        <v>5097</v>
      </c>
      <c r="T4221" s="51">
        <v>20</v>
      </c>
      <c r="U4221" s="3" t="s">
        <v>5490</v>
      </c>
      <c r="V4221" s="41" t="str">
        <f>HYPERLINK("http://ictvonline.org/taxonomy/p/taxonomy-history?taxnode_id=20184529","ICTVonline=20184529")</f>
        <v>ICTVonline=20184529</v>
      </c>
    </row>
    <row r="4222" spans="1:22">
      <c r="A4222" s="3">
        <v>4221</v>
      </c>
      <c r="L4222" s="1" t="s">
        <v>2053</v>
      </c>
      <c r="N4222" s="1" t="s">
        <v>473</v>
      </c>
      <c r="P4222" s="1" t="s">
        <v>481</v>
      </c>
      <c r="Q4222" s="3">
        <v>0</v>
      </c>
      <c r="R4222" s="22" t="s">
        <v>6712</v>
      </c>
      <c r="S4222" s="22" t="s">
        <v>5105</v>
      </c>
      <c r="T4222" s="51">
        <v>29</v>
      </c>
      <c r="U4222" s="3" t="s">
        <v>6190</v>
      </c>
      <c r="V4222" s="41" t="str">
        <f>HYPERLINK("http://ictvonline.org/taxonomy/p/taxonomy-history?taxnode_id=20184530","ICTVonline=20184530")</f>
        <v>ICTVonline=20184530</v>
      </c>
    </row>
    <row r="4223" spans="1:22">
      <c r="A4223" s="3">
        <v>4222</v>
      </c>
      <c r="L4223" s="1" t="s">
        <v>482</v>
      </c>
      <c r="N4223" s="1" t="s">
        <v>6191</v>
      </c>
      <c r="P4223" s="1" t="s">
        <v>6192</v>
      </c>
      <c r="Q4223" s="3">
        <v>1</v>
      </c>
      <c r="R4223" s="22" t="s">
        <v>2766</v>
      </c>
      <c r="S4223" s="22" t="s">
        <v>5097</v>
      </c>
      <c r="T4223" s="51">
        <v>32</v>
      </c>
      <c r="U4223" s="3" t="s">
        <v>6193</v>
      </c>
      <c r="V4223" s="41" t="str">
        <f>HYPERLINK("http://ictvonline.org/taxonomy/p/taxonomy-history?taxnode_id=20185915","ICTVonline=20185915")</f>
        <v>ICTVonline=20185915</v>
      </c>
    </row>
    <row r="4224" spans="1:22">
      <c r="A4224" s="3">
        <v>4223</v>
      </c>
      <c r="L4224" s="1" t="s">
        <v>482</v>
      </c>
      <c r="N4224" s="1" t="s">
        <v>550</v>
      </c>
      <c r="P4224" s="1" t="s">
        <v>551</v>
      </c>
      <c r="Q4224" s="3">
        <v>1</v>
      </c>
      <c r="R4224" s="22" t="s">
        <v>2766</v>
      </c>
      <c r="S4224" s="22" t="s">
        <v>5102</v>
      </c>
      <c r="T4224" s="51">
        <v>25</v>
      </c>
      <c r="U4224" s="3" t="s">
        <v>6194</v>
      </c>
      <c r="V4224" s="41" t="str">
        <f>HYPERLINK("http://ictvonline.org/taxonomy/p/taxonomy-history?taxnode_id=20184534","ICTVonline=20184534")</f>
        <v>ICTVonline=20184534</v>
      </c>
    </row>
    <row r="4225" spans="1:22">
      <c r="A4225" s="3">
        <v>4224</v>
      </c>
      <c r="L4225" s="1" t="s">
        <v>482</v>
      </c>
      <c r="N4225" s="1" t="s">
        <v>483</v>
      </c>
      <c r="P4225" s="1" t="s">
        <v>484</v>
      </c>
      <c r="Q4225" s="3">
        <v>0</v>
      </c>
      <c r="R4225" s="22" t="s">
        <v>2766</v>
      </c>
      <c r="S4225" s="22" t="s">
        <v>5097</v>
      </c>
      <c r="T4225" s="51">
        <v>13</v>
      </c>
      <c r="U4225" s="3" t="s">
        <v>5868</v>
      </c>
      <c r="V4225" s="41" t="str">
        <f>HYPERLINK("http://ictvonline.org/taxonomy/p/taxonomy-history?taxnode_id=20184536","ICTVonline=20184536")</f>
        <v>ICTVonline=20184536</v>
      </c>
    </row>
    <row r="4226" spans="1:22">
      <c r="A4226" s="3">
        <v>4225</v>
      </c>
      <c r="L4226" s="1" t="s">
        <v>482</v>
      </c>
      <c r="N4226" s="1" t="s">
        <v>483</v>
      </c>
      <c r="P4226" s="1" t="s">
        <v>485</v>
      </c>
      <c r="Q4226" s="3">
        <v>1</v>
      </c>
      <c r="R4226" s="22" t="s">
        <v>2766</v>
      </c>
      <c r="S4226" s="22" t="s">
        <v>5102</v>
      </c>
      <c r="T4226" s="51">
        <v>13</v>
      </c>
      <c r="U4226" s="3" t="s">
        <v>5868</v>
      </c>
      <c r="V4226" s="41" t="str">
        <f>HYPERLINK("http://ictvonline.org/taxonomy/p/taxonomy-history?taxnode_id=20184537","ICTVonline=20184537")</f>
        <v>ICTVonline=20184537</v>
      </c>
    </row>
    <row r="4227" spans="1:22">
      <c r="A4227" s="3">
        <v>4226</v>
      </c>
      <c r="L4227" s="1" t="s">
        <v>482</v>
      </c>
      <c r="N4227" s="1" t="s">
        <v>483</v>
      </c>
      <c r="P4227" s="1" t="s">
        <v>1558</v>
      </c>
      <c r="Q4227" s="3">
        <v>0</v>
      </c>
      <c r="R4227" s="22" t="s">
        <v>2766</v>
      </c>
      <c r="S4227" s="22" t="s">
        <v>5097</v>
      </c>
      <c r="T4227" s="51">
        <v>13</v>
      </c>
      <c r="U4227" s="3" t="s">
        <v>5868</v>
      </c>
      <c r="V4227" s="41" t="str">
        <f>HYPERLINK("http://ictvonline.org/taxonomy/p/taxonomy-history?taxnode_id=20184538","ICTVonline=20184538")</f>
        <v>ICTVonline=20184538</v>
      </c>
    </row>
    <row r="4228" spans="1:22">
      <c r="A4228" s="3">
        <v>4227</v>
      </c>
      <c r="L4228" s="1" t="s">
        <v>482</v>
      </c>
      <c r="N4228" s="1" t="s">
        <v>483</v>
      </c>
      <c r="P4228" s="1" t="s">
        <v>917</v>
      </c>
      <c r="Q4228" s="3">
        <v>0</v>
      </c>
      <c r="R4228" s="22" t="s">
        <v>2766</v>
      </c>
      <c r="S4228" s="22" t="s">
        <v>5097</v>
      </c>
      <c r="T4228" s="51">
        <v>13</v>
      </c>
      <c r="U4228" s="3" t="s">
        <v>5868</v>
      </c>
      <c r="V4228" s="41" t="str">
        <f>HYPERLINK("http://ictvonline.org/taxonomy/p/taxonomy-history?taxnode_id=20184539","ICTVonline=20184539")</f>
        <v>ICTVonline=20184539</v>
      </c>
    </row>
    <row r="4229" spans="1:22">
      <c r="A4229" s="3">
        <v>4228</v>
      </c>
      <c r="L4229" s="1" t="s">
        <v>482</v>
      </c>
      <c r="N4229" s="1" t="s">
        <v>483</v>
      </c>
      <c r="P4229" s="1" t="s">
        <v>840</v>
      </c>
      <c r="Q4229" s="3">
        <v>0</v>
      </c>
      <c r="R4229" s="22" t="s">
        <v>2766</v>
      </c>
      <c r="S4229" s="22" t="s">
        <v>5097</v>
      </c>
      <c r="T4229" s="51">
        <v>13</v>
      </c>
      <c r="U4229" s="3" t="s">
        <v>5868</v>
      </c>
      <c r="V4229" s="41" t="str">
        <f>HYPERLINK("http://ictvonline.org/taxonomy/p/taxonomy-history?taxnode_id=20184540","ICTVonline=20184540")</f>
        <v>ICTVonline=20184540</v>
      </c>
    </row>
    <row r="4230" spans="1:22">
      <c r="A4230" s="3">
        <v>4229</v>
      </c>
      <c r="L4230" s="1" t="s">
        <v>482</v>
      </c>
      <c r="N4230" s="1" t="s">
        <v>483</v>
      </c>
      <c r="P4230" s="1" t="s">
        <v>841</v>
      </c>
      <c r="Q4230" s="3">
        <v>0</v>
      </c>
      <c r="R4230" s="22" t="s">
        <v>2766</v>
      </c>
      <c r="S4230" s="22" t="s">
        <v>5097</v>
      </c>
      <c r="T4230" s="51">
        <v>18</v>
      </c>
      <c r="U4230" s="3" t="s">
        <v>5486</v>
      </c>
      <c r="V4230" s="41" t="str">
        <f>HYPERLINK("http://ictvonline.org/taxonomy/p/taxonomy-history?taxnode_id=20184541","ICTVonline=20184541")</f>
        <v>ICTVonline=20184541</v>
      </c>
    </row>
    <row r="4231" spans="1:22">
      <c r="A4231" s="3">
        <v>4230</v>
      </c>
      <c r="L4231" s="1" t="s">
        <v>482</v>
      </c>
      <c r="N4231" s="1" t="s">
        <v>842</v>
      </c>
      <c r="P4231" s="1" t="s">
        <v>922</v>
      </c>
      <c r="Q4231" s="3">
        <v>0</v>
      </c>
      <c r="R4231" s="22" t="s">
        <v>2766</v>
      </c>
      <c r="S4231" s="22" t="s">
        <v>5097</v>
      </c>
      <c r="T4231" s="51">
        <v>22</v>
      </c>
      <c r="U4231" s="3" t="s">
        <v>6195</v>
      </c>
      <c r="V4231" s="41" t="str">
        <f>HYPERLINK("http://ictvonline.org/taxonomy/p/taxonomy-history?taxnode_id=20184543","ICTVonline=20184543")</f>
        <v>ICTVonline=20184543</v>
      </c>
    </row>
    <row r="4232" spans="1:22">
      <c r="A4232" s="3">
        <v>4231</v>
      </c>
      <c r="L4232" s="1" t="s">
        <v>482</v>
      </c>
      <c r="N4232" s="1" t="s">
        <v>842</v>
      </c>
      <c r="P4232" s="1" t="s">
        <v>6196</v>
      </c>
      <c r="Q4232" s="3">
        <v>0</v>
      </c>
      <c r="R4232" s="22" t="s">
        <v>2766</v>
      </c>
      <c r="S4232" s="22" t="s">
        <v>5097</v>
      </c>
      <c r="T4232" s="51">
        <v>32</v>
      </c>
      <c r="U4232" s="3" t="s">
        <v>6197</v>
      </c>
      <c r="V4232" s="41" t="str">
        <f>HYPERLINK("http://ictvonline.org/taxonomy/p/taxonomy-history?taxnode_id=20185917","ICTVonline=20185917")</f>
        <v>ICTVonline=20185917</v>
      </c>
    </row>
    <row r="4233" spans="1:22">
      <c r="A4233" s="3">
        <v>4232</v>
      </c>
      <c r="L4233" s="1" t="s">
        <v>482</v>
      </c>
      <c r="N4233" s="1" t="s">
        <v>842</v>
      </c>
      <c r="P4233" s="1" t="s">
        <v>923</v>
      </c>
      <c r="Q4233" s="3">
        <v>0</v>
      </c>
      <c r="R4233" s="22" t="s">
        <v>2766</v>
      </c>
      <c r="S4233" s="22" t="s">
        <v>5097</v>
      </c>
      <c r="T4233" s="51">
        <v>22</v>
      </c>
      <c r="U4233" s="3" t="s">
        <v>6195</v>
      </c>
      <c r="V4233" s="41" t="str">
        <f>HYPERLINK("http://ictvonline.org/taxonomy/p/taxonomy-history?taxnode_id=20184544","ICTVonline=20184544")</f>
        <v>ICTVonline=20184544</v>
      </c>
    </row>
    <row r="4234" spans="1:22">
      <c r="A4234" s="3">
        <v>4233</v>
      </c>
      <c r="L4234" s="1" t="s">
        <v>482</v>
      </c>
      <c r="N4234" s="1" t="s">
        <v>842</v>
      </c>
      <c r="P4234" s="1" t="s">
        <v>924</v>
      </c>
      <c r="Q4234" s="3">
        <v>0</v>
      </c>
      <c r="R4234" s="22" t="s">
        <v>2766</v>
      </c>
      <c r="S4234" s="22" t="s">
        <v>5097</v>
      </c>
      <c r="T4234" s="51">
        <v>24</v>
      </c>
      <c r="U4234" s="3" t="s">
        <v>6198</v>
      </c>
      <c r="V4234" s="41" t="str">
        <f>HYPERLINK("http://ictvonline.org/taxonomy/p/taxonomy-history?taxnode_id=20184545","ICTVonline=20184545")</f>
        <v>ICTVonline=20184545</v>
      </c>
    </row>
    <row r="4235" spans="1:22">
      <c r="A4235" s="3">
        <v>4234</v>
      </c>
      <c r="L4235" s="1" t="s">
        <v>482</v>
      </c>
      <c r="N4235" s="1" t="s">
        <v>842</v>
      </c>
      <c r="P4235" s="1" t="s">
        <v>925</v>
      </c>
      <c r="Q4235" s="3">
        <v>1</v>
      </c>
      <c r="R4235" s="22" t="s">
        <v>2766</v>
      </c>
      <c r="S4235" s="22" t="s">
        <v>5102</v>
      </c>
      <c r="T4235" s="51">
        <v>17</v>
      </c>
      <c r="U4235" s="3" t="s">
        <v>5823</v>
      </c>
      <c r="V4235" s="41" t="str">
        <f>HYPERLINK("http://ictvonline.org/taxonomy/p/taxonomy-history?taxnode_id=20184546","ICTVonline=20184546")</f>
        <v>ICTVonline=20184546</v>
      </c>
    </row>
    <row r="4236" spans="1:22">
      <c r="A4236" s="3">
        <v>4235</v>
      </c>
      <c r="L4236" s="1" t="s">
        <v>482</v>
      </c>
      <c r="N4236" s="1" t="s">
        <v>842</v>
      </c>
      <c r="P4236" s="1" t="s">
        <v>2090</v>
      </c>
      <c r="Q4236" s="3">
        <v>0</v>
      </c>
      <c r="R4236" s="22" t="s">
        <v>2766</v>
      </c>
      <c r="S4236" s="22" t="s">
        <v>5099</v>
      </c>
      <c r="T4236" s="51">
        <v>28</v>
      </c>
      <c r="U4236" s="3" t="s">
        <v>6199</v>
      </c>
      <c r="V4236" s="41" t="str">
        <f>HYPERLINK("http://ictvonline.org/taxonomy/p/taxonomy-history?taxnode_id=20184547","ICTVonline=20184547")</f>
        <v>ICTVonline=20184547</v>
      </c>
    </row>
    <row r="4237" spans="1:22">
      <c r="A4237" s="3">
        <v>4236</v>
      </c>
      <c r="L4237" s="1" t="s">
        <v>482</v>
      </c>
      <c r="N4237" s="1" t="s">
        <v>842</v>
      </c>
      <c r="P4237" s="1" t="s">
        <v>194</v>
      </c>
      <c r="Q4237" s="3">
        <v>0</v>
      </c>
      <c r="R4237" s="22" t="s">
        <v>2766</v>
      </c>
      <c r="S4237" s="22" t="s">
        <v>5097</v>
      </c>
      <c r="T4237" s="51">
        <v>26</v>
      </c>
      <c r="U4237" s="3" t="s">
        <v>6200</v>
      </c>
      <c r="V4237" s="41" t="str">
        <f>HYPERLINK("http://ictvonline.org/taxonomy/p/taxonomy-history?taxnode_id=20184548","ICTVonline=20184548")</f>
        <v>ICTVonline=20184548</v>
      </c>
    </row>
    <row r="4238" spans="1:22">
      <c r="A4238" s="3">
        <v>4237</v>
      </c>
      <c r="L4238" s="1" t="s">
        <v>482</v>
      </c>
      <c r="N4238" s="1" t="s">
        <v>926</v>
      </c>
      <c r="P4238" s="1" t="s">
        <v>927</v>
      </c>
      <c r="Q4238" s="3">
        <v>0</v>
      </c>
      <c r="R4238" s="22" t="s">
        <v>2766</v>
      </c>
      <c r="S4238" s="22" t="s">
        <v>5099</v>
      </c>
      <c r="T4238" s="51">
        <v>24</v>
      </c>
      <c r="U4238" s="3" t="s">
        <v>6201</v>
      </c>
      <c r="V4238" s="41" t="str">
        <f>HYPERLINK("http://ictvonline.org/taxonomy/p/taxonomy-history?taxnode_id=20184550","ICTVonline=20184550")</f>
        <v>ICTVonline=20184550</v>
      </c>
    </row>
    <row r="4239" spans="1:22">
      <c r="A4239" s="3">
        <v>4238</v>
      </c>
      <c r="L4239" s="1" t="s">
        <v>482</v>
      </c>
      <c r="N4239" s="1" t="s">
        <v>926</v>
      </c>
      <c r="P4239" s="1" t="s">
        <v>596</v>
      </c>
      <c r="Q4239" s="3">
        <v>0</v>
      </c>
      <c r="R4239" s="22" t="s">
        <v>2766</v>
      </c>
      <c r="S4239" s="22" t="s">
        <v>5099</v>
      </c>
      <c r="T4239" s="51">
        <v>30</v>
      </c>
      <c r="U4239" s="3" t="s">
        <v>6202</v>
      </c>
      <c r="V4239" s="41" t="str">
        <f>HYPERLINK("http://ictvonline.org/taxonomy/p/taxonomy-history?taxnode_id=20184551","ICTVonline=20184551")</f>
        <v>ICTVonline=20184551</v>
      </c>
    </row>
    <row r="4240" spans="1:22">
      <c r="A4240" s="3">
        <v>4239</v>
      </c>
      <c r="L4240" s="1" t="s">
        <v>482</v>
      </c>
      <c r="N4240" s="1" t="s">
        <v>926</v>
      </c>
      <c r="P4240" s="1" t="s">
        <v>4994</v>
      </c>
      <c r="Q4240" s="3">
        <v>0</v>
      </c>
      <c r="R4240" s="22" t="s">
        <v>2766</v>
      </c>
      <c r="S4240" s="22" t="s">
        <v>5097</v>
      </c>
      <c r="T4240" s="51">
        <v>31</v>
      </c>
      <c r="U4240" s="3" t="s">
        <v>6203</v>
      </c>
      <c r="V4240" s="41" t="str">
        <f>HYPERLINK("http://ictvonline.org/taxonomy/p/taxonomy-history?taxnode_id=20184552","ICTVonline=20184552")</f>
        <v>ICTVonline=20184552</v>
      </c>
    </row>
    <row r="4241" spans="1:22">
      <c r="A4241" s="3">
        <v>4240</v>
      </c>
      <c r="L4241" s="1" t="s">
        <v>482</v>
      </c>
      <c r="N4241" s="1" t="s">
        <v>926</v>
      </c>
      <c r="P4241" s="1" t="s">
        <v>928</v>
      </c>
      <c r="Q4241" s="3">
        <v>0</v>
      </c>
      <c r="R4241" s="22" t="s">
        <v>2766</v>
      </c>
      <c r="S4241" s="22" t="s">
        <v>5099</v>
      </c>
      <c r="T4241" s="51">
        <v>22</v>
      </c>
      <c r="U4241" s="3" t="s">
        <v>6195</v>
      </c>
      <c r="V4241" s="41" t="str">
        <f>HYPERLINK("http://ictvonline.org/taxonomy/p/taxonomy-history?taxnode_id=20184553","ICTVonline=20184553")</f>
        <v>ICTVonline=20184553</v>
      </c>
    </row>
    <row r="4242" spans="1:22">
      <c r="A4242" s="3">
        <v>4241</v>
      </c>
      <c r="L4242" s="1" t="s">
        <v>482</v>
      </c>
      <c r="N4242" s="1" t="s">
        <v>926</v>
      </c>
      <c r="P4242" s="1" t="s">
        <v>929</v>
      </c>
      <c r="Q4242" s="3">
        <v>0</v>
      </c>
      <c r="R4242" s="22" t="s">
        <v>2766</v>
      </c>
      <c r="S4242" s="22" t="s">
        <v>5097</v>
      </c>
      <c r="T4242" s="51">
        <v>24</v>
      </c>
      <c r="U4242" s="3" t="s">
        <v>6201</v>
      </c>
      <c r="V4242" s="41" t="str">
        <f>HYPERLINK("http://ictvonline.org/taxonomy/p/taxonomy-history?taxnode_id=20184554","ICTVonline=20184554")</f>
        <v>ICTVonline=20184554</v>
      </c>
    </row>
    <row r="4243" spans="1:22">
      <c r="A4243" s="3">
        <v>4242</v>
      </c>
      <c r="L4243" s="1" t="s">
        <v>482</v>
      </c>
      <c r="N4243" s="1" t="s">
        <v>926</v>
      </c>
      <c r="P4243" s="1" t="s">
        <v>588</v>
      </c>
      <c r="Q4243" s="3">
        <v>1</v>
      </c>
      <c r="R4243" s="22" t="s">
        <v>2766</v>
      </c>
      <c r="S4243" s="22" t="s">
        <v>5102</v>
      </c>
      <c r="T4243" s="51">
        <v>17</v>
      </c>
      <c r="U4243" s="3" t="s">
        <v>5823</v>
      </c>
      <c r="V4243" s="41" t="str">
        <f>HYPERLINK("http://ictvonline.org/taxonomy/p/taxonomy-history?taxnode_id=20184555","ICTVonline=20184555")</f>
        <v>ICTVonline=20184555</v>
      </c>
    </row>
    <row r="4244" spans="1:22">
      <c r="A4244" s="3">
        <v>4243</v>
      </c>
      <c r="L4244" s="1" t="s">
        <v>482</v>
      </c>
      <c r="N4244" s="1" t="s">
        <v>926</v>
      </c>
      <c r="P4244" s="1" t="s">
        <v>589</v>
      </c>
      <c r="Q4244" s="3">
        <v>0</v>
      </c>
      <c r="R4244" s="22" t="s">
        <v>2766</v>
      </c>
      <c r="S4244" s="22" t="s">
        <v>5097</v>
      </c>
      <c r="T4244" s="51">
        <v>17</v>
      </c>
      <c r="U4244" s="3" t="s">
        <v>5823</v>
      </c>
      <c r="V4244" s="41" t="str">
        <f>HYPERLINK("http://ictvonline.org/taxonomy/p/taxonomy-history?taxnode_id=20184556","ICTVonline=20184556")</f>
        <v>ICTVonline=20184556</v>
      </c>
    </row>
    <row r="4245" spans="1:22">
      <c r="A4245" s="3">
        <v>4244</v>
      </c>
      <c r="L4245" s="1" t="s">
        <v>482</v>
      </c>
      <c r="N4245" s="1" t="s">
        <v>926</v>
      </c>
      <c r="P4245" s="1" t="s">
        <v>4995</v>
      </c>
      <c r="Q4245" s="3">
        <v>0</v>
      </c>
      <c r="R4245" s="22" t="s">
        <v>2766</v>
      </c>
      <c r="S4245" s="22" t="s">
        <v>5097</v>
      </c>
      <c r="T4245" s="51">
        <v>31</v>
      </c>
      <c r="U4245" s="3" t="s">
        <v>6203</v>
      </c>
      <c r="V4245" s="41" t="str">
        <f>HYPERLINK("http://ictvonline.org/taxonomy/p/taxonomy-history?taxnode_id=20184557","ICTVonline=20184557")</f>
        <v>ICTVonline=20184557</v>
      </c>
    </row>
    <row r="4246" spans="1:22">
      <c r="A4246" s="3">
        <v>4245</v>
      </c>
      <c r="L4246" s="1" t="s">
        <v>482</v>
      </c>
      <c r="N4246" s="1" t="s">
        <v>195</v>
      </c>
      <c r="P4246" s="1" t="s">
        <v>4123</v>
      </c>
      <c r="Q4246" s="3">
        <v>0</v>
      </c>
      <c r="R4246" s="22" t="s">
        <v>2766</v>
      </c>
      <c r="S4246" s="22" t="s">
        <v>5097</v>
      </c>
      <c r="T4246" s="51">
        <v>30</v>
      </c>
      <c r="U4246" s="3" t="s">
        <v>6204</v>
      </c>
      <c r="V4246" s="41" t="str">
        <f>HYPERLINK("http://ictvonline.org/taxonomy/p/taxonomy-history?taxnode_id=20184559","ICTVonline=20184559")</f>
        <v>ICTVonline=20184559</v>
      </c>
    </row>
    <row r="4247" spans="1:22">
      <c r="A4247" s="3">
        <v>4246</v>
      </c>
      <c r="L4247" s="1" t="s">
        <v>482</v>
      </c>
      <c r="N4247" s="1" t="s">
        <v>195</v>
      </c>
      <c r="P4247" s="1" t="s">
        <v>496</v>
      </c>
      <c r="Q4247" s="3">
        <v>0</v>
      </c>
      <c r="R4247" s="22" t="s">
        <v>2766</v>
      </c>
      <c r="S4247" s="22" t="s">
        <v>5099</v>
      </c>
      <c r="T4247" s="51">
        <v>26</v>
      </c>
      <c r="U4247" s="3" t="s">
        <v>6205</v>
      </c>
      <c r="V4247" s="41" t="str">
        <f>HYPERLINK("http://ictvonline.org/taxonomy/p/taxonomy-history?taxnode_id=20184560","ICTVonline=20184560")</f>
        <v>ICTVonline=20184560</v>
      </c>
    </row>
    <row r="4248" spans="1:22">
      <c r="A4248" s="3">
        <v>4247</v>
      </c>
      <c r="L4248" s="1" t="s">
        <v>482</v>
      </c>
      <c r="N4248" s="1" t="s">
        <v>195</v>
      </c>
      <c r="P4248" s="1" t="s">
        <v>196</v>
      </c>
      <c r="Q4248" s="3">
        <v>1</v>
      </c>
      <c r="R4248" s="22" t="s">
        <v>2766</v>
      </c>
      <c r="S4248" s="22" t="s">
        <v>5102</v>
      </c>
      <c r="T4248" s="51">
        <v>26</v>
      </c>
      <c r="U4248" s="3" t="s">
        <v>6205</v>
      </c>
      <c r="V4248" s="41" t="str">
        <f>HYPERLINK("http://ictvonline.org/taxonomy/p/taxonomy-history?taxnode_id=20184561","ICTVonline=20184561")</f>
        <v>ICTVonline=20184561</v>
      </c>
    </row>
    <row r="4249" spans="1:22">
      <c r="A4249" s="3">
        <v>4248</v>
      </c>
      <c r="L4249" s="1" t="s">
        <v>482</v>
      </c>
      <c r="N4249" s="1" t="s">
        <v>590</v>
      </c>
      <c r="P4249" s="1" t="s">
        <v>2121</v>
      </c>
      <c r="Q4249" s="3">
        <v>0</v>
      </c>
      <c r="R4249" s="22" t="s">
        <v>2766</v>
      </c>
      <c r="S4249" s="22" t="s">
        <v>5097</v>
      </c>
      <c r="T4249" s="51">
        <v>25</v>
      </c>
      <c r="U4249" s="3" t="s">
        <v>6206</v>
      </c>
      <c r="V4249" s="41" t="str">
        <f>HYPERLINK("http://ictvonline.org/taxonomy/p/taxonomy-history?taxnode_id=20184563","ICTVonline=20184563")</f>
        <v>ICTVonline=20184563</v>
      </c>
    </row>
    <row r="4250" spans="1:22">
      <c r="A4250" s="3">
        <v>4249</v>
      </c>
      <c r="L4250" s="1" t="s">
        <v>482</v>
      </c>
      <c r="N4250" s="1" t="s">
        <v>590</v>
      </c>
      <c r="P4250" s="1" t="s">
        <v>591</v>
      </c>
      <c r="Q4250" s="3">
        <v>0</v>
      </c>
      <c r="R4250" s="22" t="s">
        <v>2766</v>
      </c>
      <c r="S4250" s="22" t="s">
        <v>5099</v>
      </c>
      <c r="T4250" s="51">
        <v>13</v>
      </c>
      <c r="U4250" s="3" t="s">
        <v>5868</v>
      </c>
      <c r="V4250" s="41" t="str">
        <f>HYPERLINK("http://ictvonline.org/taxonomy/p/taxonomy-history?taxnode_id=20184564","ICTVonline=20184564")</f>
        <v>ICTVonline=20184564</v>
      </c>
    </row>
    <row r="4251" spans="1:22">
      <c r="A4251" s="3">
        <v>4250</v>
      </c>
      <c r="L4251" s="1" t="s">
        <v>482</v>
      </c>
      <c r="N4251" s="1" t="s">
        <v>590</v>
      </c>
      <c r="P4251" s="1" t="s">
        <v>2122</v>
      </c>
      <c r="Q4251" s="3">
        <v>0</v>
      </c>
      <c r="R4251" s="22" t="s">
        <v>2766</v>
      </c>
      <c r="S4251" s="22" t="s">
        <v>5097</v>
      </c>
      <c r="T4251" s="51">
        <v>25</v>
      </c>
      <c r="U4251" s="3" t="s">
        <v>6206</v>
      </c>
      <c r="V4251" s="41" t="str">
        <f>HYPERLINK("http://ictvonline.org/taxonomy/p/taxonomy-history?taxnode_id=20184565","ICTVonline=20184565")</f>
        <v>ICTVonline=20184565</v>
      </c>
    </row>
    <row r="4252" spans="1:22">
      <c r="A4252" s="3">
        <v>4251</v>
      </c>
      <c r="L4252" s="1" t="s">
        <v>482</v>
      </c>
      <c r="N4252" s="1" t="s">
        <v>590</v>
      </c>
      <c r="P4252" s="1" t="s">
        <v>592</v>
      </c>
      <c r="Q4252" s="3">
        <v>0</v>
      </c>
      <c r="R4252" s="22" t="s">
        <v>2766</v>
      </c>
      <c r="S4252" s="22" t="s">
        <v>5099</v>
      </c>
      <c r="T4252" s="51">
        <v>13</v>
      </c>
      <c r="U4252" s="3" t="s">
        <v>5868</v>
      </c>
      <c r="V4252" s="41" t="str">
        <f>HYPERLINK("http://ictvonline.org/taxonomy/p/taxonomy-history?taxnode_id=20184566","ICTVonline=20184566")</f>
        <v>ICTVonline=20184566</v>
      </c>
    </row>
    <row r="4253" spans="1:22">
      <c r="A4253" s="3">
        <v>4252</v>
      </c>
      <c r="L4253" s="1" t="s">
        <v>482</v>
      </c>
      <c r="N4253" s="1" t="s">
        <v>590</v>
      </c>
      <c r="P4253" s="1" t="s">
        <v>593</v>
      </c>
      <c r="Q4253" s="3">
        <v>0</v>
      </c>
      <c r="R4253" s="22" t="s">
        <v>2766</v>
      </c>
      <c r="S4253" s="22" t="s">
        <v>5097</v>
      </c>
      <c r="T4253" s="51">
        <v>24</v>
      </c>
      <c r="U4253" s="3" t="s">
        <v>6207</v>
      </c>
      <c r="V4253" s="41" t="str">
        <f>HYPERLINK("http://ictvonline.org/taxonomy/p/taxonomy-history?taxnode_id=20184567","ICTVonline=20184567")</f>
        <v>ICTVonline=20184567</v>
      </c>
    </row>
    <row r="4254" spans="1:22">
      <c r="A4254" s="3">
        <v>4253</v>
      </c>
      <c r="L4254" s="1" t="s">
        <v>482</v>
      </c>
      <c r="N4254" s="1" t="s">
        <v>590</v>
      </c>
      <c r="P4254" s="1" t="s">
        <v>2123</v>
      </c>
      <c r="Q4254" s="3">
        <v>0</v>
      </c>
      <c r="R4254" s="22" t="s">
        <v>2766</v>
      </c>
      <c r="S4254" s="22" t="s">
        <v>5097</v>
      </c>
      <c r="T4254" s="51">
        <v>25</v>
      </c>
      <c r="U4254" s="3" t="s">
        <v>6206</v>
      </c>
      <c r="V4254" s="41" t="str">
        <f>HYPERLINK("http://ictvonline.org/taxonomy/p/taxonomy-history?taxnode_id=20184568","ICTVonline=20184568")</f>
        <v>ICTVonline=20184568</v>
      </c>
    </row>
    <row r="4255" spans="1:22">
      <c r="A4255" s="3">
        <v>4254</v>
      </c>
      <c r="L4255" s="1" t="s">
        <v>482</v>
      </c>
      <c r="N4255" s="1" t="s">
        <v>590</v>
      </c>
      <c r="P4255" s="1" t="s">
        <v>594</v>
      </c>
      <c r="Q4255" s="3">
        <v>0</v>
      </c>
      <c r="R4255" s="22" t="s">
        <v>2766</v>
      </c>
      <c r="S4255" s="22" t="s">
        <v>5097</v>
      </c>
      <c r="T4255" s="51">
        <v>23</v>
      </c>
      <c r="U4255" s="3" t="s">
        <v>5872</v>
      </c>
      <c r="V4255" s="41" t="str">
        <f>HYPERLINK("http://ictvonline.org/taxonomy/p/taxonomy-history?taxnode_id=20184569","ICTVonline=20184569")</f>
        <v>ICTVonline=20184569</v>
      </c>
    </row>
    <row r="4256" spans="1:22">
      <c r="A4256" s="3">
        <v>4255</v>
      </c>
      <c r="L4256" s="1" t="s">
        <v>482</v>
      </c>
      <c r="N4256" s="1" t="s">
        <v>590</v>
      </c>
      <c r="P4256" s="1" t="s">
        <v>595</v>
      </c>
      <c r="Q4256" s="3">
        <v>0</v>
      </c>
      <c r="R4256" s="22" t="s">
        <v>2766</v>
      </c>
      <c r="S4256" s="22" t="s">
        <v>5099</v>
      </c>
      <c r="T4256" s="51">
        <v>13</v>
      </c>
      <c r="U4256" s="3" t="s">
        <v>5868</v>
      </c>
      <c r="V4256" s="41" t="str">
        <f>HYPERLINK("http://ictvonline.org/taxonomy/p/taxonomy-history?taxnode_id=20184570","ICTVonline=20184570")</f>
        <v>ICTVonline=20184570</v>
      </c>
    </row>
    <row r="4257" spans="1:22">
      <c r="A4257" s="3">
        <v>4256</v>
      </c>
      <c r="L4257" s="1" t="s">
        <v>482</v>
      </c>
      <c r="N4257" s="1" t="s">
        <v>590</v>
      </c>
      <c r="P4257" s="1" t="s">
        <v>2148</v>
      </c>
      <c r="Q4257" s="3">
        <v>0</v>
      </c>
      <c r="R4257" s="22" t="s">
        <v>2766</v>
      </c>
      <c r="S4257" s="22" t="s">
        <v>5097</v>
      </c>
      <c r="T4257" s="51">
        <v>25</v>
      </c>
      <c r="U4257" s="3" t="s">
        <v>6208</v>
      </c>
      <c r="V4257" s="41" t="str">
        <f>HYPERLINK("http://ictvonline.org/taxonomy/p/taxonomy-history?taxnode_id=20184571","ICTVonline=20184571")</f>
        <v>ICTVonline=20184571</v>
      </c>
    </row>
    <row r="4258" spans="1:22">
      <c r="A4258" s="3">
        <v>4257</v>
      </c>
      <c r="L4258" s="1" t="s">
        <v>482</v>
      </c>
      <c r="N4258" s="1" t="s">
        <v>590</v>
      </c>
      <c r="P4258" s="1" t="s">
        <v>597</v>
      </c>
      <c r="Q4258" s="3">
        <v>0</v>
      </c>
      <c r="R4258" s="22" t="s">
        <v>2766</v>
      </c>
      <c r="S4258" s="22" t="s">
        <v>5099</v>
      </c>
      <c r="T4258" s="51">
        <v>13</v>
      </c>
      <c r="U4258" s="3" t="s">
        <v>5868</v>
      </c>
      <c r="V4258" s="41" t="str">
        <f>HYPERLINK("http://ictvonline.org/taxonomy/p/taxonomy-history?taxnode_id=20184572","ICTVonline=20184572")</f>
        <v>ICTVonline=20184572</v>
      </c>
    </row>
    <row r="4259" spans="1:22">
      <c r="A4259" s="3">
        <v>4258</v>
      </c>
      <c r="L4259" s="1" t="s">
        <v>482</v>
      </c>
      <c r="N4259" s="1" t="s">
        <v>590</v>
      </c>
      <c r="P4259" s="1" t="s">
        <v>598</v>
      </c>
      <c r="Q4259" s="3">
        <v>0</v>
      </c>
      <c r="R4259" s="22" t="s">
        <v>2766</v>
      </c>
      <c r="S4259" s="22" t="s">
        <v>5097</v>
      </c>
      <c r="T4259" s="51">
        <v>18</v>
      </c>
      <c r="U4259" s="3" t="s">
        <v>5486</v>
      </c>
      <c r="V4259" s="41" t="str">
        <f>HYPERLINK("http://ictvonline.org/taxonomy/p/taxonomy-history?taxnode_id=20184573","ICTVonline=20184573")</f>
        <v>ICTVonline=20184573</v>
      </c>
    </row>
    <row r="4260" spans="1:22">
      <c r="A4260" s="3">
        <v>4259</v>
      </c>
      <c r="L4260" s="1" t="s">
        <v>482</v>
      </c>
      <c r="N4260" s="1" t="s">
        <v>590</v>
      </c>
      <c r="P4260" s="1" t="s">
        <v>6209</v>
      </c>
      <c r="Q4260" s="3">
        <v>0</v>
      </c>
      <c r="R4260" s="22" t="s">
        <v>2766</v>
      </c>
      <c r="S4260" s="22" t="s">
        <v>5097</v>
      </c>
      <c r="T4260" s="51">
        <v>32</v>
      </c>
      <c r="U4260" s="3" t="s">
        <v>6197</v>
      </c>
      <c r="V4260" s="41" t="str">
        <f>HYPERLINK("http://ictvonline.org/taxonomy/p/taxonomy-history?taxnode_id=20185918","ICTVonline=20185918")</f>
        <v>ICTVonline=20185918</v>
      </c>
    </row>
    <row r="4261" spans="1:22">
      <c r="A4261" s="3">
        <v>4260</v>
      </c>
      <c r="L4261" s="1" t="s">
        <v>482</v>
      </c>
      <c r="N4261" s="1" t="s">
        <v>590</v>
      </c>
      <c r="P4261" s="1" t="s">
        <v>599</v>
      </c>
      <c r="Q4261" s="3">
        <v>0</v>
      </c>
      <c r="R4261" s="22" t="s">
        <v>2766</v>
      </c>
      <c r="S4261" s="22" t="s">
        <v>5097</v>
      </c>
      <c r="T4261" s="51">
        <v>24</v>
      </c>
      <c r="U4261" s="3" t="s">
        <v>6207</v>
      </c>
      <c r="V4261" s="41" t="str">
        <f>HYPERLINK("http://ictvonline.org/taxonomy/p/taxonomy-history?taxnode_id=20184574","ICTVonline=20184574")</f>
        <v>ICTVonline=20184574</v>
      </c>
    </row>
    <row r="4262" spans="1:22">
      <c r="A4262" s="3">
        <v>4261</v>
      </c>
      <c r="L4262" s="1" t="s">
        <v>482</v>
      </c>
      <c r="N4262" s="1" t="s">
        <v>590</v>
      </c>
      <c r="P4262" s="1" t="s">
        <v>600</v>
      </c>
      <c r="Q4262" s="3">
        <v>0</v>
      </c>
      <c r="R4262" s="22" t="s">
        <v>2766</v>
      </c>
      <c r="S4262" s="22" t="s">
        <v>5097</v>
      </c>
      <c r="T4262" s="51">
        <v>14</v>
      </c>
      <c r="U4262" s="3" t="s">
        <v>5879</v>
      </c>
      <c r="V4262" s="41" t="str">
        <f>HYPERLINK("http://ictvonline.org/taxonomy/p/taxonomy-history?taxnode_id=20184575","ICTVonline=20184575")</f>
        <v>ICTVonline=20184575</v>
      </c>
    </row>
    <row r="4263" spans="1:22">
      <c r="A4263" s="3">
        <v>4262</v>
      </c>
      <c r="L4263" s="1" t="s">
        <v>482</v>
      </c>
      <c r="N4263" s="1" t="s">
        <v>590</v>
      </c>
      <c r="P4263" s="1" t="s">
        <v>601</v>
      </c>
      <c r="Q4263" s="3">
        <v>0</v>
      </c>
      <c r="R4263" s="22" t="s">
        <v>2766</v>
      </c>
      <c r="S4263" s="22" t="s">
        <v>5105</v>
      </c>
      <c r="T4263" s="51">
        <v>18</v>
      </c>
      <c r="U4263" s="3" t="s">
        <v>5486</v>
      </c>
      <c r="V4263" s="41" t="str">
        <f>HYPERLINK("http://ictvonline.org/taxonomy/p/taxonomy-history?taxnode_id=20184576","ICTVonline=20184576")</f>
        <v>ICTVonline=20184576</v>
      </c>
    </row>
    <row r="4264" spans="1:22">
      <c r="A4264" s="3">
        <v>4263</v>
      </c>
      <c r="L4264" s="1" t="s">
        <v>482</v>
      </c>
      <c r="N4264" s="1" t="s">
        <v>590</v>
      </c>
      <c r="P4264" s="1" t="s">
        <v>602</v>
      </c>
      <c r="Q4264" s="3">
        <v>0</v>
      </c>
      <c r="R4264" s="22" t="s">
        <v>2766</v>
      </c>
      <c r="S4264" s="22" t="s">
        <v>5099</v>
      </c>
      <c r="T4264" s="51">
        <v>13</v>
      </c>
      <c r="U4264" s="3" t="s">
        <v>5868</v>
      </c>
      <c r="V4264" s="41" t="str">
        <f>HYPERLINK("http://ictvonline.org/taxonomy/p/taxonomy-history?taxnode_id=20184577","ICTVonline=20184577")</f>
        <v>ICTVonline=20184577</v>
      </c>
    </row>
    <row r="4265" spans="1:22">
      <c r="A4265" s="3">
        <v>4264</v>
      </c>
      <c r="L4265" s="1" t="s">
        <v>482</v>
      </c>
      <c r="N4265" s="1" t="s">
        <v>590</v>
      </c>
      <c r="P4265" s="1" t="s">
        <v>603</v>
      </c>
      <c r="Q4265" s="3">
        <v>0</v>
      </c>
      <c r="R4265" s="22" t="s">
        <v>2766</v>
      </c>
      <c r="S4265" s="22" t="s">
        <v>5099</v>
      </c>
      <c r="T4265" s="51">
        <v>13</v>
      </c>
      <c r="U4265" s="3" t="s">
        <v>5868</v>
      </c>
      <c r="V4265" s="41" t="str">
        <f>HYPERLINK("http://ictvonline.org/taxonomy/p/taxonomy-history?taxnode_id=20184578","ICTVonline=20184578")</f>
        <v>ICTVonline=20184578</v>
      </c>
    </row>
    <row r="4266" spans="1:22">
      <c r="A4266" s="3">
        <v>4265</v>
      </c>
      <c r="L4266" s="1" t="s">
        <v>482</v>
      </c>
      <c r="N4266" s="1" t="s">
        <v>590</v>
      </c>
      <c r="P4266" s="1" t="s">
        <v>2713</v>
      </c>
      <c r="Q4266" s="3">
        <v>0</v>
      </c>
      <c r="R4266" s="22" t="s">
        <v>2766</v>
      </c>
      <c r="S4266" s="22" t="s">
        <v>5097</v>
      </c>
      <c r="T4266" s="51">
        <v>29</v>
      </c>
      <c r="U4266" s="3" t="s">
        <v>6210</v>
      </c>
      <c r="V4266" s="41" t="str">
        <f>HYPERLINK("http://ictvonline.org/taxonomy/p/taxonomy-history?taxnode_id=20184579","ICTVonline=20184579")</f>
        <v>ICTVonline=20184579</v>
      </c>
    </row>
    <row r="4267" spans="1:22">
      <c r="A4267" s="3">
        <v>4266</v>
      </c>
      <c r="L4267" s="1" t="s">
        <v>482</v>
      </c>
      <c r="N4267" s="1" t="s">
        <v>590</v>
      </c>
      <c r="P4267" s="1" t="s">
        <v>604</v>
      </c>
      <c r="Q4267" s="3">
        <v>0</v>
      </c>
      <c r="R4267" s="22" t="s">
        <v>2766</v>
      </c>
      <c r="S4267" s="22" t="s">
        <v>5099</v>
      </c>
      <c r="T4267" s="51">
        <v>13</v>
      </c>
      <c r="U4267" s="3" t="s">
        <v>5868</v>
      </c>
      <c r="V4267" s="41" t="str">
        <f>HYPERLINK("http://ictvonline.org/taxonomy/p/taxonomy-history?taxnode_id=20184580","ICTVonline=20184580")</f>
        <v>ICTVonline=20184580</v>
      </c>
    </row>
    <row r="4268" spans="1:22">
      <c r="A4268" s="3">
        <v>4267</v>
      </c>
      <c r="L4268" s="1" t="s">
        <v>482</v>
      </c>
      <c r="N4268" s="1" t="s">
        <v>590</v>
      </c>
      <c r="P4268" s="1" t="s">
        <v>2714</v>
      </c>
      <c r="Q4268" s="3">
        <v>0</v>
      </c>
      <c r="R4268" s="22" t="s">
        <v>2766</v>
      </c>
      <c r="S4268" s="22" t="s">
        <v>5097</v>
      </c>
      <c r="T4268" s="51">
        <v>29</v>
      </c>
      <c r="U4268" s="3" t="s">
        <v>6210</v>
      </c>
      <c r="V4268" s="41" t="str">
        <f>HYPERLINK("http://ictvonline.org/taxonomy/p/taxonomy-history?taxnode_id=20184581","ICTVonline=20184581")</f>
        <v>ICTVonline=20184581</v>
      </c>
    </row>
    <row r="4269" spans="1:22">
      <c r="A4269" s="3">
        <v>4268</v>
      </c>
      <c r="L4269" s="1" t="s">
        <v>482</v>
      </c>
      <c r="N4269" s="1" t="s">
        <v>590</v>
      </c>
      <c r="P4269" s="1" t="s">
        <v>2715</v>
      </c>
      <c r="Q4269" s="3">
        <v>0</v>
      </c>
      <c r="R4269" s="22" t="s">
        <v>2766</v>
      </c>
      <c r="S4269" s="22" t="s">
        <v>5097</v>
      </c>
      <c r="T4269" s="51">
        <v>29</v>
      </c>
      <c r="U4269" s="3" t="s">
        <v>6210</v>
      </c>
      <c r="V4269" s="41" t="str">
        <f>HYPERLINK("http://ictvonline.org/taxonomy/p/taxonomy-history?taxnode_id=20184582","ICTVonline=20184582")</f>
        <v>ICTVonline=20184582</v>
      </c>
    </row>
    <row r="4270" spans="1:22">
      <c r="A4270" s="3">
        <v>4269</v>
      </c>
      <c r="L4270" s="1" t="s">
        <v>482</v>
      </c>
      <c r="N4270" s="1" t="s">
        <v>590</v>
      </c>
      <c r="P4270" s="1" t="s">
        <v>2149</v>
      </c>
      <c r="Q4270" s="3">
        <v>0</v>
      </c>
      <c r="R4270" s="22" t="s">
        <v>2766</v>
      </c>
      <c r="S4270" s="22" t="s">
        <v>5097</v>
      </c>
      <c r="T4270" s="51">
        <v>25</v>
      </c>
      <c r="U4270" s="3" t="s">
        <v>6208</v>
      </c>
      <c r="V4270" s="41" t="str">
        <f>HYPERLINK("http://ictvonline.org/taxonomy/p/taxonomy-history?taxnode_id=20184583","ICTVonline=20184583")</f>
        <v>ICTVonline=20184583</v>
      </c>
    </row>
    <row r="4271" spans="1:22">
      <c r="A4271" s="3">
        <v>4270</v>
      </c>
      <c r="L4271" s="1" t="s">
        <v>482</v>
      </c>
      <c r="N4271" s="1" t="s">
        <v>590</v>
      </c>
      <c r="P4271" s="1" t="s">
        <v>2124</v>
      </c>
      <c r="Q4271" s="3">
        <v>0</v>
      </c>
      <c r="R4271" s="22" t="s">
        <v>2766</v>
      </c>
      <c r="S4271" s="22" t="s">
        <v>5097</v>
      </c>
      <c r="T4271" s="51">
        <v>25</v>
      </c>
      <c r="U4271" s="3" t="s">
        <v>6206</v>
      </c>
      <c r="V4271" s="41" t="str">
        <f>HYPERLINK("http://ictvonline.org/taxonomy/p/taxonomy-history?taxnode_id=20184584","ICTVonline=20184584")</f>
        <v>ICTVonline=20184584</v>
      </c>
    </row>
    <row r="4272" spans="1:22">
      <c r="A4272" s="3">
        <v>4271</v>
      </c>
      <c r="L4272" s="1" t="s">
        <v>482</v>
      </c>
      <c r="N4272" s="1" t="s">
        <v>590</v>
      </c>
      <c r="P4272" s="1" t="s">
        <v>1583</v>
      </c>
      <c r="Q4272" s="3">
        <v>0</v>
      </c>
      <c r="R4272" s="22" t="s">
        <v>2766</v>
      </c>
      <c r="S4272" s="22" t="s">
        <v>5097</v>
      </c>
      <c r="T4272" s="51">
        <v>18</v>
      </c>
      <c r="U4272" s="3" t="s">
        <v>5486</v>
      </c>
      <c r="V4272" s="41" t="str">
        <f>HYPERLINK("http://ictvonline.org/taxonomy/p/taxonomy-history?taxnode_id=20184585","ICTVonline=20184585")</f>
        <v>ICTVonline=20184585</v>
      </c>
    </row>
    <row r="4273" spans="1:22">
      <c r="A4273" s="3">
        <v>4272</v>
      </c>
      <c r="L4273" s="1" t="s">
        <v>482</v>
      </c>
      <c r="N4273" s="1" t="s">
        <v>590</v>
      </c>
      <c r="P4273" s="1" t="s">
        <v>2716</v>
      </c>
      <c r="Q4273" s="3">
        <v>0</v>
      </c>
      <c r="R4273" s="22" t="s">
        <v>2766</v>
      </c>
      <c r="S4273" s="22" t="s">
        <v>5097</v>
      </c>
      <c r="T4273" s="51">
        <v>29</v>
      </c>
      <c r="U4273" s="3" t="s">
        <v>6210</v>
      </c>
      <c r="V4273" s="41" t="str">
        <f>HYPERLINK("http://ictvonline.org/taxonomy/p/taxonomy-history?taxnode_id=20184586","ICTVonline=20184586")</f>
        <v>ICTVonline=20184586</v>
      </c>
    </row>
    <row r="4274" spans="1:22">
      <c r="A4274" s="3">
        <v>4273</v>
      </c>
      <c r="L4274" s="1" t="s">
        <v>482</v>
      </c>
      <c r="N4274" s="1" t="s">
        <v>590</v>
      </c>
      <c r="P4274" s="1" t="s">
        <v>6211</v>
      </c>
      <c r="Q4274" s="3">
        <v>0</v>
      </c>
      <c r="R4274" s="22" t="s">
        <v>2766</v>
      </c>
      <c r="S4274" s="22" t="s">
        <v>5097</v>
      </c>
      <c r="T4274" s="51">
        <v>32</v>
      </c>
      <c r="U4274" s="3" t="s">
        <v>6197</v>
      </c>
      <c r="V4274" s="41" t="str">
        <f>HYPERLINK("http://ictvonline.org/taxonomy/p/taxonomy-history?taxnode_id=20185919","ICTVonline=20185919")</f>
        <v>ICTVonline=20185919</v>
      </c>
    </row>
    <row r="4275" spans="1:22">
      <c r="A4275" s="3">
        <v>4274</v>
      </c>
      <c r="L4275" s="1" t="s">
        <v>482</v>
      </c>
      <c r="N4275" s="1" t="s">
        <v>590</v>
      </c>
      <c r="P4275" s="1" t="s">
        <v>2125</v>
      </c>
      <c r="Q4275" s="3">
        <v>0</v>
      </c>
      <c r="R4275" s="22" t="s">
        <v>2766</v>
      </c>
      <c r="S4275" s="22" t="s">
        <v>5097</v>
      </c>
      <c r="T4275" s="51">
        <v>25</v>
      </c>
      <c r="U4275" s="3" t="s">
        <v>6206</v>
      </c>
      <c r="V4275" s="41" t="str">
        <f>HYPERLINK("http://ictvonline.org/taxonomy/p/taxonomy-history?taxnode_id=20184587","ICTVonline=20184587")</f>
        <v>ICTVonline=20184587</v>
      </c>
    </row>
    <row r="4276" spans="1:22">
      <c r="A4276" s="3">
        <v>4275</v>
      </c>
      <c r="L4276" s="1" t="s">
        <v>482</v>
      </c>
      <c r="N4276" s="1" t="s">
        <v>590</v>
      </c>
      <c r="P4276" s="1" t="s">
        <v>1584</v>
      </c>
      <c r="Q4276" s="3">
        <v>0</v>
      </c>
      <c r="R4276" s="22" t="s">
        <v>2766</v>
      </c>
      <c r="S4276" s="22" t="s">
        <v>5099</v>
      </c>
      <c r="T4276" s="51">
        <v>13</v>
      </c>
      <c r="U4276" s="3" t="s">
        <v>5868</v>
      </c>
      <c r="V4276" s="41" t="str">
        <f>HYPERLINK("http://ictvonline.org/taxonomy/p/taxonomy-history?taxnode_id=20184588","ICTVonline=20184588")</f>
        <v>ICTVonline=20184588</v>
      </c>
    </row>
    <row r="4277" spans="1:22">
      <c r="A4277" s="3">
        <v>4276</v>
      </c>
      <c r="L4277" s="1" t="s">
        <v>482</v>
      </c>
      <c r="N4277" s="1" t="s">
        <v>590</v>
      </c>
      <c r="P4277" s="1" t="s">
        <v>1585</v>
      </c>
      <c r="Q4277" s="3">
        <v>0</v>
      </c>
      <c r="R4277" s="22" t="s">
        <v>2766</v>
      </c>
      <c r="S4277" s="22" t="s">
        <v>5099</v>
      </c>
      <c r="T4277" s="51">
        <v>13</v>
      </c>
      <c r="U4277" s="3" t="s">
        <v>5868</v>
      </c>
      <c r="V4277" s="41" t="str">
        <f>HYPERLINK("http://ictvonline.org/taxonomy/p/taxonomy-history?taxnode_id=20184589","ICTVonline=20184589")</f>
        <v>ICTVonline=20184589</v>
      </c>
    </row>
    <row r="4278" spans="1:22">
      <c r="A4278" s="3">
        <v>4277</v>
      </c>
      <c r="L4278" s="1" t="s">
        <v>482</v>
      </c>
      <c r="N4278" s="1" t="s">
        <v>590</v>
      </c>
      <c r="P4278" s="1" t="s">
        <v>1586</v>
      </c>
      <c r="Q4278" s="3">
        <v>0</v>
      </c>
      <c r="R4278" s="22" t="s">
        <v>2766</v>
      </c>
      <c r="S4278" s="22" t="s">
        <v>5097</v>
      </c>
      <c r="T4278" s="51">
        <v>22</v>
      </c>
      <c r="U4278" s="3" t="s">
        <v>6195</v>
      </c>
      <c r="V4278" s="41" t="str">
        <f>HYPERLINK("http://ictvonline.org/taxonomy/p/taxonomy-history?taxnode_id=20184590","ICTVonline=20184590")</f>
        <v>ICTVonline=20184590</v>
      </c>
    </row>
    <row r="4279" spans="1:22">
      <c r="A4279" s="3">
        <v>4278</v>
      </c>
      <c r="L4279" s="1" t="s">
        <v>482</v>
      </c>
      <c r="N4279" s="1" t="s">
        <v>590</v>
      </c>
      <c r="P4279" s="1" t="s">
        <v>4124</v>
      </c>
      <c r="Q4279" s="3">
        <v>0</v>
      </c>
      <c r="R4279" s="22" t="s">
        <v>2766</v>
      </c>
      <c r="S4279" s="22" t="s">
        <v>5097</v>
      </c>
      <c r="T4279" s="51">
        <v>30</v>
      </c>
      <c r="U4279" s="3" t="s">
        <v>6202</v>
      </c>
      <c r="V4279" s="41" t="str">
        <f>HYPERLINK("http://ictvonline.org/taxonomy/p/taxonomy-history?taxnode_id=20184591","ICTVonline=20184591")</f>
        <v>ICTVonline=20184591</v>
      </c>
    </row>
    <row r="4280" spans="1:22">
      <c r="A4280" s="3">
        <v>4279</v>
      </c>
      <c r="L4280" s="1" t="s">
        <v>482</v>
      </c>
      <c r="N4280" s="1" t="s">
        <v>590</v>
      </c>
      <c r="P4280" s="1" t="s">
        <v>1587</v>
      </c>
      <c r="Q4280" s="3">
        <v>0</v>
      </c>
      <c r="R4280" s="22" t="s">
        <v>2766</v>
      </c>
      <c r="S4280" s="22" t="s">
        <v>5099</v>
      </c>
      <c r="T4280" s="51">
        <v>13</v>
      </c>
      <c r="U4280" s="3" t="s">
        <v>5868</v>
      </c>
      <c r="V4280" s="41" t="str">
        <f>HYPERLINK("http://ictvonline.org/taxonomy/p/taxonomy-history?taxnode_id=20184592","ICTVonline=20184592")</f>
        <v>ICTVonline=20184592</v>
      </c>
    </row>
    <row r="4281" spans="1:22">
      <c r="A4281" s="3">
        <v>4280</v>
      </c>
      <c r="L4281" s="1" t="s">
        <v>482</v>
      </c>
      <c r="N4281" s="1" t="s">
        <v>590</v>
      </c>
      <c r="P4281" s="1" t="s">
        <v>1588</v>
      </c>
      <c r="Q4281" s="3">
        <v>0</v>
      </c>
      <c r="R4281" s="22" t="s">
        <v>2766</v>
      </c>
      <c r="S4281" s="22" t="s">
        <v>5097</v>
      </c>
      <c r="T4281" s="51">
        <v>18</v>
      </c>
      <c r="U4281" s="3" t="s">
        <v>5486</v>
      </c>
      <c r="V4281" s="41" t="str">
        <f>HYPERLINK("http://ictvonline.org/taxonomy/p/taxonomy-history?taxnode_id=20184593","ICTVonline=20184593")</f>
        <v>ICTVonline=20184593</v>
      </c>
    </row>
    <row r="4282" spans="1:22">
      <c r="A4282" s="3">
        <v>4281</v>
      </c>
      <c r="L4282" s="1" t="s">
        <v>482</v>
      </c>
      <c r="N4282" s="1" t="s">
        <v>590</v>
      </c>
      <c r="P4282" s="1" t="s">
        <v>2150</v>
      </c>
      <c r="Q4282" s="3">
        <v>0</v>
      </c>
      <c r="R4282" s="22" t="s">
        <v>2766</v>
      </c>
      <c r="S4282" s="22" t="s">
        <v>5097</v>
      </c>
      <c r="T4282" s="51">
        <v>25</v>
      </c>
      <c r="U4282" s="3" t="s">
        <v>6208</v>
      </c>
      <c r="V4282" s="41" t="str">
        <f>HYPERLINK("http://ictvonline.org/taxonomy/p/taxonomy-history?taxnode_id=20184594","ICTVonline=20184594")</f>
        <v>ICTVonline=20184594</v>
      </c>
    </row>
    <row r="4283" spans="1:22">
      <c r="A4283" s="3">
        <v>4282</v>
      </c>
      <c r="L4283" s="1" t="s">
        <v>482</v>
      </c>
      <c r="N4283" s="1" t="s">
        <v>590</v>
      </c>
      <c r="P4283" s="1" t="s">
        <v>1589</v>
      </c>
      <c r="Q4283" s="3">
        <v>0</v>
      </c>
      <c r="R4283" s="22" t="s">
        <v>2766</v>
      </c>
      <c r="S4283" s="22" t="s">
        <v>5097</v>
      </c>
      <c r="T4283" s="51">
        <v>14</v>
      </c>
      <c r="U4283" s="3" t="s">
        <v>5879</v>
      </c>
      <c r="V4283" s="41" t="str">
        <f>HYPERLINK("http://ictvonline.org/taxonomy/p/taxonomy-history?taxnode_id=20184595","ICTVonline=20184595")</f>
        <v>ICTVonline=20184595</v>
      </c>
    </row>
    <row r="4284" spans="1:22">
      <c r="A4284" s="3">
        <v>4283</v>
      </c>
      <c r="L4284" s="1" t="s">
        <v>482</v>
      </c>
      <c r="N4284" s="1" t="s">
        <v>590</v>
      </c>
      <c r="P4284" s="1" t="s">
        <v>1590</v>
      </c>
      <c r="Q4284" s="3">
        <v>0</v>
      </c>
      <c r="R4284" s="22" t="s">
        <v>2766</v>
      </c>
      <c r="S4284" s="22" t="s">
        <v>5097</v>
      </c>
      <c r="T4284" s="51">
        <v>24</v>
      </c>
      <c r="U4284" s="3" t="s">
        <v>6207</v>
      </c>
      <c r="V4284" s="41" t="str">
        <f>HYPERLINK("http://ictvonline.org/taxonomy/p/taxonomy-history?taxnode_id=20184596","ICTVonline=20184596")</f>
        <v>ICTVonline=20184596</v>
      </c>
    </row>
    <row r="4285" spans="1:22">
      <c r="A4285" s="3">
        <v>4284</v>
      </c>
      <c r="L4285" s="1" t="s">
        <v>482</v>
      </c>
      <c r="N4285" s="1" t="s">
        <v>590</v>
      </c>
      <c r="P4285" s="1" t="s">
        <v>1591</v>
      </c>
      <c r="Q4285" s="3">
        <v>0</v>
      </c>
      <c r="R4285" s="22" t="s">
        <v>2766</v>
      </c>
      <c r="S4285" s="22" t="s">
        <v>5097</v>
      </c>
      <c r="T4285" s="51">
        <v>22</v>
      </c>
      <c r="U4285" s="3" t="s">
        <v>6195</v>
      </c>
      <c r="V4285" s="41" t="str">
        <f>HYPERLINK("http://ictvonline.org/taxonomy/p/taxonomy-history?taxnode_id=20184597","ICTVonline=20184597")</f>
        <v>ICTVonline=20184597</v>
      </c>
    </row>
    <row r="4286" spans="1:22">
      <c r="A4286" s="3">
        <v>4285</v>
      </c>
      <c r="L4286" s="1" t="s">
        <v>482</v>
      </c>
      <c r="N4286" s="1" t="s">
        <v>590</v>
      </c>
      <c r="P4286" s="1" t="s">
        <v>1592</v>
      </c>
      <c r="Q4286" s="3">
        <v>0</v>
      </c>
      <c r="R4286" s="22" t="s">
        <v>2766</v>
      </c>
      <c r="S4286" s="22" t="s">
        <v>5105</v>
      </c>
      <c r="T4286" s="51">
        <v>14</v>
      </c>
      <c r="U4286" s="3" t="s">
        <v>5879</v>
      </c>
      <c r="V4286" s="41" t="str">
        <f>HYPERLINK("http://ictvonline.org/taxonomy/p/taxonomy-history?taxnode_id=20184598","ICTVonline=20184598")</f>
        <v>ICTVonline=20184598</v>
      </c>
    </row>
    <row r="4287" spans="1:22">
      <c r="A4287" s="3">
        <v>4286</v>
      </c>
      <c r="L4287" s="1" t="s">
        <v>482</v>
      </c>
      <c r="N4287" s="1" t="s">
        <v>590</v>
      </c>
      <c r="P4287" s="1" t="s">
        <v>2106</v>
      </c>
      <c r="Q4287" s="3">
        <v>0</v>
      </c>
      <c r="R4287" s="22" t="s">
        <v>2766</v>
      </c>
      <c r="S4287" s="22" t="s">
        <v>5099</v>
      </c>
      <c r="T4287" s="51">
        <v>13</v>
      </c>
      <c r="U4287" s="3" t="s">
        <v>5868</v>
      </c>
      <c r="V4287" s="41" t="str">
        <f>HYPERLINK("http://ictvonline.org/taxonomy/p/taxonomy-history?taxnode_id=20184599","ICTVonline=20184599")</f>
        <v>ICTVonline=20184599</v>
      </c>
    </row>
    <row r="4288" spans="1:22">
      <c r="A4288" s="3">
        <v>4287</v>
      </c>
      <c r="L4288" s="1" t="s">
        <v>482</v>
      </c>
      <c r="N4288" s="1" t="s">
        <v>590</v>
      </c>
      <c r="P4288" s="1" t="s">
        <v>2107</v>
      </c>
      <c r="Q4288" s="3">
        <v>0</v>
      </c>
      <c r="R4288" s="22" t="s">
        <v>2766</v>
      </c>
      <c r="S4288" s="22" t="s">
        <v>5099</v>
      </c>
      <c r="T4288" s="51">
        <v>13</v>
      </c>
      <c r="U4288" s="3" t="s">
        <v>5868</v>
      </c>
      <c r="V4288" s="41" t="str">
        <f>HYPERLINK("http://ictvonline.org/taxonomy/p/taxonomy-history?taxnode_id=20184600","ICTVonline=20184600")</f>
        <v>ICTVonline=20184600</v>
      </c>
    </row>
    <row r="4289" spans="1:22">
      <c r="A4289" s="3">
        <v>4288</v>
      </c>
      <c r="L4289" s="1" t="s">
        <v>482</v>
      </c>
      <c r="N4289" s="1" t="s">
        <v>590</v>
      </c>
      <c r="P4289" s="1" t="s">
        <v>2108</v>
      </c>
      <c r="Q4289" s="3">
        <v>0</v>
      </c>
      <c r="R4289" s="22" t="s">
        <v>2766</v>
      </c>
      <c r="S4289" s="22" t="s">
        <v>5099</v>
      </c>
      <c r="T4289" s="51">
        <v>13</v>
      </c>
      <c r="U4289" s="3" t="s">
        <v>5868</v>
      </c>
      <c r="V4289" s="41" t="str">
        <f>HYPERLINK("http://ictvonline.org/taxonomy/p/taxonomy-history?taxnode_id=20184601","ICTVonline=20184601")</f>
        <v>ICTVonline=20184601</v>
      </c>
    </row>
    <row r="4290" spans="1:22">
      <c r="A4290" s="3">
        <v>4289</v>
      </c>
      <c r="L4290" s="1" t="s">
        <v>482</v>
      </c>
      <c r="N4290" s="1" t="s">
        <v>590</v>
      </c>
      <c r="P4290" s="1" t="s">
        <v>2109</v>
      </c>
      <c r="Q4290" s="3">
        <v>0</v>
      </c>
      <c r="R4290" s="22" t="s">
        <v>2766</v>
      </c>
      <c r="S4290" s="22" t="s">
        <v>5099</v>
      </c>
      <c r="T4290" s="51">
        <v>13</v>
      </c>
      <c r="U4290" s="3" t="s">
        <v>5868</v>
      </c>
      <c r="V4290" s="41" t="str">
        <f>HYPERLINK("http://ictvonline.org/taxonomy/p/taxonomy-history?taxnode_id=20184602","ICTVonline=20184602")</f>
        <v>ICTVonline=20184602</v>
      </c>
    </row>
    <row r="4291" spans="1:22">
      <c r="A4291" s="3">
        <v>4290</v>
      </c>
      <c r="L4291" s="1" t="s">
        <v>482</v>
      </c>
      <c r="N4291" s="1" t="s">
        <v>590</v>
      </c>
      <c r="P4291" s="1" t="s">
        <v>2110</v>
      </c>
      <c r="Q4291" s="3">
        <v>0</v>
      </c>
      <c r="R4291" s="22" t="s">
        <v>2766</v>
      </c>
      <c r="S4291" s="22" t="s">
        <v>5097</v>
      </c>
      <c r="T4291" s="51">
        <v>22</v>
      </c>
      <c r="U4291" s="3" t="s">
        <v>6195</v>
      </c>
      <c r="V4291" s="41" t="str">
        <f>HYPERLINK("http://ictvonline.org/taxonomy/p/taxonomy-history?taxnode_id=20184603","ICTVonline=20184603")</f>
        <v>ICTVonline=20184603</v>
      </c>
    </row>
    <row r="4292" spans="1:22">
      <c r="A4292" s="3">
        <v>4291</v>
      </c>
      <c r="L4292" s="1" t="s">
        <v>482</v>
      </c>
      <c r="N4292" s="1" t="s">
        <v>590</v>
      </c>
      <c r="P4292" s="1" t="s">
        <v>2717</v>
      </c>
      <c r="Q4292" s="3">
        <v>0</v>
      </c>
      <c r="R4292" s="22" t="s">
        <v>2766</v>
      </c>
      <c r="S4292" s="22" t="s">
        <v>5097</v>
      </c>
      <c r="T4292" s="51">
        <v>29</v>
      </c>
      <c r="U4292" s="3" t="s">
        <v>6210</v>
      </c>
      <c r="V4292" s="41" t="str">
        <f>HYPERLINK("http://ictvonline.org/taxonomy/p/taxonomy-history?taxnode_id=20184604","ICTVonline=20184604")</f>
        <v>ICTVonline=20184604</v>
      </c>
    </row>
    <row r="4293" spans="1:22">
      <c r="A4293" s="3">
        <v>4292</v>
      </c>
      <c r="L4293" s="1" t="s">
        <v>482</v>
      </c>
      <c r="N4293" s="1" t="s">
        <v>590</v>
      </c>
      <c r="P4293" s="1" t="s">
        <v>2111</v>
      </c>
      <c r="Q4293" s="3">
        <v>0</v>
      </c>
      <c r="R4293" s="22" t="s">
        <v>2766</v>
      </c>
      <c r="S4293" s="22" t="s">
        <v>5097</v>
      </c>
      <c r="T4293" s="51">
        <v>24</v>
      </c>
      <c r="U4293" s="3" t="s">
        <v>6207</v>
      </c>
      <c r="V4293" s="41" t="str">
        <f>HYPERLINK("http://ictvonline.org/taxonomy/p/taxonomy-history?taxnode_id=20184605","ICTVonline=20184605")</f>
        <v>ICTVonline=20184605</v>
      </c>
    </row>
    <row r="4294" spans="1:22">
      <c r="A4294" s="3">
        <v>4293</v>
      </c>
      <c r="L4294" s="1" t="s">
        <v>482</v>
      </c>
      <c r="N4294" s="1" t="s">
        <v>590</v>
      </c>
      <c r="P4294" s="1" t="s">
        <v>6212</v>
      </c>
      <c r="Q4294" s="3">
        <v>0</v>
      </c>
      <c r="R4294" s="22" t="s">
        <v>2766</v>
      </c>
      <c r="S4294" s="22" t="s">
        <v>5097</v>
      </c>
      <c r="T4294" s="51">
        <v>32</v>
      </c>
      <c r="U4294" s="3" t="s">
        <v>6197</v>
      </c>
      <c r="V4294" s="41" t="str">
        <f>HYPERLINK("http://ictvonline.org/taxonomy/p/taxonomy-history?taxnode_id=20185920","ICTVonline=20185920")</f>
        <v>ICTVonline=20185920</v>
      </c>
    </row>
    <row r="4295" spans="1:22">
      <c r="A4295" s="3">
        <v>4294</v>
      </c>
      <c r="L4295" s="1" t="s">
        <v>482</v>
      </c>
      <c r="N4295" s="1" t="s">
        <v>590</v>
      </c>
      <c r="P4295" s="1" t="s">
        <v>2112</v>
      </c>
      <c r="Q4295" s="3">
        <v>0</v>
      </c>
      <c r="R4295" s="22" t="s">
        <v>2766</v>
      </c>
      <c r="S4295" s="22" t="s">
        <v>5099</v>
      </c>
      <c r="T4295" s="51">
        <v>13</v>
      </c>
      <c r="U4295" s="3" t="s">
        <v>5868</v>
      </c>
      <c r="V4295" s="41" t="str">
        <f>HYPERLINK("http://ictvonline.org/taxonomy/p/taxonomy-history?taxnode_id=20184606","ICTVonline=20184606")</f>
        <v>ICTVonline=20184606</v>
      </c>
    </row>
    <row r="4296" spans="1:22">
      <c r="A4296" s="3">
        <v>4295</v>
      </c>
      <c r="L4296" s="1" t="s">
        <v>482</v>
      </c>
      <c r="N4296" s="1" t="s">
        <v>590</v>
      </c>
      <c r="P4296" s="1" t="s">
        <v>2113</v>
      </c>
      <c r="Q4296" s="3">
        <v>0</v>
      </c>
      <c r="R4296" s="22" t="s">
        <v>2766</v>
      </c>
      <c r="S4296" s="22" t="s">
        <v>5099</v>
      </c>
      <c r="T4296" s="51">
        <v>13</v>
      </c>
      <c r="U4296" s="3" t="s">
        <v>5868</v>
      </c>
      <c r="V4296" s="41" t="str">
        <f>HYPERLINK("http://ictvonline.org/taxonomy/p/taxonomy-history?taxnode_id=20184607","ICTVonline=20184607")</f>
        <v>ICTVonline=20184607</v>
      </c>
    </row>
    <row r="4297" spans="1:22">
      <c r="A4297" s="3">
        <v>4296</v>
      </c>
      <c r="L4297" s="1" t="s">
        <v>482</v>
      </c>
      <c r="N4297" s="1" t="s">
        <v>590</v>
      </c>
      <c r="P4297" s="1" t="s">
        <v>2114</v>
      </c>
      <c r="Q4297" s="3">
        <v>0</v>
      </c>
      <c r="R4297" s="22" t="s">
        <v>2766</v>
      </c>
      <c r="S4297" s="22" t="s">
        <v>5097</v>
      </c>
      <c r="T4297" s="51">
        <v>22</v>
      </c>
      <c r="U4297" s="3" t="s">
        <v>6195</v>
      </c>
      <c r="V4297" s="41" t="str">
        <f>HYPERLINK("http://ictvonline.org/taxonomy/p/taxonomy-history?taxnode_id=20184608","ICTVonline=20184608")</f>
        <v>ICTVonline=20184608</v>
      </c>
    </row>
    <row r="4298" spans="1:22">
      <c r="A4298" s="3">
        <v>4297</v>
      </c>
      <c r="L4298" s="1" t="s">
        <v>482</v>
      </c>
      <c r="N4298" s="1" t="s">
        <v>590</v>
      </c>
      <c r="P4298" s="1" t="s">
        <v>4125</v>
      </c>
      <c r="Q4298" s="3">
        <v>0</v>
      </c>
      <c r="R4298" s="22" t="s">
        <v>2766</v>
      </c>
      <c r="S4298" s="22" t="s">
        <v>5097</v>
      </c>
      <c r="T4298" s="51">
        <v>30</v>
      </c>
      <c r="U4298" s="3" t="s">
        <v>6202</v>
      </c>
      <c r="V4298" s="41" t="str">
        <f>HYPERLINK("http://ictvonline.org/taxonomy/p/taxonomy-history?taxnode_id=20184609","ICTVonline=20184609")</f>
        <v>ICTVonline=20184609</v>
      </c>
    </row>
    <row r="4299" spans="1:22">
      <c r="A4299" s="3">
        <v>4298</v>
      </c>
      <c r="L4299" s="1" t="s">
        <v>482</v>
      </c>
      <c r="N4299" s="1" t="s">
        <v>590</v>
      </c>
      <c r="P4299" s="1" t="s">
        <v>2115</v>
      </c>
      <c r="Q4299" s="3">
        <v>0</v>
      </c>
      <c r="R4299" s="22" t="s">
        <v>2766</v>
      </c>
      <c r="S4299" s="22" t="s">
        <v>5097</v>
      </c>
      <c r="T4299" s="51">
        <v>24</v>
      </c>
      <c r="U4299" s="3" t="s">
        <v>6207</v>
      </c>
      <c r="V4299" s="41" t="str">
        <f>HYPERLINK("http://ictvonline.org/taxonomy/p/taxonomy-history?taxnode_id=20184610","ICTVonline=20184610")</f>
        <v>ICTVonline=20184610</v>
      </c>
    </row>
    <row r="4300" spans="1:22">
      <c r="A4300" s="3">
        <v>4299</v>
      </c>
      <c r="L4300" s="1" t="s">
        <v>482</v>
      </c>
      <c r="N4300" s="1" t="s">
        <v>590</v>
      </c>
      <c r="P4300" s="1" t="s">
        <v>2116</v>
      </c>
      <c r="Q4300" s="3">
        <v>0</v>
      </c>
      <c r="R4300" s="22" t="s">
        <v>2766</v>
      </c>
      <c r="S4300" s="22" t="s">
        <v>5097</v>
      </c>
      <c r="T4300" s="51">
        <v>18</v>
      </c>
      <c r="U4300" s="3" t="s">
        <v>5486</v>
      </c>
      <c r="V4300" s="41" t="str">
        <f>HYPERLINK("http://ictvonline.org/taxonomy/p/taxonomy-history?taxnode_id=20184611","ICTVonline=20184611")</f>
        <v>ICTVonline=20184611</v>
      </c>
    </row>
    <row r="4301" spans="1:22">
      <c r="A4301" s="3">
        <v>4300</v>
      </c>
      <c r="L4301" s="1" t="s">
        <v>482</v>
      </c>
      <c r="N4301" s="1" t="s">
        <v>590</v>
      </c>
      <c r="P4301" s="1" t="s">
        <v>2117</v>
      </c>
      <c r="Q4301" s="3">
        <v>0</v>
      </c>
      <c r="R4301" s="22" t="s">
        <v>2766</v>
      </c>
      <c r="S4301" s="22" t="s">
        <v>5097</v>
      </c>
      <c r="T4301" s="51">
        <v>24</v>
      </c>
      <c r="U4301" s="3" t="s">
        <v>6207</v>
      </c>
      <c r="V4301" s="41" t="str">
        <f>HYPERLINK("http://ictvonline.org/taxonomy/p/taxonomy-history?taxnode_id=20184612","ICTVonline=20184612")</f>
        <v>ICTVonline=20184612</v>
      </c>
    </row>
    <row r="4302" spans="1:22">
      <c r="A4302" s="3">
        <v>4301</v>
      </c>
      <c r="L4302" s="1" t="s">
        <v>482</v>
      </c>
      <c r="N4302" s="1" t="s">
        <v>590</v>
      </c>
      <c r="P4302" s="1" t="s">
        <v>2118</v>
      </c>
      <c r="Q4302" s="3">
        <v>0</v>
      </c>
      <c r="R4302" s="22" t="s">
        <v>2766</v>
      </c>
      <c r="S4302" s="22" t="s">
        <v>5105</v>
      </c>
      <c r="T4302" s="51">
        <v>25</v>
      </c>
      <c r="U4302" s="3" t="s">
        <v>6213</v>
      </c>
      <c r="V4302" s="41" t="str">
        <f>HYPERLINK("http://ictvonline.org/taxonomy/p/taxonomy-history?taxnode_id=20184613","ICTVonline=20184613")</f>
        <v>ICTVonline=20184613</v>
      </c>
    </row>
    <row r="4303" spans="1:22">
      <c r="A4303" s="3">
        <v>4302</v>
      </c>
      <c r="L4303" s="1" t="s">
        <v>482</v>
      </c>
      <c r="N4303" s="1" t="s">
        <v>590</v>
      </c>
      <c r="P4303" s="1" t="s">
        <v>2119</v>
      </c>
      <c r="Q4303" s="3">
        <v>0</v>
      </c>
      <c r="R4303" s="22" t="s">
        <v>2766</v>
      </c>
      <c r="S4303" s="22" t="s">
        <v>5097</v>
      </c>
      <c r="T4303" s="51">
        <v>24</v>
      </c>
      <c r="U4303" s="3" t="s">
        <v>6207</v>
      </c>
      <c r="V4303" s="41" t="str">
        <f>HYPERLINK("http://ictvonline.org/taxonomy/p/taxonomy-history?taxnode_id=20184614","ICTVonline=20184614")</f>
        <v>ICTVonline=20184614</v>
      </c>
    </row>
    <row r="4304" spans="1:22">
      <c r="A4304" s="3">
        <v>4303</v>
      </c>
      <c r="L4304" s="1" t="s">
        <v>482</v>
      </c>
      <c r="N4304" s="1" t="s">
        <v>590</v>
      </c>
      <c r="P4304" s="1" t="s">
        <v>2120</v>
      </c>
      <c r="Q4304" s="3">
        <v>0</v>
      </c>
      <c r="R4304" s="22" t="s">
        <v>2766</v>
      </c>
      <c r="S4304" s="22" t="s">
        <v>5099</v>
      </c>
      <c r="T4304" s="51">
        <v>13</v>
      </c>
      <c r="U4304" s="3" t="s">
        <v>5868</v>
      </c>
      <c r="V4304" s="41" t="str">
        <f>HYPERLINK("http://ictvonline.org/taxonomy/p/taxonomy-history?taxnode_id=20184615","ICTVonline=20184615")</f>
        <v>ICTVonline=20184615</v>
      </c>
    </row>
    <row r="4305" spans="1:22">
      <c r="A4305" s="3">
        <v>4304</v>
      </c>
      <c r="L4305" s="1" t="s">
        <v>482</v>
      </c>
      <c r="N4305" s="1" t="s">
        <v>590</v>
      </c>
      <c r="P4305" s="1" t="s">
        <v>2718</v>
      </c>
      <c r="Q4305" s="3">
        <v>0</v>
      </c>
      <c r="R4305" s="22" t="s">
        <v>2766</v>
      </c>
      <c r="S4305" s="22" t="s">
        <v>5097</v>
      </c>
      <c r="T4305" s="51">
        <v>29</v>
      </c>
      <c r="U4305" s="3" t="s">
        <v>6210</v>
      </c>
      <c r="V4305" s="41" t="str">
        <f>HYPERLINK("http://ictvonline.org/taxonomy/p/taxonomy-history?taxnode_id=20184616","ICTVonline=20184616")</f>
        <v>ICTVonline=20184616</v>
      </c>
    </row>
    <row r="4306" spans="1:22">
      <c r="A4306" s="3">
        <v>4305</v>
      </c>
      <c r="L4306" s="1" t="s">
        <v>482</v>
      </c>
      <c r="N4306" s="1" t="s">
        <v>590</v>
      </c>
      <c r="P4306" s="1" t="s">
        <v>2126</v>
      </c>
      <c r="Q4306" s="3">
        <v>0</v>
      </c>
      <c r="R4306" s="22" t="s">
        <v>2766</v>
      </c>
      <c r="S4306" s="22" t="s">
        <v>5097</v>
      </c>
      <c r="T4306" s="51">
        <v>25</v>
      </c>
      <c r="U4306" s="3" t="s">
        <v>6206</v>
      </c>
      <c r="V4306" s="41" t="str">
        <f>HYPERLINK("http://ictvonline.org/taxonomy/p/taxonomy-history?taxnode_id=20184617","ICTVonline=20184617")</f>
        <v>ICTVonline=20184617</v>
      </c>
    </row>
    <row r="4307" spans="1:22">
      <c r="A4307" s="3">
        <v>4306</v>
      </c>
      <c r="L4307" s="1" t="s">
        <v>482</v>
      </c>
      <c r="N4307" s="1" t="s">
        <v>590</v>
      </c>
      <c r="P4307" s="1" t="s">
        <v>531</v>
      </c>
      <c r="Q4307" s="3">
        <v>0</v>
      </c>
      <c r="R4307" s="22" t="s">
        <v>2766</v>
      </c>
      <c r="S4307" s="22" t="s">
        <v>5099</v>
      </c>
      <c r="T4307" s="51">
        <v>13</v>
      </c>
      <c r="U4307" s="3" t="s">
        <v>5868</v>
      </c>
      <c r="V4307" s="41" t="str">
        <f>HYPERLINK("http://ictvonline.org/taxonomy/p/taxonomy-history?taxnode_id=20184618","ICTVonline=20184618")</f>
        <v>ICTVonline=20184618</v>
      </c>
    </row>
    <row r="4308" spans="1:22">
      <c r="A4308" s="3">
        <v>4307</v>
      </c>
      <c r="L4308" s="1" t="s">
        <v>482</v>
      </c>
      <c r="N4308" s="1" t="s">
        <v>590</v>
      </c>
      <c r="P4308" s="1" t="s">
        <v>532</v>
      </c>
      <c r="Q4308" s="3">
        <v>0</v>
      </c>
      <c r="R4308" s="22" t="s">
        <v>2766</v>
      </c>
      <c r="S4308" s="22" t="s">
        <v>5097</v>
      </c>
      <c r="T4308" s="51">
        <v>23</v>
      </c>
      <c r="U4308" s="3" t="s">
        <v>5872</v>
      </c>
      <c r="V4308" s="41" t="str">
        <f>HYPERLINK("http://ictvonline.org/taxonomy/p/taxonomy-history?taxnode_id=20184619","ICTVonline=20184619")</f>
        <v>ICTVonline=20184619</v>
      </c>
    </row>
    <row r="4309" spans="1:22">
      <c r="A4309" s="3">
        <v>4308</v>
      </c>
      <c r="L4309" s="1" t="s">
        <v>482</v>
      </c>
      <c r="N4309" s="1" t="s">
        <v>590</v>
      </c>
      <c r="P4309" s="1" t="s">
        <v>533</v>
      </c>
      <c r="Q4309" s="3">
        <v>0</v>
      </c>
      <c r="R4309" s="22" t="s">
        <v>2766</v>
      </c>
      <c r="S4309" s="22" t="s">
        <v>5099</v>
      </c>
      <c r="T4309" s="51">
        <v>13</v>
      </c>
      <c r="U4309" s="3" t="s">
        <v>5868</v>
      </c>
      <c r="V4309" s="41" t="str">
        <f>HYPERLINK("http://ictvonline.org/taxonomy/p/taxonomy-history?taxnode_id=20184620","ICTVonline=20184620")</f>
        <v>ICTVonline=20184620</v>
      </c>
    </row>
    <row r="4310" spans="1:22">
      <c r="A4310" s="3">
        <v>4309</v>
      </c>
      <c r="L4310" s="1" t="s">
        <v>482</v>
      </c>
      <c r="N4310" s="1" t="s">
        <v>590</v>
      </c>
      <c r="P4310" s="1" t="s">
        <v>534</v>
      </c>
      <c r="Q4310" s="3">
        <v>0</v>
      </c>
      <c r="R4310" s="22" t="s">
        <v>2766</v>
      </c>
      <c r="S4310" s="22" t="s">
        <v>5097</v>
      </c>
      <c r="T4310" s="51">
        <v>17</v>
      </c>
      <c r="U4310" s="3" t="s">
        <v>5823</v>
      </c>
      <c r="V4310" s="41" t="str">
        <f>HYPERLINK("http://ictvonline.org/taxonomy/p/taxonomy-history?taxnode_id=20184621","ICTVonline=20184621")</f>
        <v>ICTVonline=20184621</v>
      </c>
    </row>
    <row r="4311" spans="1:22">
      <c r="A4311" s="3">
        <v>4310</v>
      </c>
      <c r="L4311" s="1" t="s">
        <v>482</v>
      </c>
      <c r="N4311" s="1" t="s">
        <v>590</v>
      </c>
      <c r="P4311" s="1" t="s">
        <v>6214</v>
      </c>
      <c r="Q4311" s="3">
        <v>0</v>
      </c>
      <c r="R4311" s="22" t="s">
        <v>2766</v>
      </c>
      <c r="S4311" s="22" t="s">
        <v>5097</v>
      </c>
      <c r="T4311" s="51">
        <v>32</v>
      </c>
      <c r="U4311" s="3" t="s">
        <v>6197</v>
      </c>
      <c r="V4311" s="41" t="str">
        <f>HYPERLINK("http://ictvonline.org/taxonomy/p/taxonomy-history?taxnode_id=20185921","ICTVonline=20185921")</f>
        <v>ICTVonline=20185921</v>
      </c>
    </row>
    <row r="4312" spans="1:22">
      <c r="A4312" s="3">
        <v>4311</v>
      </c>
      <c r="L4312" s="1" t="s">
        <v>482</v>
      </c>
      <c r="N4312" s="1" t="s">
        <v>590</v>
      </c>
      <c r="P4312" s="1" t="s">
        <v>535</v>
      </c>
      <c r="Q4312" s="3">
        <v>0</v>
      </c>
      <c r="R4312" s="22" t="s">
        <v>2766</v>
      </c>
      <c r="S4312" s="22" t="s">
        <v>5099</v>
      </c>
      <c r="T4312" s="51">
        <v>13</v>
      </c>
      <c r="U4312" s="3" t="s">
        <v>5868</v>
      </c>
      <c r="V4312" s="41" t="str">
        <f>HYPERLINK("http://ictvonline.org/taxonomy/p/taxonomy-history?taxnode_id=20184622","ICTVonline=20184622")</f>
        <v>ICTVonline=20184622</v>
      </c>
    </row>
    <row r="4313" spans="1:22">
      <c r="A4313" s="3">
        <v>4312</v>
      </c>
      <c r="L4313" s="1" t="s">
        <v>482</v>
      </c>
      <c r="N4313" s="1" t="s">
        <v>590</v>
      </c>
      <c r="P4313" s="1" t="s">
        <v>536</v>
      </c>
      <c r="Q4313" s="3">
        <v>0</v>
      </c>
      <c r="R4313" s="22" t="s">
        <v>2766</v>
      </c>
      <c r="S4313" s="22" t="s">
        <v>5099</v>
      </c>
      <c r="T4313" s="51">
        <v>13</v>
      </c>
      <c r="U4313" s="3" t="s">
        <v>5868</v>
      </c>
      <c r="V4313" s="41" t="str">
        <f>HYPERLINK("http://ictvonline.org/taxonomy/p/taxonomy-history?taxnode_id=20184623","ICTVonline=20184623")</f>
        <v>ICTVonline=20184623</v>
      </c>
    </row>
    <row r="4314" spans="1:22">
      <c r="A4314" s="3">
        <v>4313</v>
      </c>
      <c r="L4314" s="1" t="s">
        <v>482</v>
      </c>
      <c r="N4314" s="1" t="s">
        <v>590</v>
      </c>
      <c r="P4314" s="1" t="s">
        <v>537</v>
      </c>
      <c r="Q4314" s="3">
        <v>0</v>
      </c>
      <c r="R4314" s="22" t="s">
        <v>2766</v>
      </c>
      <c r="S4314" s="22" t="s">
        <v>5099</v>
      </c>
      <c r="T4314" s="51">
        <v>13</v>
      </c>
      <c r="U4314" s="3" t="s">
        <v>5868</v>
      </c>
      <c r="V4314" s="41" t="str">
        <f>HYPERLINK("http://ictvonline.org/taxonomy/p/taxonomy-history?taxnode_id=20184624","ICTVonline=20184624")</f>
        <v>ICTVonline=20184624</v>
      </c>
    </row>
    <row r="4315" spans="1:22">
      <c r="A4315" s="3">
        <v>4314</v>
      </c>
      <c r="L4315" s="1" t="s">
        <v>482</v>
      </c>
      <c r="N4315" s="1" t="s">
        <v>590</v>
      </c>
      <c r="P4315" s="1" t="s">
        <v>538</v>
      </c>
      <c r="Q4315" s="3">
        <v>0</v>
      </c>
      <c r="R4315" s="22" t="s">
        <v>2766</v>
      </c>
      <c r="S4315" s="22" t="s">
        <v>5097</v>
      </c>
      <c r="T4315" s="51">
        <v>22</v>
      </c>
      <c r="U4315" s="3" t="s">
        <v>6195</v>
      </c>
      <c r="V4315" s="41" t="str">
        <f>HYPERLINK("http://ictvonline.org/taxonomy/p/taxonomy-history?taxnode_id=20184625","ICTVonline=20184625")</f>
        <v>ICTVonline=20184625</v>
      </c>
    </row>
    <row r="4316" spans="1:22">
      <c r="A4316" s="3">
        <v>4315</v>
      </c>
      <c r="L4316" s="1" t="s">
        <v>482</v>
      </c>
      <c r="N4316" s="1" t="s">
        <v>590</v>
      </c>
      <c r="P4316" s="1" t="s">
        <v>4996</v>
      </c>
      <c r="Q4316" s="3">
        <v>0</v>
      </c>
      <c r="R4316" s="22" t="s">
        <v>2766</v>
      </c>
      <c r="S4316" s="22" t="s">
        <v>5097</v>
      </c>
      <c r="T4316" s="51">
        <v>31</v>
      </c>
      <c r="U4316" s="3" t="s">
        <v>6215</v>
      </c>
      <c r="V4316" s="41" t="str">
        <f>HYPERLINK("http://ictvonline.org/taxonomy/p/taxonomy-history?taxnode_id=20184626","ICTVonline=20184626")</f>
        <v>ICTVonline=20184626</v>
      </c>
    </row>
    <row r="4317" spans="1:22">
      <c r="A4317" s="3">
        <v>4316</v>
      </c>
      <c r="L4317" s="1" t="s">
        <v>482</v>
      </c>
      <c r="N4317" s="1" t="s">
        <v>590</v>
      </c>
      <c r="P4317" s="1" t="s">
        <v>539</v>
      </c>
      <c r="Q4317" s="3">
        <v>0</v>
      </c>
      <c r="R4317" s="22" t="s">
        <v>2766</v>
      </c>
      <c r="S4317" s="22" t="s">
        <v>5099</v>
      </c>
      <c r="T4317" s="51">
        <v>13</v>
      </c>
      <c r="U4317" s="3" t="s">
        <v>5868</v>
      </c>
      <c r="V4317" s="41" t="str">
        <f>HYPERLINK("http://ictvonline.org/taxonomy/p/taxonomy-history?taxnode_id=20184627","ICTVonline=20184627")</f>
        <v>ICTVonline=20184627</v>
      </c>
    </row>
    <row r="4318" spans="1:22">
      <c r="A4318" s="3">
        <v>4317</v>
      </c>
      <c r="L4318" s="1" t="s">
        <v>482</v>
      </c>
      <c r="N4318" s="1" t="s">
        <v>590</v>
      </c>
      <c r="P4318" s="1" t="s">
        <v>6216</v>
      </c>
      <c r="Q4318" s="3">
        <v>0</v>
      </c>
      <c r="R4318" s="22" t="s">
        <v>2766</v>
      </c>
      <c r="S4318" s="22" t="s">
        <v>5097</v>
      </c>
      <c r="T4318" s="51">
        <v>18</v>
      </c>
      <c r="U4318" s="3" t="s">
        <v>5486</v>
      </c>
      <c r="V4318" s="41" t="str">
        <f>HYPERLINK("http://ictvonline.org/taxonomy/p/taxonomy-history?taxnode_id=20184628","ICTVonline=20184628")</f>
        <v>ICTVonline=20184628</v>
      </c>
    </row>
    <row r="4319" spans="1:22">
      <c r="A4319" s="3">
        <v>4318</v>
      </c>
      <c r="L4319" s="1" t="s">
        <v>482</v>
      </c>
      <c r="N4319" s="1" t="s">
        <v>590</v>
      </c>
      <c r="P4319" s="1" t="s">
        <v>2719</v>
      </c>
      <c r="Q4319" s="3">
        <v>0</v>
      </c>
      <c r="R4319" s="22" t="s">
        <v>2766</v>
      </c>
      <c r="S4319" s="22" t="s">
        <v>5097</v>
      </c>
      <c r="T4319" s="51">
        <v>29</v>
      </c>
      <c r="U4319" s="3" t="s">
        <v>6210</v>
      </c>
      <c r="V4319" s="41" t="str">
        <f>HYPERLINK("http://ictvonline.org/taxonomy/p/taxonomy-history?taxnode_id=20184629","ICTVonline=20184629")</f>
        <v>ICTVonline=20184629</v>
      </c>
    </row>
    <row r="4320" spans="1:22">
      <c r="A4320" s="3">
        <v>4319</v>
      </c>
      <c r="L4320" s="1" t="s">
        <v>482</v>
      </c>
      <c r="N4320" s="1" t="s">
        <v>590</v>
      </c>
      <c r="P4320" s="1" t="s">
        <v>540</v>
      </c>
      <c r="Q4320" s="3">
        <v>0</v>
      </c>
      <c r="R4320" s="22" t="s">
        <v>2766</v>
      </c>
      <c r="S4320" s="22" t="s">
        <v>5105</v>
      </c>
      <c r="T4320" s="51">
        <v>24</v>
      </c>
      <c r="U4320" s="3" t="s">
        <v>6217</v>
      </c>
      <c r="V4320" s="41" t="str">
        <f>HYPERLINK("http://ictvonline.org/taxonomy/p/taxonomy-history?taxnode_id=20184630","ICTVonline=20184630")</f>
        <v>ICTVonline=20184630</v>
      </c>
    </row>
    <row r="4321" spans="1:22">
      <c r="A4321" s="3">
        <v>4320</v>
      </c>
      <c r="L4321" s="1" t="s">
        <v>482</v>
      </c>
      <c r="N4321" s="1" t="s">
        <v>590</v>
      </c>
      <c r="P4321" s="1" t="s">
        <v>541</v>
      </c>
      <c r="Q4321" s="3">
        <v>0</v>
      </c>
      <c r="R4321" s="22" t="s">
        <v>2766</v>
      </c>
      <c r="S4321" s="22" t="s">
        <v>5099</v>
      </c>
      <c r="T4321" s="51">
        <v>13</v>
      </c>
      <c r="U4321" s="3" t="s">
        <v>5868</v>
      </c>
      <c r="V4321" s="41" t="str">
        <f>HYPERLINK("http://ictvonline.org/taxonomy/p/taxonomy-history?taxnode_id=20184631","ICTVonline=20184631")</f>
        <v>ICTVonline=20184631</v>
      </c>
    </row>
    <row r="4322" spans="1:22">
      <c r="A4322" s="3">
        <v>4321</v>
      </c>
      <c r="L4322" s="1" t="s">
        <v>482</v>
      </c>
      <c r="N4322" s="1" t="s">
        <v>590</v>
      </c>
      <c r="P4322" s="1" t="s">
        <v>4997</v>
      </c>
      <c r="Q4322" s="3">
        <v>0</v>
      </c>
      <c r="R4322" s="22" t="s">
        <v>2766</v>
      </c>
      <c r="S4322" s="22" t="s">
        <v>5097</v>
      </c>
      <c r="T4322" s="51">
        <v>31</v>
      </c>
      <c r="U4322" s="3" t="s">
        <v>6215</v>
      </c>
      <c r="V4322" s="41" t="str">
        <f>HYPERLINK("http://ictvonline.org/taxonomy/p/taxonomy-history?taxnode_id=20184632","ICTVonline=20184632")</f>
        <v>ICTVonline=20184632</v>
      </c>
    </row>
    <row r="4323" spans="1:22">
      <c r="A4323" s="3">
        <v>4322</v>
      </c>
      <c r="L4323" s="1" t="s">
        <v>482</v>
      </c>
      <c r="N4323" s="1" t="s">
        <v>590</v>
      </c>
      <c r="P4323" s="1" t="s">
        <v>542</v>
      </c>
      <c r="Q4323" s="3">
        <v>0</v>
      </c>
      <c r="R4323" s="22" t="s">
        <v>2766</v>
      </c>
      <c r="S4323" s="22" t="s">
        <v>5099</v>
      </c>
      <c r="T4323" s="51">
        <v>13</v>
      </c>
      <c r="U4323" s="3" t="s">
        <v>5868</v>
      </c>
      <c r="V4323" s="41" t="str">
        <f>HYPERLINK("http://ictvonline.org/taxonomy/p/taxonomy-history?taxnode_id=20184633","ICTVonline=20184633")</f>
        <v>ICTVonline=20184633</v>
      </c>
    </row>
    <row r="4324" spans="1:22">
      <c r="A4324" s="3">
        <v>4323</v>
      </c>
      <c r="L4324" s="1" t="s">
        <v>482</v>
      </c>
      <c r="N4324" s="1" t="s">
        <v>590</v>
      </c>
      <c r="P4324" s="1" t="s">
        <v>543</v>
      </c>
      <c r="Q4324" s="3">
        <v>0</v>
      </c>
      <c r="R4324" s="22" t="s">
        <v>2766</v>
      </c>
      <c r="S4324" s="22" t="s">
        <v>5097</v>
      </c>
      <c r="T4324" s="51">
        <v>18</v>
      </c>
      <c r="U4324" s="3" t="s">
        <v>5486</v>
      </c>
      <c r="V4324" s="41" t="str">
        <f>HYPERLINK("http://ictvonline.org/taxonomy/p/taxonomy-history?taxnode_id=20184634","ICTVonline=20184634")</f>
        <v>ICTVonline=20184634</v>
      </c>
    </row>
    <row r="4325" spans="1:22">
      <c r="A4325" s="3">
        <v>4324</v>
      </c>
      <c r="L4325" s="1" t="s">
        <v>482</v>
      </c>
      <c r="N4325" s="1" t="s">
        <v>590</v>
      </c>
      <c r="P4325" s="1" t="s">
        <v>2720</v>
      </c>
      <c r="Q4325" s="3">
        <v>0</v>
      </c>
      <c r="R4325" s="22" t="s">
        <v>2766</v>
      </c>
      <c r="S4325" s="22" t="s">
        <v>5097</v>
      </c>
      <c r="T4325" s="51">
        <v>29</v>
      </c>
      <c r="U4325" s="3" t="s">
        <v>6210</v>
      </c>
      <c r="V4325" s="41" t="str">
        <f>HYPERLINK("http://ictvonline.org/taxonomy/p/taxonomy-history?taxnode_id=20184635","ICTVonline=20184635")</f>
        <v>ICTVonline=20184635</v>
      </c>
    </row>
    <row r="4326" spans="1:22">
      <c r="A4326" s="3">
        <v>4325</v>
      </c>
      <c r="L4326" s="1" t="s">
        <v>482</v>
      </c>
      <c r="N4326" s="1" t="s">
        <v>590</v>
      </c>
      <c r="P4326" s="1" t="s">
        <v>544</v>
      </c>
      <c r="Q4326" s="3">
        <v>0</v>
      </c>
      <c r="R4326" s="22" t="s">
        <v>2766</v>
      </c>
      <c r="S4326" s="22" t="s">
        <v>5097</v>
      </c>
      <c r="T4326" s="51">
        <v>22</v>
      </c>
      <c r="U4326" s="3" t="s">
        <v>6195</v>
      </c>
      <c r="V4326" s="41" t="str">
        <f>HYPERLINK("http://ictvonline.org/taxonomy/p/taxonomy-history?taxnode_id=20184636","ICTVonline=20184636")</f>
        <v>ICTVonline=20184636</v>
      </c>
    </row>
    <row r="4327" spans="1:22">
      <c r="A4327" s="3">
        <v>4326</v>
      </c>
      <c r="L4327" s="1" t="s">
        <v>482</v>
      </c>
      <c r="N4327" s="1" t="s">
        <v>590</v>
      </c>
      <c r="P4327" s="1" t="s">
        <v>889</v>
      </c>
      <c r="Q4327" s="3">
        <v>0</v>
      </c>
      <c r="R4327" s="22" t="s">
        <v>2766</v>
      </c>
      <c r="S4327" s="22" t="s">
        <v>5099</v>
      </c>
      <c r="T4327" s="51">
        <v>13</v>
      </c>
      <c r="U4327" s="3" t="s">
        <v>5868</v>
      </c>
      <c r="V4327" s="41" t="str">
        <f>HYPERLINK("http://ictvonline.org/taxonomy/p/taxonomy-history?taxnode_id=20184637","ICTVonline=20184637")</f>
        <v>ICTVonline=20184637</v>
      </c>
    </row>
    <row r="4328" spans="1:22">
      <c r="A4328" s="3">
        <v>4327</v>
      </c>
      <c r="L4328" s="1" t="s">
        <v>482</v>
      </c>
      <c r="N4328" s="1" t="s">
        <v>590</v>
      </c>
      <c r="P4328" s="1" t="s">
        <v>2151</v>
      </c>
      <c r="Q4328" s="3">
        <v>0</v>
      </c>
      <c r="R4328" s="22" t="s">
        <v>2766</v>
      </c>
      <c r="S4328" s="22" t="s">
        <v>5097</v>
      </c>
      <c r="T4328" s="51">
        <v>25</v>
      </c>
      <c r="U4328" s="3" t="s">
        <v>6208</v>
      </c>
      <c r="V4328" s="41" t="str">
        <f>HYPERLINK("http://ictvonline.org/taxonomy/p/taxonomy-history?taxnode_id=20184638","ICTVonline=20184638")</f>
        <v>ICTVonline=20184638</v>
      </c>
    </row>
    <row r="4329" spans="1:22">
      <c r="A4329" s="3">
        <v>4328</v>
      </c>
      <c r="L4329" s="1" t="s">
        <v>482</v>
      </c>
      <c r="N4329" s="1" t="s">
        <v>590</v>
      </c>
      <c r="P4329" s="1" t="s">
        <v>890</v>
      </c>
      <c r="Q4329" s="3">
        <v>0</v>
      </c>
      <c r="R4329" s="22" t="s">
        <v>2766</v>
      </c>
      <c r="S4329" s="22" t="s">
        <v>5097</v>
      </c>
      <c r="T4329" s="51">
        <v>24</v>
      </c>
      <c r="U4329" s="3" t="s">
        <v>6207</v>
      </c>
      <c r="V4329" s="41" t="str">
        <f>HYPERLINK("http://ictvonline.org/taxonomy/p/taxonomy-history?taxnode_id=20184639","ICTVonline=20184639")</f>
        <v>ICTVonline=20184639</v>
      </c>
    </row>
    <row r="4330" spans="1:22">
      <c r="A4330" s="3">
        <v>4329</v>
      </c>
      <c r="L4330" s="1" t="s">
        <v>482</v>
      </c>
      <c r="N4330" s="1" t="s">
        <v>590</v>
      </c>
      <c r="P4330" s="1" t="s">
        <v>891</v>
      </c>
      <c r="Q4330" s="3">
        <v>0</v>
      </c>
      <c r="R4330" s="22" t="s">
        <v>2766</v>
      </c>
      <c r="S4330" s="22" t="s">
        <v>5097</v>
      </c>
      <c r="T4330" s="51">
        <v>18</v>
      </c>
      <c r="U4330" s="3" t="s">
        <v>5486</v>
      </c>
      <c r="V4330" s="41" t="str">
        <f>HYPERLINK("http://ictvonline.org/taxonomy/p/taxonomy-history?taxnode_id=20184640","ICTVonline=20184640")</f>
        <v>ICTVonline=20184640</v>
      </c>
    </row>
    <row r="4331" spans="1:22">
      <c r="A4331" s="3">
        <v>4330</v>
      </c>
      <c r="L4331" s="1" t="s">
        <v>482</v>
      </c>
      <c r="N4331" s="1" t="s">
        <v>590</v>
      </c>
      <c r="P4331" s="1" t="s">
        <v>967</v>
      </c>
      <c r="Q4331" s="3">
        <v>0</v>
      </c>
      <c r="R4331" s="22" t="s">
        <v>2766</v>
      </c>
      <c r="S4331" s="22" t="s">
        <v>5099</v>
      </c>
      <c r="T4331" s="51">
        <v>13</v>
      </c>
      <c r="U4331" s="3" t="s">
        <v>5868</v>
      </c>
      <c r="V4331" s="41" t="str">
        <f>HYPERLINK("http://ictvonline.org/taxonomy/p/taxonomy-history?taxnode_id=20184641","ICTVonline=20184641")</f>
        <v>ICTVonline=20184641</v>
      </c>
    </row>
    <row r="4332" spans="1:22">
      <c r="A4332" s="3">
        <v>4331</v>
      </c>
      <c r="L4332" s="1" t="s">
        <v>482</v>
      </c>
      <c r="N4332" s="1" t="s">
        <v>590</v>
      </c>
      <c r="P4332" s="1" t="s">
        <v>968</v>
      </c>
      <c r="Q4332" s="3">
        <v>0</v>
      </c>
      <c r="R4332" s="22" t="s">
        <v>2766</v>
      </c>
      <c r="S4332" s="22" t="s">
        <v>5097</v>
      </c>
      <c r="T4332" s="51">
        <v>17</v>
      </c>
      <c r="U4332" s="3" t="s">
        <v>5823</v>
      </c>
      <c r="V4332" s="41" t="str">
        <f>HYPERLINK("http://ictvonline.org/taxonomy/p/taxonomy-history?taxnode_id=20184642","ICTVonline=20184642")</f>
        <v>ICTVonline=20184642</v>
      </c>
    </row>
    <row r="4333" spans="1:22">
      <c r="A4333" s="3">
        <v>4332</v>
      </c>
      <c r="L4333" s="1" t="s">
        <v>482</v>
      </c>
      <c r="N4333" s="1" t="s">
        <v>590</v>
      </c>
      <c r="P4333" s="1" t="s">
        <v>969</v>
      </c>
      <c r="Q4333" s="3">
        <v>0</v>
      </c>
      <c r="R4333" s="22" t="s">
        <v>2766</v>
      </c>
      <c r="S4333" s="22" t="s">
        <v>5099</v>
      </c>
      <c r="T4333" s="51">
        <v>13</v>
      </c>
      <c r="U4333" s="3" t="s">
        <v>5868</v>
      </c>
      <c r="V4333" s="41" t="str">
        <f>HYPERLINK("http://ictvonline.org/taxonomy/p/taxonomy-history?taxnode_id=20184643","ICTVonline=20184643")</f>
        <v>ICTVonline=20184643</v>
      </c>
    </row>
    <row r="4334" spans="1:22">
      <c r="A4334" s="3">
        <v>4333</v>
      </c>
      <c r="L4334" s="1" t="s">
        <v>482</v>
      </c>
      <c r="N4334" s="1" t="s">
        <v>590</v>
      </c>
      <c r="P4334" s="1" t="s">
        <v>970</v>
      </c>
      <c r="Q4334" s="3">
        <v>0</v>
      </c>
      <c r="R4334" s="22" t="s">
        <v>2766</v>
      </c>
      <c r="S4334" s="22" t="s">
        <v>5097</v>
      </c>
      <c r="T4334" s="51">
        <v>17</v>
      </c>
      <c r="U4334" s="3" t="s">
        <v>5823</v>
      </c>
      <c r="V4334" s="41" t="str">
        <f>HYPERLINK("http://ictvonline.org/taxonomy/p/taxonomy-history?taxnode_id=20184644","ICTVonline=20184644")</f>
        <v>ICTVonline=20184644</v>
      </c>
    </row>
    <row r="4335" spans="1:22">
      <c r="A4335" s="3">
        <v>4334</v>
      </c>
      <c r="L4335" s="1" t="s">
        <v>482</v>
      </c>
      <c r="N4335" s="1" t="s">
        <v>590</v>
      </c>
      <c r="P4335" s="1" t="s">
        <v>895</v>
      </c>
      <c r="Q4335" s="3">
        <v>0</v>
      </c>
      <c r="R4335" s="22" t="s">
        <v>2766</v>
      </c>
      <c r="S4335" s="22" t="s">
        <v>5099</v>
      </c>
      <c r="T4335" s="51">
        <v>13</v>
      </c>
      <c r="U4335" s="3" t="s">
        <v>5868</v>
      </c>
      <c r="V4335" s="41" t="str">
        <f>HYPERLINK("http://ictvonline.org/taxonomy/p/taxonomy-history?taxnode_id=20184645","ICTVonline=20184645")</f>
        <v>ICTVonline=20184645</v>
      </c>
    </row>
    <row r="4336" spans="1:22">
      <c r="A4336" s="3">
        <v>4335</v>
      </c>
      <c r="L4336" s="1" t="s">
        <v>482</v>
      </c>
      <c r="N4336" s="1" t="s">
        <v>590</v>
      </c>
      <c r="P4336" s="1" t="s">
        <v>896</v>
      </c>
      <c r="Q4336" s="3">
        <v>0</v>
      </c>
      <c r="R4336" s="22" t="s">
        <v>2766</v>
      </c>
      <c r="S4336" s="22" t="s">
        <v>5099</v>
      </c>
      <c r="T4336" s="51">
        <v>13</v>
      </c>
      <c r="U4336" s="3" t="s">
        <v>5868</v>
      </c>
      <c r="V4336" s="41" t="str">
        <f>HYPERLINK("http://ictvonline.org/taxonomy/p/taxonomy-history?taxnode_id=20184646","ICTVonline=20184646")</f>
        <v>ICTVonline=20184646</v>
      </c>
    </row>
    <row r="4337" spans="1:22">
      <c r="A4337" s="3">
        <v>4336</v>
      </c>
      <c r="L4337" s="1" t="s">
        <v>482</v>
      </c>
      <c r="N4337" s="1" t="s">
        <v>590</v>
      </c>
      <c r="P4337" s="1" t="s">
        <v>897</v>
      </c>
      <c r="Q4337" s="3">
        <v>0</v>
      </c>
      <c r="R4337" s="22" t="s">
        <v>2766</v>
      </c>
      <c r="S4337" s="22" t="s">
        <v>5099</v>
      </c>
      <c r="T4337" s="51">
        <v>13</v>
      </c>
      <c r="U4337" s="3" t="s">
        <v>5868</v>
      </c>
      <c r="V4337" s="41" t="str">
        <f>HYPERLINK("http://ictvonline.org/taxonomy/p/taxonomy-history?taxnode_id=20184647","ICTVonline=20184647")</f>
        <v>ICTVonline=20184647</v>
      </c>
    </row>
    <row r="4338" spans="1:22">
      <c r="A4338" s="3">
        <v>4337</v>
      </c>
      <c r="L4338" s="1" t="s">
        <v>482</v>
      </c>
      <c r="N4338" s="1" t="s">
        <v>590</v>
      </c>
      <c r="P4338" s="1" t="s">
        <v>973</v>
      </c>
      <c r="Q4338" s="3">
        <v>0</v>
      </c>
      <c r="R4338" s="22" t="s">
        <v>2766</v>
      </c>
      <c r="S4338" s="22" t="s">
        <v>5097</v>
      </c>
      <c r="T4338" s="51">
        <v>22</v>
      </c>
      <c r="U4338" s="3" t="s">
        <v>6195</v>
      </c>
      <c r="V4338" s="41" t="str">
        <f>HYPERLINK("http://ictvonline.org/taxonomy/p/taxonomy-history?taxnode_id=20184648","ICTVonline=20184648")</f>
        <v>ICTVonline=20184648</v>
      </c>
    </row>
    <row r="4339" spans="1:22">
      <c r="A4339" s="3">
        <v>4338</v>
      </c>
      <c r="L4339" s="1" t="s">
        <v>482</v>
      </c>
      <c r="N4339" s="1" t="s">
        <v>590</v>
      </c>
      <c r="P4339" s="1" t="s">
        <v>974</v>
      </c>
      <c r="Q4339" s="3">
        <v>0</v>
      </c>
      <c r="R4339" s="22" t="s">
        <v>2766</v>
      </c>
      <c r="S4339" s="22" t="s">
        <v>5097</v>
      </c>
      <c r="T4339" s="51">
        <v>22</v>
      </c>
      <c r="U4339" s="3" t="s">
        <v>6195</v>
      </c>
      <c r="V4339" s="41" t="str">
        <f>HYPERLINK("http://ictvonline.org/taxonomy/p/taxonomy-history?taxnode_id=20184649","ICTVonline=20184649")</f>
        <v>ICTVonline=20184649</v>
      </c>
    </row>
    <row r="4340" spans="1:22">
      <c r="A4340" s="3">
        <v>4339</v>
      </c>
      <c r="L4340" s="1" t="s">
        <v>482</v>
      </c>
      <c r="N4340" s="1" t="s">
        <v>590</v>
      </c>
      <c r="P4340" s="1" t="s">
        <v>2721</v>
      </c>
      <c r="Q4340" s="3">
        <v>0</v>
      </c>
      <c r="R4340" s="22" t="s">
        <v>2766</v>
      </c>
      <c r="S4340" s="22" t="s">
        <v>5097</v>
      </c>
      <c r="T4340" s="51">
        <v>29</v>
      </c>
      <c r="U4340" s="3" t="s">
        <v>6210</v>
      </c>
      <c r="V4340" s="41" t="str">
        <f>HYPERLINK("http://ictvonline.org/taxonomy/p/taxonomy-history?taxnode_id=20184650","ICTVonline=20184650")</f>
        <v>ICTVonline=20184650</v>
      </c>
    </row>
    <row r="4341" spans="1:22">
      <c r="A4341" s="3">
        <v>4340</v>
      </c>
      <c r="L4341" s="1" t="s">
        <v>482</v>
      </c>
      <c r="N4341" s="1" t="s">
        <v>590</v>
      </c>
      <c r="P4341" s="1" t="s">
        <v>975</v>
      </c>
      <c r="Q4341" s="3">
        <v>0</v>
      </c>
      <c r="R4341" s="22" t="s">
        <v>2766</v>
      </c>
      <c r="S4341" s="22" t="s">
        <v>5097</v>
      </c>
      <c r="T4341" s="51">
        <v>22</v>
      </c>
      <c r="U4341" s="3" t="s">
        <v>6195</v>
      </c>
      <c r="V4341" s="41" t="str">
        <f>HYPERLINK("http://ictvonline.org/taxonomy/p/taxonomy-history?taxnode_id=20184651","ICTVonline=20184651")</f>
        <v>ICTVonline=20184651</v>
      </c>
    </row>
    <row r="4342" spans="1:22">
      <c r="A4342" s="3">
        <v>4341</v>
      </c>
      <c r="L4342" s="1" t="s">
        <v>482</v>
      </c>
      <c r="N4342" s="1" t="s">
        <v>590</v>
      </c>
      <c r="P4342" s="1" t="s">
        <v>976</v>
      </c>
      <c r="Q4342" s="3">
        <v>0</v>
      </c>
      <c r="R4342" s="22" t="s">
        <v>2766</v>
      </c>
      <c r="S4342" s="22" t="s">
        <v>5099</v>
      </c>
      <c r="T4342" s="51">
        <v>13</v>
      </c>
      <c r="U4342" s="3" t="s">
        <v>5868</v>
      </c>
      <c r="V4342" s="41" t="str">
        <f>HYPERLINK("http://ictvonline.org/taxonomy/p/taxonomy-history?taxnode_id=20184652","ICTVonline=20184652")</f>
        <v>ICTVonline=20184652</v>
      </c>
    </row>
    <row r="4343" spans="1:22">
      <c r="A4343" s="3">
        <v>4342</v>
      </c>
      <c r="L4343" s="1" t="s">
        <v>482</v>
      </c>
      <c r="N4343" s="1" t="s">
        <v>590</v>
      </c>
      <c r="P4343" s="1" t="s">
        <v>977</v>
      </c>
      <c r="Q4343" s="3">
        <v>0</v>
      </c>
      <c r="R4343" s="22" t="s">
        <v>2766</v>
      </c>
      <c r="S4343" s="22" t="s">
        <v>5099</v>
      </c>
      <c r="T4343" s="51">
        <v>13</v>
      </c>
      <c r="U4343" s="3" t="s">
        <v>5868</v>
      </c>
      <c r="V4343" s="41" t="str">
        <f>HYPERLINK("http://ictvonline.org/taxonomy/p/taxonomy-history?taxnode_id=20184653","ICTVonline=20184653")</f>
        <v>ICTVonline=20184653</v>
      </c>
    </row>
    <row r="4344" spans="1:22">
      <c r="A4344" s="3">
        <v>4343</v>
      </c>
      <c r="L4344" s="1" t="s">
        <v>482</v>
      </c>
      <c r="N4344" s="1" t="s">
        <v>590</v>
      </c>
      <c r="P4344" s="1" t="s">
        <v>978</v>
      </c>
      <c r="Q4344" s="3">
        <v>0</v>
      </c>
      <c r="R4344" s="22" t="s">
        <v>2766</v>
      </c>
      <c r="S4344" s="22" t="s">
        <v>5097</v>
      </c>
      <c r="T4344" s="51">
        <v>24</v>
      </c>
      <c r="U4344" s="3" t="s">
        <v>6207</v>
      </c>
      <c r="V4344" s="41" t="str">
        <f>HYPERLINK("http://ictvonline.org/taxonomy/p/taxonomy-history?taxnode_id=20184654","ICTVonline=20184654")</f>
        <v>ICTVonline=20184654</v>
      </c>
    </row>
    <row r="4345" spans="1:22">
      <c r="A4345" s="3">
        <v>4344</v>
      </c>
      <c r="L4345" s="1" t="s">
        <v>482</v>
      </c>
      <c r="N4345" s="1" t="s">
        <v>590</v>
      </c>
      <c r="P4345" s="1" t="s">
        <v>979</v>
      </c>
      <c r="Q4345" s="3">
        <v>0</v>
      </c>
      <c r="R4345" s="22" t="s">
        <v>2766</v>
      </c>
      <c r="S4345" s="22" t="s">
        <v>5100</v>
      </c>
      <c r="T4345" s="51">
        <v>18</v>
      </c>
      <c r="U4345" s="3" t="s">
        <v>5486</v>
      </c>
      <c r="V4345" s="41" t="str">
        <f>HYPERLINK("http://ictvonline.org/taxonomy/p/taxonomy-history?taxnode_id=20184655","ICTVonline=20184655")</f>
        <v>ICTVonline=20184655</v>
      </c>
    </row>
    <row r="4346" spans="1:22">
      <c r="A4346" s="3">
        <v>4345</v>
      </c>
      <c r="L4346" s="1" t="s">
        <v>482</v>
      </c>
      <c r="N4346" s="1" t="s">
        <v>590</v>
      </c>
      <c r="P4346" s="1" t="s">
        <v>980</v>
      </c>
      <c r="Q4346" s="3">
        <v>0</v>
      </c>
      <c r="R4346" s="22" t="s">
        <v>2766</v>
      </c>
      <c r="S4346" s="22" t="s">
        <v>5099</v>
      </c>
      <c r="T4346" s="51">
        <v>13</v>
      </c>
      <c r="U4346" s="3" t="s">
        <v>5868</v>
      </c>
      <c r="V4346" s="41" t="str">
        <f>HYPERLINK("http://ictvonline.org/taxonomy/p/taxonomy-history?taxnode_id=20184656","ICTVonline=20184656")</f>
        <v>ICTVonline=20184656</v>
      </c>
    </row>
    <row r="4347" spans="1:22">
      <c r="A4347" s="3">
        <v>4346</v>
      </c>
      <c r="L4347" s="1" t="s">
        <v>482</v>
      </c>
      <c r="N4347" s="1" t="s">
        <v>590</v>
      </c>
      <c r="P4347" s="1" t="s">
        <v>981</v>
      </c>
      <c r="Q4347" s="3">
        <v>0</v>
      </c>
      <c r="R4347" s="22" t="s">
        <v>2766</v>
      </c>
      <c r="S4347" s="22" t="s">
        <v>5099</v>
      </c>
      <c r="T4347" s="51">
        <v>13</v>
      </c>
      <c r="U4347" s="3" t="s">
        <v>5868</v>
      </c>
      <c r="V4347" s="41" t="str">
        <f>HYPERLINK("http://ictvonline.org/taxonomy/p/taxonomy-history?taxnode_id=20184657","ICTVonline=20184657")</f>
        <v>ICTVonline=20184657</v>
      </c>
    </row>
    <row r="4348" spans="1:22">
      <c r="A4348" s="3">
        <v>4347</v>
      </c>
      <c r="L4348" s="1" t="s">
        <v>482</v>
      </c>
      <c r="N4348" s="1" t="s">
        <v>590</v>
      </c>
      <c r="P4348" s="1" t="s">
        <v>6218</v>
      </c>
      <c r="Q4348" s="3">
        <v>0</v>
      </c>
      <c r="R4348" s="22" t="s">
        <v>2766</v>
      </c>
      <c r="S4348" s="22" t="s">
        <v>5097</v>
      </c>
      <c r="T4348" s="51">
        <v>32</v>
      </c>
      <c r="U4348" s="3" t="s">
        <v>6197</v>
      </c>
      <c r="V4348" s="41" t="str">
        <f>HYPERLINK("http://ictvonline.org/taxonomy/p/taxonomy-history?taxnode_id=20185922","ICTVonline=20185922")</f>
        <v>ICTVonline=20185922</v>
      </c>
    </row>
    <row r="4349" spans="1:22">
      <c r="A4349" s="3">
        <v>4348</v>
      </c>
      <c r="L4349" s="1" t="s">
        <v>482</v>
      </c>
      <c r="N4349" s="1" t="s">
        <v>590</v>
      </c>
      <c r="P4349" s="1" t="s">
        <v>642</v>
      </c>
      <c r="Q4349" s="3">
        <v>0</v>
      </c>
      <c r="R4349" s="22" t="s">
        <v>2766</v>
      </c>
      <c r="S4349" s="22" t="s">
        <v>5097</v>
      </c>
      <c r="T4349" s="51">
        <v>24</v>
      </c>
      <c r="U4349" s="3" t="s">
        <v>6207</v>
      </c>
      <c r="V4349" s="41" t="str">
        <f>HYPERLINK("http://ictvonline.org/taxonomy/p/taxonomy-history?taxnode_id=20184658","ICTVonline=20184658")</f>
        <v>ICTVonline=20184658</v>
      </c>
    </row>
    <row r="4350" spans="1:22">
      <c r="A4350" s="3">
        <v>4349</v>
      </c>
      <c r="L4350" s="1" t="s">
        <v>482</v>
      </c>
      <c r="N4350" s="1" t="s">
        <v>590</v>
      </c>
      <c r="P4350" s="1" t="s">
        <v>643</v>
      </c>
      <c r="Q4350" s="3">
        <v>0</v>
      </c>
      <c r="R4350" s="22" t="s">
        <v>2766</v>
      </c>
      <c r="S4350" s="22" t="s">
        <v>5099</v>
      </c>
      <c r="T4350" s="51">
        <v>13</v>
      </c>
      <c r="U4350" s="3" t="s">
        <v>5868</v>
      </c>
      <c r="V4350" s="41" t="str">
        <f>HYPERLINK("http://ictvonline.org/taxonomy/p/taxonomy-history?taxnode_id=20184659","ICTVonline=20184659")</f>
        <v>ICTVonline=20184659</v>
      </c>
    </row>
    <row r="4351" spans="1:22">
      <c r="A4351" s="3">
        <v>4350</v>
      </c>
      <c r="L4351" s="1" t="s">
        <v>482</v>
      </c>
      <c r="N4351" s="1" t="s">
        <v>590</v>
      </c>
      <c r="P4351" s="1" t="s">
        <v>644</v>
      </c>
      <c r="Q4351" s="3">
        <v>0</v>
      </c>
      <c r="R4351" s="22" t="s">
        <v>2766</v>
      </c>
      <c r="S4351" s="22" t="s">
        <v>5099</v>
      </c>
      <c r="T4351" s="51">
        <v>13</v>
      </c>
      <c r="U4351" s="3" t="s">
        <v>5868</v>
      </c>
      <c r="V4351" s="41" t="str">
        <f>HYPERLINK("http://ictvonline.org/taxonomy/p/taxonomy-history?taxnode_id=20184660","ICTVonline=20184660")</f>
        <v>ICTVonline=20184660</v>
      </c>
    </row>
    <row r="4352" spans="1:22">
      <c r="A4352" s="3">
        <v>4351</v>
      </c>
      <c r="L4352" s="1" t="s">
        <v>482</v>
      </c>
      <c r="N4352" s="1" t="s">
        <v>590</v>
      </c>
      <c r="P4352" s="1" t="s">
        <v>645</v>
      </c>
      <c r="Q4352" s="3">
        <v>0</v>
      </c>
      <c r="R4352" s="22" t="s">
        <v>2766</v>
      </c>
      <c r="S4352" s="22" t="s">
        <v>5099</v>
      </c>
      <c r="T4352" s="51">
        <v>13</v>
      </c>
      <c r="U4352" s="3" t="s">
        <v>5868</v>
      </c>
      <c r="V4352" s="41" t="str">
        <f>HYPERLINK("http://ictvonline.org/taxonomy/p/taxonomy-history?taxnode_id=20184661","ICTVonline=20184661")</f>
        <v>ICTVonline=20184661</v>
      </c>
    </row>
    <row r="4353" spans="1:22">
      <c r="A4353" s="3">
        <v>4352</v>
      </c>
      <c r="L4353" s="1" t="s">
        <v>482</v>
      </c>
      <c r="N4353" s="1" t="s">
        <v>590</v>
      </c>
      <c r="P4353" s="1" t="s">
        <v>646</v>
      </c>
      <c r="Q4353" s="3">
        <v>0</v>
      </c>
      <c r="R4353" s="22" t="s">
        <v>2766</v>
      </c>
      <c r="S4353" s="22" t="s">
        <v>5097</v>
      </c>
      <c r="T4353" s="51">
        <v>22</v>
      </c>
      <c r="U4353" s="3" t="s">
        <v>6195</v>
      </c>
      <c r="V4353" s="41" t="str">
        <f>HYPERLINK("http://ictvonline.org/taxonomy/p/taxonomy-history?taxnode_id=20184662","ICTVonline=20184662")</f>
        <v>ICTVonline=20184662</v>
      </c>
    </row>
    <row r="4354" spans="1:22">
      <c r="A4354" s="3">
        <v>4353</v>
      </c>
      <c r="L4354" s="1" t="s">
        <v>482</v>
      </c>
      <c r="N4354" s="1" t="s">
        <v>590</v>
      </c>
      <c r="P4354" s="1" t="s">
        <v>647</v>
      </c>
      <c r="Q4354" s="3">
        <v>0</v>
      </c>
      <c r="R4354" s="22" t="s">
        <v>2766</v>
      </c>
      <c r="S4354" s="22" t="s">
        <v>5100</v>
      </c>
      <c r="T4354" s="51">
        <v>14</v>
      </c>
      <c r="U4354" s="3" t="s">
        <v>5879</v>
      </c>
      <c r="V4354" s="41" t="str">
        <f>HYPERLINK("http://ictvonline.org/taxonomy/p/taxonomy-history?taxnode_id=20184663","ICTVonline=20184663")</f>
        <v>ICTVonline=20184663</v>
      </c>
    </row>
    <row r="4355" spans="1:22">
      <c r="A4355" s="3">
        <v>4354</v>
      </c>
      <c r="L4355" s="1" t="s">
        <v>482</v>
      </c>
      <c r="N4355" s="1" t="s">
        <v>590</v>
      </c>
      <c r="P4355" s="1" t="s">
        <v>648</v>
      </c>
      <c r="Q4355" s="3">
        <v>0</v>
      </c>
      <c r="R4355" s="22" t="s">
        <v>2766</v>
      </c>
      <c r="S4355" s="22" t="s">
        <v>5097</v>
      </c>
      <c r="T4355" s="51">
        <v>24</v>
      </c>
      <c r="U4355" s="3" t="s">
        <v>6207</v>
      </c>
      <c r="V4355" s="41" t="str">
        <f>HYPERLINK("http://ictvonline.org/taxonomy/p/taxonomy-history?taxnode_id=20184664","ICTVonline=20184664")</f>
        <v>ICTVonline=20184664</v>
      </c>
    </row>
    <row r="4356" spans="1:22">
      <c r="A4356" s="3">
        <v>4355</v>
      </c>
      <c r="L4356" s="1" t="s">
        <v>482</v>
      </c>
      <c r="N4356" s="1" t="s">
        <v>590</v>
      </c>
      <c r="P4356" s="1" t="s">
        <v>649</v>
      </c>
      <c r="Q4356" s="3">
        <v>0</v>
      </c>
      <c r="R4356" s="22" t="s">
        <v>2766</v>
      </c>
      <c r="S4356" s="22" t="s">
        <v>5097</v>
      </c>
      <c r="T4356" s="51">
        <v>22</v>
      </c>
      <c r="U4356" s="3" t="s">
        <v>6195</v>
      </c>
      <c r="V4356" s="41" t="str">
        <f>HYPERLINK("http://ictvonline.org/taxonomy/p/taxonomy-history?taxnode_id=20184665","ICTVonline=20184665")</f>
        <v>ICTVonline=20184665</v>
      </c>
    </row>
    <row r="4357" spans="1:22">
      <c r="A4357" s="3">
        <v>4356</v>
      </c>
      <c r="L4357" s="1" t="s">
        <v>482</v>
      </c>
      <c r="N4357" s="1" t="s">
        <v>590</v>
      </c>
      <c r="P4357" s="1" t="s">
        <v>461</v>
      </c>
      <c r="Q4357" s="3">
        <v>0</v>
      </c>
      <c r="R4357" s="22" t="s">
        <v>2766</v>
      </c>
      <c r="S4357" s="22" t="s">
        <v>5099</v>
      </c>
      <c r="T4357" s="51">
        <v>13</v>
      </c>
      <c r="U4357" s="3" t="s">
        <v>5868</v>
      </c>
      <c r="V4357" s="41" t="str">
        <f>HYPERLINK("http://ictvonline.org/taxonomy/p/taxonomy-history?taxnode_id=20184666","ICTVonline=20184666")</f>
        <v>ICTVonline=20184666</v>
      </c>
    </row>
    <row r="4358" spans="1:22">
      <c r="A4358" s="3">
        <v>4357</v>
      </c>
      <c r="L4358" s="1" t="s">
        <v>482</v>
      </c>
      <c r="N4358" s="1" t="s">
        <v>590</v>
      </c>
      <c r="P4358" s="1" t="s">
        <v>1593</v>
      </c>
      <c r="Q4358" s="3">
        <v>0</v>
      </c>
      <c r="R4358" s="22" t="s">
        <v>2766</v>
      </c>
      <c r="S4358" s="22" t="s">
        <v>5099</v>
      </c>
      <c r="T4358" s="51">
        <v>13</v>
      </c>
      <c r="U4358" s="3" t="s">
        <v>5868</v>
      </c>
      <c r="V4358" s="41" t="str">
        <f>HYPERLINK("http://ictvonline.org/taxonomy/p/taxonomy-history?taxnode_id=20184667","ICTVonline=20184667")</f>
        <v>ICTVonline=20184667</v>
      </c>
    </row>
    <row r="4359" spans="1:22">
      <c r="A4359" s="3">
        <v>4358</v>
      </c>
      <c r="L4359" s="1" t="s">
        <v>482</v>
      </c>
      <c r="N4359" s="1" t="s">
        <v>590</v>
      </c>
      <c r="P4359" s="1" t="s">
        <v>1594</v>
      </c>
      <c r="Q4359" s="3">
        <v>0</v>
      </c>
      <c r="R4359" s="22" t="s">
        <v>2766</v>
      </c>
      <c r="S4359" s="22" t="s">
        <v>5105</v>
      </c>
      <c r="T4359" s="51">
        <v>23</v>
      </c>
      <c r="U4359" s="3" t="s">
        <v>5872</v>
      </c>
      <c r="V4359" s="41" t="str">
        <f>HYPERLINK("http://ictvonline.org/taxonomy/p/taxonomy-history?taxnode_id=20184668","ICTVonline=20184668")</f>
        <v>ICTVonline=20184668</v>
      </c>
    </row>
    <row r="4360" spans="1:22">
      <c r="A4360" s="3">
        <v>4359</v>
      </c>
      <c r="L4360" s="1" t="s">
        <v>482</v>
      </c>
      <c r="N4360" s="1" t="s">
        <v>590</v>
      </c>
      <c r="P4360" s="1" t="s">
        <v>513</v>
      </c>
      <c r="Q4360" s="3">
        <v>0</v>
      </c>
      <c r="R4360" s="22" t="s">
        <v>2766</v>
      </c>
      <c r="S4360" s="22" t="s">
        <v>5099</v>
      </c>
      <c r="T4360" s="51">
        <v>13</v>
      </c>
      <c r="U4360" s="3" t="s">
        <v>5868</v>
      </c>
      <c r="V4360" s="41" t="str">
        <f>HYPERLINK("http://ictvonline.org/taxonomy/p/taxonomy-history?taxnode_id=20184669","ICTVonline=20184669")</f>
        <v>ICTVonline=20184669</v>
      </c>
    </row>
    <row r="4361" spans="1:22">
      <c r="A4361" s="3">
        <v>4360</v>
      </c>
      <c r="L4361" s="1" t="s">
        <v>482</v>
      </c>
      <c r="N4361" s="1" t="s">
        <v>590</v>
      </c>
      <c r="P4361" s="1" t="s">
        <v>514</v>
      </c>
      <c r="Q4361" s="3">
        <v>1</v>
      </c>
      <c r="R4361" s="22" t="s">
        <v>2766</v>
      </c>
      <c r="S4361" s="22" t="s">
        <v>5099</v>
      </c>
      <c r="T4361" s="51">
        <v>13</v>
      </c>
      <c r="U4361" s="3" t="s">
        <v>5868</v>
      </c>
      <c r="V4361" s="41" t="str">
        <f>HYPERLINK("http://ictvonline.org/taxonomy/p/taxonomy-history?taxnode_id=20184670","ICTVonline=20184670")</f>
        <v>ICTVonline=20184670</v>
      </c>
    </row>
    <row r="4362" spans="1:22">
      <c r="A4362" s="3">
        <v>4361</v>
      </c>
      <c r="L4362" s="1" t="s">
        <v>482</v>
      </c>
      <c r="N4362" s="1" t="s">
        <v>590</v>
      </c>
      <c r="P4362" s="1" t="s">
        <v>515</v>
      </c>
      <c r="Q4362" s="3">
        <v>0</v>
      </c>
      <c r="R4362" s="22" t="s">
        <v>2766</v>
      </c>
      <c r="S4362" s="22" t="s">
        <v>5097</v>
      </c>
      <c r="T4362" s="51">
        <v>24</v>
      </c>
      <c r="U4362" s="3" t="s">
        <v>6207</v>
      </c>
      <c r="V4362" s="41" t="str">
        <f>HYPERLINK("http://ictvonline.org/taxonomy/p/taxonomy-history?taxnode_id=20184671","ICTVonline=20184671")</f>
        <v>ICTVonline=20184671</v>
      </c>
    </row>
    <row r="4363" spans="1:22">
      <c r="A4363" s="3">
        <v>4362</v>
      </c>
      <c r="L4363" s="1" t="s">
        <v>482</v>
      </c>
      <c r="N4363" s="1" t="s">
        <v>590</v>
      </c>
      <c r="P4363" s="1" t="s">
        <v>1471</v>
      </c>
      <c r="Q4363" s="3">
        <v>0</v>
      </c>
      <c r="R4363" s="22" t="s">
        <v>2766</v>
      </c>
      <c r="S4363" s="22" t="s">
        <v>5097</v>
      </c>
      <c r="T4363" s="51">
        <v>24</v>
      </c>
      <c r="U4363" s="3" t="s">
        <v>6207</v>
      </c>
      <c r="V4363" s="41" t="str">
        <f>HYPERLINK("http://ictvonline.org/taxonomy/p/taxonomy-history?taxnode_id=20184672","ICTVonline=20184672")</f>
        <v>ICTVonline=20184672</v>
      </c>
    </row>
    <row r="4364" spans="1:22">
      <c r="A4364" s="3">
        <v>4363</v>
      </c>
      <c r="L4364" s="1" t="s">
        <v>482</v>
      </c>
      <c r="N4364" s="1" t="s">
        <v>590</v>
      </c>
      <c r="P4364" s="1" t="s">
        <v>1472</v>
      </c>
      <c r="Q4364" s="3">
        <v>0</v>
      </c>
      <c r="R4364" s="22" t="s">
        <v>2766</v>
      </c>
      <c r="S4364" s="22" t="s">
        <v>5097</v>
      </c>
      <c r="T4364" s="51">
        <v>24</v>
      </c>
      <c r="U4364" s="3" t="s">
        <v>6207</v>
      </c>
      <c r="V4364" s="41" t="str">
        <f>HYPERLINK("http://ictvonline.org/taxonomy/p/taxonomy-history?taxnode_id=20184673","ICTVonline=20184673")</f>
        <v>ICTVonline=20184673</v>
      </c>
    </row>
    <row r="4365" spans="1:22">
      <c r="A4365" s="3">
        <v>4364</v>
      </c>
      <c r="L4365" s="1" t="s">
        <v>482</v>
      </c>
      <c r="N4365" s="1" t="s">
        <v>590</v>
      </c>
      <c r="P4365" s="1" t="s">
        <v>384</v>
      </c>
      <c r="Q4365" s="3">
        <v>0</v>
      </c>
      <c r="R4365" s="22" t="s">
        <v>2766</v>
      </c>
      <c r="S4365" s="22" t="s">
        <v>5097</v>
      </c>
      <c r="T4365" s="51">
        <v>22</v>
      </c>
      <c r="U4365" s="3" t="s">
        <v>6195</v>
      </c>
      <c r="V4365" s="41" t="str">
        <f>HYPERLINK("http://ictvonline.org/taxonomy/p/taxonomy-history?taxnode_id=20184674","ICTVonline=20184674")</f>
        <v>ICTVonline=20184674</v>
      </c>
    </row>
    <row r="4366" spans="1:22">
      <c r="A4366" s="3">
        <v>4365</v>
      </c>
      <c r="L4366" s="1" t="s">
        <v>482</v>
      </c>
      <c r="N4366" s="1" t="s">
        <v>590</v>
      </c>
      <c r="P4366" s="1" t="s">
        <v>385</v>
      </c>
      <c r="Q4366" s="3">
        <v>0</v>
      </c>
      <c r="R4366" s="22" t="s">
        <v>2766</v>
      </c>
      <c r="S4366" s="22" t="s">
        <v>5097</v>
      </c>
      <c r="T4366" s="51">
        <v>22</v>
      </c>
      <c r="U4366" s="3" t="s">
        <v>6195</v>
      </c>
      <c r="V4366" s="41" t="str">
        <f>HYPERLINK("http://ictvonline.org/taxonomy/p/taxonomy-history?taxnode_id=20184675","ICTVonline=20184675")</f>
        <v>ICTVonline=20184675</v>
      </c>
    </row>
    <row r="4367" spans="1:22">
      <c r="A4367" s="3">
        <v>4366</v>
      </c>
      <c r="L4367" s="1" t="s">
        <v>482</v>
      </c>
      <c r="N4367" s="1" t="s">
        <v>590</v>
      </c>
      <c r="P4367" s="1" t="s">
        <v>386</v>
      </c>
      <c r="Q4367" s="3">
        <v>0</v>
      </c>
      <c r="R4367" s="22" t="s">
        <v>2766</v>
      </c>
      <c r="S4367" s="22" t="s">
        <v>5097</v>
      </c>
      <c r="T4367" s="51">
        <v>22</v>
      </c>
      <c r="U4367" s="3" t="s">
        <v>6195</v>
      </c>
      <c r="V4367" s="41" t="str">
        <f>HYPERLINK("http://ictvonline.org/taxonomy/p/taxonomy-history?taxnode_id=20184676","ICTVonline=20184676")</f>
        <v>ICTVonline=20184676</v>
      </c>
    </row>
    <row r="4368" spans="1:22">
      <c r="A4368" s="3">
        <v>4367</v>
      </c>
      <c r="L4368" s="1" t="s">
        <v>482</v>
      </c>
      <c r="N4368" s="1" t="s">
        <v>590</v>
      </c>
      <c r="P4368" s="1" t="s">
        <v>387</v>
      </c>
      <c r="Q4368" s="3">
        <v>0</v>
      </c>
      <c r="R4368" s="22" t="s">
        <v>2766</v>
      </c>
      <c r="S4368" s="22" t="s">
        <v>5097</v>
      </c>
      <c r="T4368" s="51">
        <v>18</v>
      </c>
      <c r="U4368" s="3" t="s">
        <v>5486</v>
      </c>
      <c r="V4368" s="41" t="str">
        <f>HYPERLINK("http://ictvonline.org/taxonomy/p/taxonomy-history?taxnode_id=20184677","ICTVonline=20184677")</f>
        <v>ICTVonline=20184677</v>
      </c>
    </row>
    <row r="4369" spans="1:22">
      <c r="A4369" s="3">
        <v>4368</v>
      </c>
      <c r="L4369" s="1" t="s">
        <v>482</v>
      </c>
      <c r="N4369" s="1" t="s">
        <v>590</v>
      </c>
      <c r="P4369" s="1" t="s">
        <v>1475</v>
      </c>
      <c r="Q4369" s="3">
        <v>0</v>
      </c>
      <c r="R4369" s="22" t="s">
        <v>2766</v>
      </c>
      <c r="S4369" s="22" t="s">
        <v>5099</v>
      </c>
      <c r="T4369" s="51">
        <v>13</v>
      </c>
      <c r="U4369" s="3" t="s">
        <v>5868</v>
      </c>
      <c r="V4369" s="41" t="str">
        <f>HYPERLINK("http://ictvonline.org/taxonomy/p/taxonomy-history?taxnode_id=20184678","ICTVonline=20184678")</f>
        <v>ICTVonline=20184678</v>
      </c>
    </row>
    <row r="4370" spans="1:22">
      <c r="A4370" s="3">
        <v>4369</v>
      </c>
      <c r="L4370" s="1" t="s">
        <v>482</v>
      </c>
      <c r="N4370" s="1" t="s">
        <v>590</v>
      </c>
      <c r="P4370" s="1" t="s">
        <v>1476</v>
      </c>
      <c r="Q4370" s="3">
        <v>0</v>
      </c>
      <c r="R4370" s="22" t="s">
        <v>2766</v>
      </c>
      <c r="S4370" s="22" t="s">
        <v>5099</v>
      </c>
      <c r="T4370" s="51">
        <v>13</v>
      </c>
      <c r="U4370" s="3" t="s">
        <v>5868</v>
      </c>
      <c r="V4370" s="41" t="str">
        <f>HYPERLINK("http://ictvonline.org/taxonomy/p/taxonomy-history?taxnode_id=20184679","ICTVonline=20184679")</f>
        <v>ICTVonline=20184679</v>
      </c>
    </row>
    <row r="4371" spans="1:22">
      <c r="A4371" s="3">
        <v>4370</v>
      </c>
      <c r="L4371" s="1" t="s">
        <v>482</v>
      </c>
      <c r="N4371" s="1" t="s">
        <v>590</v>
      </c>
      <c r="P4371" s="1" t="s">
        <v>1899</v>
      </c>
      <c r="Q4371" s="3">
        <v>0</v>
      </c>
      <c r="R4371" s="22" t="s">
        <v>2766</v>
      </c>
      <c r="S4371" s="22" t="s">
        <v>5097</v>
      </c>
      <c r="T4371" s="51">
        <v>25</v>
      </c>
      <c r="U4371" s="3" t="s">
        <v>6206</v>
      </c>
      <c r="V4371" s="41" t="str">
        <f>HYPERLINK("http://ictvonline.org/taxonomy/p/taxonomy-history?taxnode_id=20184680","ICTVonline=20184680")</f>
        <v>ICTVonline=20184680</v>
      </c>
    </row>
    <row r="4372" spans="1:22">
      <c r="A4372" s="3">
        <v>4371</v>
      </c>
      <c r="L4372" s="1" t="s">
        <v>482</v>
      </c>
      <c r="N4372" s="1" t="s">
        <v>590</v>
      </c>
      <c r="P4372" s="1" t="s">
        <v>1477</v>
      </c>
      <c r="Q4372" s="3">
        <v>0</v>
      </c>
      <c r="R4372" s="22" t="s">
        <v>2766</v>
      </c>
      <c r="S4372" s="22" t="s">
        <v>5099</v>
      </c>
      <c r="T4372" s="51">
        <v>13</v>
      </c>
      <c r="U4372" s="3" t="s">
        <v>5868</v>
      </c>
      <c r="V4372" s="41" t="str">
        <f>HYPERLINK("http://ictvonline.org/taxonomy/p/taxonomy-history?taxnode_id=20184681","ICTVonline=20184681")</f>
        <v>ICTVonline=20184681</v>
      </c>
    </row>
    <row r="4373" spans="1:22">
      <c r="A4373" s="3">
        <v>4372</v>
      </c>
      <c r="L4373" s="1" t="s">
        <v>482</v>
      </c>
      <c r="N4373" s="1" t="s">
        <v>590</v>
      </c>
      <c r="P4373" s="1" t="s">
        <v>197</v>
      </c>
      <c r="Q4373" s="3">
        <v>0</v>
      </c>
      <c r="R4373" s="22" t="s">
        <v>2766</v>
      </c>
      <c r="S4373" s="22" t="s">
        <v>5097</v>
      </c>
      <c r="T4373" s="51">
        <v>26</v>
      </c>
      <c r="U4373" s="3" t="s">
        <v>6219</v>
      </c>
      <c r="V4373" s="41" t="str">
        <f>HYPERLINK("http://ictvonline.org/taxonomy/p/taxonomy-history?taxnode_id=20184682","ICTVonline=20184682")</f>
        <v>ICTVonline=20184682</v>
      </c>
    </row>
    <row r="4374" spans="1:22">
      <c r="A4374" s="3">
        <v>4373</v>
      </c>
      <c r="L4374" s="1" t="s">
        <v>482</v>
      </c>
      <c r="N4374" s="1" t="s">
        <v>590</v>
      </c>
      <c r="P4374" s="1" t="s">
        <v>4126</v>
      </c>
      <c r="Q4374" s="3">
        <v>0</v>
      </c>
      <c r="R4374" s="22" t="s">
        <v>2766</v>
      </c>
      <c r="S4374" s="22" t="s">
        <v>5097</v>
      </c>
      <c r="T4374" s="51">
        <v>30</v>
      </c>
      <c r="U4374" s="3" t="s">
        <v>6202</v>
      </c>
      <c r="V4374" s="41" t="str">
        <f>HYPERLINK("http://ictvonline.org/taxonomy/p/taxonomy-history?taxnode_id=20184683","ICTVonline=20184683")</f>
        <v>ICTVonline=20184683</v>
      </c>
    </row>
    <row r="4375" spans="1:22">
      <c r="A4375" s="3">
        <v>4374</v>
      </c>
      <c r="L4375" s="1" t="s">
        <v>482</v>
      </c>
      <c r="N4375" s="1" t="s">
        <v>590</v>
      </c>
      <c r="P4375" s="1" t="s">
        <v>1478</v>
      </c>
      <c r="Q4375" s="3">
        <v>0</v>
      </c>
      <c r="R4375" s="22" t="s">
        <v>2766</v>
      </c>
      <c r="S4375" s="22" t="s">
        <v>5097</v>
      </c>
      <c r="T4375" s="51">
        <v>22</v>
      </c>
      <c r="U4375" s="3" t="s">
        <v>6195</v>
      </c>
      <c r="V4375" s="41" t="str">
        <f>HYPERLINK("http://ictvonline.org/taxonomy/p/taxonomy-history?taxnode_id=20184684","ICTVonline=20184684")</f>
        <v>ICTVonline=20184684</v>
      </c>
    </row>
    <row r="4376" spans="1:22">
      <c r="A4376" s="3">
        <v>4375</v>
      </c>
      <c r="L4376" s="1" t="s">
        <v>482</v>
      </c>
      <c r="N4376" s="1" t="s">
        <v>590</v>
      </c>
      <c r="P4376" s="1" t="s">
        <v>6220</v>
      </c>
      <c r="Q4376" s="3">
        <v>0</v>
      </c>
      <c r="R4376" s="22" t="s">
        <v>2766</v>
      </c>
      <c r="S4376" s="22" t="s">
        <v>5097</v>
      </c>
      <c r="T4376" s="51">
        <v>32</v>
      </c>
      <c r="U4376" s="3" t="s">
        <v>6197</v>
      </c>
      <c r="V4376" s="41" t="str">
        <f>HYPERLINK("http://ictvonline.org/taxonomy/p/taxonomy-history?taxnode_id=20185923","ICTVonline=20185923")</f>
        <v>ICTVonline=20185923</v>
      </c>
    </row>
    <row r="4377" spans="1:22">
      <c r="A4377" s="3">
        <v>4376</v>
      </c>
      <c r="L4377" s="1" t="s">
        <v>482</v>
      </c>
      <c r="N4377" s="1" t="s">
        <v>590</v>
      </c>
      <c r="P4377" s="1" t="s">
        <v>1479</v>
      </c>
      <c r="Q4377" s="3">
        <v>0</v>
      </c>
      <c r="R4377" s="22" t="s">
        <v>2766</v>
      </c>
      <c r="S4377" s="22" t="s">
        <v>5099</v>
      </c>
      <c r="T4377" s="51">
        <v>13</v>
      </c>
      <c r="U4377" s="3" t="s">
        <v>5868</v>
      </c>
      <c r="V4377" s="41" t="str">
        <f>HYPERLINK("http://ictvonline.org/taxonomy/p/taxonomy-history?taxnode_id=20184685","ICTVonline=20184685")</f>
        <v>ICTVonline=20184685</v>
      </c>
    </row>
    <row r="4378" spans="1:22">
      <c r="A4378" s="3">
        <v>4377</v>
      </c>
      <c r="L4378" s="1" t="s">
        <v>482</v>
      </c>
      <c r="N4378" s="1" t="s">
        <v>590</v>
      </c>
      <c r="P4378" s="1" t="s">
        <v>1480</v>
      </c>
      <c r="Q4378" s="3">
        <v>0</v>
      </c>
      <c r="R4378" s="22" t="s">
        <v>2766</v>
      </c>
      <c r="S4378" s="22" t="s">
        <v>5097</v>
      </c>
      <c r="T4378" s="51">
        <v>17</v>
      </c>
      <c r="U4378" s="3" t="s">
        <v>5823</v>
      </c>
      <c r="V4378" s="41" t="str">
        <f>HYPERLINK("http://ictvonline.org/taxonomy/p/taxonomy-history?taxnode_id=20184686","ICTVonline=20184686")</f>
        <v>ICTVonline=20184686</v>
      </c>
    </row>
    <row r="4379" spans="1:22">
      <c r="A4379" s="3">
        <v>4378</v>
      </c>
      <c r="L4379" s="1" t="s">
        <v>482</v>
      </c>
      <c r="N4379" s="1" t="s">
        <v>590</v>
      </c>
      <c r="P4379" s="1" t="s">
        <v>248</v>
      </c>
      <c r="Q4379" s="3">
        <v>0</v>
      </c>
      <c r="R4379" s="22" t="s">
        <v>2766</v>
      </c>
      <c r="S4379" s="22" t="s">
        <v>5097</v>
      </c>
      <c r="T4379" s="51">
        <v>22</v>
      </c>
      <c r="U4379" s="3" t="s">
        <v>6195</v>
      </c>
      <c r="V4379" s="41" t="str">
        <f>HYPERLINK("http://ictvonline.org/taxonomy/p/taxonomy-history?taxnode_id=20184687","ICTVonline=20184687")</f>
        <v>ICTVonline=20184687</v>
      </c>
    </row>
    <row r="4380" spans="1:22">
      <c r="A4380" s="3">
        <v>4379</v>
      </c>
      <c r="L4380" s="1" t="s">
        <v>482</v>
      </c>
      <c r="N4380" s="1" t="s">
        <v>590</v>
      </c>
      <c r="P4380" s="1" t="s">
        <v>249</v>
      </c>
      <c r="Q4380" s="3">
        <v>0</v>
      </c>
      <c r="R4380" s="22" t="s">
        <v>2766</v>
      </c>
      <c r="S4380" s="22" t="s">
        <v>5097</v>
      </c>
      <c r="T4380" s="51">
        <v>24</v>
      </c>
      <c r="U4380" s="3" t="s">
        <v>6207</v>
      </c>
      <c r="V4380" s="41" t="str">
        <f>HYPERLINK("http://ictvonline.org/taxonomy/p/taxonomy-history?taxnode_id=20184688","ICTVonline=20184688")</f>
        <v>ICTVonline=20184688</v>
      </c>
    </row>
    <row r="4381" spans="1:22">
      <c r="A4381" s="3">
        <v>4380</v>
      </c>
      <c r="L4381" s="1" t="s">
        <v>482</v>
      </c>
      <c r="N4381" s="1" t="s">
        <v>590</v>
      </c>
      <c r="P4381" s="1" t="s">
        <v>198</v>
      </c>
      <c r="Q4381" s="3">
        <v>0</v>
      </c>
      <c r="R4381" s="22" t="s">
        <v>2766</v>
      </c>
      <c r="S4381" s="22" t="s">
        <v>5097</v>
      </c>
      <c r="T4381" s="51">
        <v>26</v>
      </c>
      <c r="U4381" s="3" t="s">
        <v>6221</v>
      </c>
      <c r="V4381" s="41" t="str">
        <f>HYPERLINK("http://ictvonline.org/taxonomy/p/taxonomy-history?taxnode_id=20184689","ICTVonline=20184689")</f>
        <v>ICTVonline=20184689</v>
      </c>
    </row>
    <row r="4382" spans="1:22">
      <c r="A4382" s="3">
        <v>4381</v>
      </c>
      <c r="L4382" s="1" t="s">
        <v>482</v>
      </c>
      <c r="N4382" s="1" t="s">
        <v>590</v>
      </c>
      <c r="P4382" s="1" t="s">
        <v>250</v>
      </c>
      <c r="Q4382" s="3">
        <v>0</v>
      </c>
      <c r="R4382" s="22" t="s">
        <v>2766</v>
      </c>
      <c r="S4382" s="22" t="s">
        <v>5097</v>
      </c>
      <c r="T4382" s="51">
        <v>23</v>
      </c>
      <c r="U4382" s="3" t="s">
        <v>5872</v>
      </c>
      <c r="V4382" s="41" t="str">
        <f>HYPERLINK("http://ictvonline.org/taxonomy/p/taxonomy-history?taxnode_id=20184690","ICTVonline=20184690")</f>
        <v>ICTVonline=20184690</v>
      </c>
    </row>
    <row r="4383" spans="1:22">
      <c r="A4383" s="3">
        <v>4382</v>
      </c>
      <c r="L4383" s="1" t="s">
        <v>482</v>
      </c>
      <c r="N4383" s="1" t="s">
        <v>590</v>
      </c>
      <c r="P4383" s="1" t="s">
        <v>4127</v>
      </c>
      <c r="Q4383" s="3">
        <v>0</v>
      </c>
      <c r="R4383" s="22" t="s">
        <v>2766</v>
      </c>
      <c r="S4383" s="22" t="s">
        <v>5097</v>
      </c>
      <c r="T4383" s="51">
        <v>30</v>
      </c>
      <c r="U4383" s="3" t="s">
        <v>6202</v>
      </c>
      <c r="V4383" s="41" t="str">
        <f>HYPERLINK("http://ictvonline.org/taxonomy/p/taxonomy-history?taxnode_id=20184691","ICTVonline=20184691")</f>
        <v>ICTVonline=20184691</v>
      </c>
    </row>
    <row r="4384" spans="1:22">
      <c r="A4384" s="3">
        <v>4383</v>
      </c>
      <c r="L4384" s="1" t="s">
        <v>482</v>
      </c>
      <c r="N4384" s="1" t="s">
        <v>590</v>
      </c>
      <c r="P4384" s="1" t="s">
        <v>251</v>
      </c>
      <c r="Q4384" s="3">
        <v>0</v>
      </c>
      <c r="R4384" s="22" t="s">
        <v>2766</v>
      </c>
      <c r="S4384" s="22" t="s">
        <v>5099</v>
      </c>
      <c r="T4384" s="51">
        <v>13</v>
      </c>
      <c r="U4384" s="3" t="s">
        <v>5868</v>
      </c>
      <c r="V4384" s="41" t="str">
        <f>HYPERLINK("http://ictvonline.org/taxonomy/p/taxonomy-history?taxnode_id=20184692","ICTVonline=20184692")</f>
        <v>ICTVonline=20184692</v>
      </c>
    </row>
    <row r="4385" spans="1:22">
      <c r="A4385" s="3">
        <v>4384</v>
      </c>
      <c r="L4385" s="1" t="s">
        <v>482</v>
      </c>
      <c r="N4385" s="1" t="s">
        <v>590</v>
      </c>
      <c r="P4385" s="1" t="s">
        <v>2152</v>
      </c>
      <c r="Q4385" s="3">
        <v>0</v>
      </c>
      <c r="R4385" s="22" t="s">
        <v>2766</v>
      </c>
      <c r="S4385" s="22" t="s">
        <v>5097</v>
      </c>
      <c r="T4385" s="51">
        <v>25</v>
      </c>
      <c r="U4385" s="3" t="s">
        <v>6208</v>
      </c>
      <c r="V4385" s="41" t="str">
        <f>HYPERLINK("http://ictvonline.org/taxonomy/p/taxonomy-history?taxnode_id=20184693","ICTVonline=20184693")</f>
        <v>ICTVonline=20184693</v>
      </c>
    </row>
    <row r="4386" spans="1:22">
      <c r="A4386" s="3">
        <v>4385</v>
      </c>
      <c r="L4386" s="1" t="s">
        <v>482</v>
      </c>
      <c r="N4386" s="1" t="s">
        <v>590</v>
      </c>
      <c r="P4386" s="1" t="s">
        <v>252</v>
      </c>
      <c r="Q4386" s="3">
        <v>0</v>
      </c>
      <c r="R4386" s="22" t="s">
        <v>2766</v>
      </c>
      <c r="S4386" s="22" t="s">
        <v>5097</v>
      </c>
      <c r="T4386" s="51">
        <v>24</v>
      </c>
      <c r="U4386" s="3" t="s">
        <v>6207</v>
      </c>
      <c r="V4386" s="41" t="str">
        <f>HYPERLINK("http://ictvonline.org/taxonomy/p/taxonomy-history?taxnode_id=20184694","ICTVonline=20184694")</f>
        <v>ICTVonline=20184694</v>
      </c>
    </row>
    <row r="4387" spans="1:22">
      <c r="A4387" s="3">
        <v>4386</v>
      </c>
      <c r="L4387" s="1" t="s">
        <v>482</v>
      </c>
      <c r="N4387" s="1" t="s">
        <v>590</v>
      </c>
      <c r="P4387" s="1" t="s">
        <v>253</v>
      </c>
      <c r="Q4387" s="3">
        <v>0</v>
      </c>
      <c r="R4387" s="22" t="s">
        <v>2766</v>
      </c>
      <c r="S4387" s="22" t="s">
        <v>5099</v>
      </c>
      <c r="T4387" s="51">
        <v>13</v>
      </c>
      <c r="U4387" s="3" t="s">
        <v>5868</v>
      </c>
      <c r="V4387" s="41" t="str">
        <f>HYPERLINK("http://ictvonline.org/taxonomy/p/taxonomy-history?taxnode_id=20184695","ICTVonline=20184695")</f>
        <v>ICTVonline=20184695</v>
      </c>
    </row>
    <row r="4388" spans="1:22">
      <c r="A4388" s="3">
        <v>4387</v>
      </c>
      <c r="L4388" s="1" t="s">
        <v>482</v>
      </c>
      <c r="N4388" s="1" t="s">
        <v>590</v>
      </c>
      <c r="P4388" s="1" t="s">
        <v>6222</v>
      </c>
      <c r="Q4388" s="3">
        <v>0</v>
      </c>
      <c r="R4388" s="22" t="s">
        <v>2766</v>
      </c>
      <c r="S4388" s="22" t="s">
        <v>5097</v>
      </c>
      <c r="T4388" s="51">
        <v>32</v>
      </c>
      <c r="U4388" s="3" t="s">
        <v>6197</v>
      </c>
      <c r="V4388" s="41" t="str">
        <f>HYPERLINK("http://ictvonline.org/taxonomy/p/taxonomy-history?taxnode_id=20185924","ICTVonline=20185924")</f>
        <v>ICTVonline=20185924</v>
      </c>
    </row>
    <row r="4389" spans="1:22">
      <c r="A4389" s="3">
        <v>4388</v>
      </c>
      <c r="L4389" s="1" t="s">
        <v>482</v>
      </c>
      <c r="N4389" s="1" t="s">
        <v>590</v>
      </c>
      <c r="P4389" s="1" t="s">
        <v>388</v>
      </c>
      <c r="Q4389" s="3">
        <v>0</v>
      </c>
      <c r="R4389" s="22" t="s">
        <v>2766</v>
      </c>
      <c r="S4389" s="22" t="s">
        <v>5097</v>
      </c>
      <c r="T4389" s="51">
        <v>17</v>
      </c>
      <c r="U4389" s="3" t="s">
        <v>5823</v>
      </c>
      <c r="V4389" s="41" t="str">
        <f>HYPERLINK("http://ictvonline.org/taxonomy/p/taxonomy-history?taxnode_id=20184696","ICTVonline=20184696")</f>
        <v>ICTVonline=20184696</v>
      </c>
    </row>
    <row r="4390" spans="1:22">
      <c r="A4390" s="3">
        <v>4389</v>
      </c>
      <c r="L4390" s="1" t="s">
        <v>482</v>
      </c>
      <c r="N4390" s="1" t="s">
        <v>590</v>
      </c>
      <c r="P4390" s="1" t="s">
        <v>389</v>
      </c>
      <c r="Q4390" s="3">
        <v>0</v>
      </c>
      <c r="R4390" s="22" t="s">
        <v>2766</v>
      </c>
      <c r="S4390" s="22" t="s">
        <v>5099</v>
      </c>
      <c r="T4390" s="51">
        <v>13</v>
      </c>
      <c r="U4390" s="3" t="s">
        <v>5868</v>
      </c>
      <c r="V4390" s="41" t="str">
        <f>HYPERLINK("http://ictvonline.org/taxonomy/p/taxonomy-history?taxnode_id=20184697","ICTVonline=20184697")</f>
        <v>ICTVonline=20184697</v>
      </c>
    </row>
    <row r="4391" spans="1:22">
      <c r="A4391" s="3">
        <v>4390</v>
      </c>
      <c r="L4391" s="1" t="s">
        <v>482</v>
      </c>
      <c r="N4391" s="1" t="s">
        <v>590</v>
      </c>
      <c r="P4391" s="1" t="s">
        <v>2722</v>
      </c>
      <c r="Q4391" s="3">
        <v>0</v>
      </c>
      <c r="R4391" s="22" t="s">
        <v>2766</v>
      </c>
      <c r="S4391" s="22" t="s">
        <v>5097</v>
      </c>
      <c r="T4391" s="51">
        <v>29</v>
      </c>
      <c r="U4391" s="3" t="s">
        <v>6210</v>
      </c>
      <c r="V4391" s="41" t="str">
        <f>HYPERLINK("http://ictvonline.org/taxonomy/p/taxonomy-history?taxnode_id=20184698","ICTVonline=20184698")</f>
        <v>ICTVonline=20184698</v>
      </c>
    </row>
    <row r="4392" spans="1:22">
      <c r="A4392" s="3">
        <v>4391</v>
      </c>
      <c r="L4392" s="1" t="s">
        <v>482</v>
      </c>
      <c r="N4392" s="1" t="s">
        <v>590</v>
      </c>
      <c r="P4392" s="1" t="s">
        <v>390</v>
      </c>
      <c r="Q4392" s="3">
        <v>0</v>
      </c>
      <c r="R4392" s="22" t="s">
        <v>2766</v>
      </c>
      <c r="S4392" s="22" t="s">
        <v>5097</v>
      </c>
      <c r="T4392" s="51">
        <v>24</v>
      </c>
      <c r="U4392" s="3" t="s">
        <v>6207</v>
      </c>
      <c r="V4392" s="41" t="str">
        <f>HYPERLINK("http://ictvonline.org/taxonomy/p/taxonomy-history?taxnode_id=20184699","ICTVonline=20184699")</f>
        <v>ICTVonline=20184699</v>
      </c>
    </row>
    <row r="4393" spans="1:22">
      <c r="A4393" s="3">
        <v>4392</v>
      </c>
      <c r="L4393" s="1" t="s">
        <v>482</v>
      </c>
      <c r="N4393" s="1" t="s">
        <v>590</v>
      </c>
      <c r="P4393" s="1" t="s">
        <v>391</v>
      </c>
      <c r="Q4393" s="3">
        <v>0</v>
      </c>
      <c r="R4393" s="22" t="s">
        <v>2766</v>
      </c>
      <c r="S4393" s="22" t="s">
        <v>5097</v>
      </c>
      <c r="T4393" s="51">
        <v>18</v>
      </c>
      <c r="U4393" s="3" t="s">
        <v>5486</v>
      </c>
      <c r="V4393" s="41" t="str">
        <f>HYPERLINK("http://ictvonline.org/taxonomy/p/taxonomy-history?taxnode_id=20184700","ICTVonline=20184700")</f>
        <v>ICTVonline=20184700</v>
      </c>
    </row>
    <row r="4394" spans="1:22">
      <c r="A4394" s="3">
        <v>4393</v>
      </c>
      <c r="L4394" s="1" t="s">
        <v>482</v>
      </c>
      <c r="N4394" s="1" t="s">
        <v>590</v>
      </c>
      <c r="P4394" s="1" t="s">
        <v>392</v>
      </c>
      <c r="Q4394" s="3">
        <v>0</v>
      </c>
      <c r="R4394" s="22" t="s">
        <v>2766</v>
      </c>
      <c r="S4394" s="22" t="s">
        <v>5097</v>
      </c>
      <c r="T4394" s="51">
        <v>24</v>
      </c>
      <c r="U4394" s="3" t="s">
        <v>6207</v>
      </c>
      <c r="V4394" s="41" t="str">
        <f>HYPERLINK("http://ictvonline.org/taxonomy/p/taxonomy-history?taxnode_id=20184701","ICTVonline=20184701")</f>
        <v>ICTVonline=20184701</v>
      </c>
    </row>
    <row r="4395" spans="1:22">
      <c r="A4395" s="3">
        <v>4394</v>
      </c>
      <c r="L4395" s="1" t="s">
        <v>482</v>
      </c>
      <c r="N4395" s="1" t="s">
        <v>590</v>
      </c>
      <c r="P4395" s="1" t="s">
        <v>393</v>
      </c>
      <c r="Q4395" s="3">
        <v>0</v>
      </c>
      <c r="R4395" s="22" t="s">
        <v>2766</v>
      </c>
      <c r="S4395" s="22" t="s">
        <v>5099</v>
      </c>
      <c r="T4395" s="51">
        <v>13</v>
      </c>
      <c r="U4395" s="3" t="s">
        <v>5868</v>
      </c>
      <c r="V4395" s="41" t="str">
        <f>HYPERLINK("http://ictvonline.org/taxonomy/p/taxonomy-history?taxnode_id=20184702","ICTVonline=20184702")</f>
        <v>ICTVonline=20184702</v>
      </c>
    </row>
    <row r="4396" spans="1:22">
      <c r="A4396" s="3">
        <v>4395</v>
      </c>
      <c r="L4396" s="1" t="s">
        <v>482</v>
      </c>
      <c r="N4396" s="1" t="s">
        <v>590</v>
      </c>
      <c r="P4396" s="1" t="s">
        <v>394</v>
      </c>
      <c r="Q4396" s="3">
        <v>0</v>
      </c>
      <c r="R4396" s="22" t="s">
        <v>2766</v>
      </c>
      <c r="S4396" s="22" t="s">
        <v>5097</v>
      </c>
      <c r="T4396" s="51">
        <v>23</v>
      </c>
      <c r="U4396" s="3" t="s">
        <v>5872</v>
      </c>
      <c r="V4396" s="41" t="str">
        <f>HYPERLINK("http://ictvonline.org/taxonomy/p/taxonomy-history?taxnode_id=20184703","ICTVonline=20184703")</f>
        <v>ICTVonline=20184703</v>
      </c>
    </row>
    <row r="4397" spans="1:22">
      <c r="A4397" s="3">
        <v>4396</v>
      </c>
      <c r="L4397" s="1" t="s">
        <v>482</v>
      </c>
      <c r="N4397" s="1" t="s">
        <v>590</v>
      </c>
      <c r="P4397" s="1" t="s">
        <v>395</v>
      </c>
      <c r="Q4397" s="3">
        <v>0</v>
      </c>
      <c r="R4397" s="22" t="s">
        <v>2766</v>
      </c>
      <c r="S4397" s="22" t="s">
        <v>5105</v>
      </c>
      <c r="T4397" s="51">
        <v>18</v>
      </c>
      <c r="U4397" s="3" t="s">
        <v>5486</v>
      </c>
      <c r="V4397" s="41" t="str">
        <f>HYPERLINK("http://ictvonline.org/taxonomy/p/taxonomy-history?taxnode_id=20184704","ICTVonline=20184704")</f>
        <v>ICTVonline=20184704</v>
      </c>
    </row>
    <row r="4398" spans="1:22">
      <c r="A4398" s="3">
        <v>4397</v>
      </c>
      <c r="L4398" s="1" t="s">
        <v>482</v>
      </c>
      <c r="N4398" s="1" t="s">
        <v>590</v>
      </c>
      <c r="P4398" s="1" t="s">
        <v>2153</v>
      </c>
      <c r="Q4398" s="3">
        <v>0</v>
      </c>
      <c r="R4398" s="22" t="s">
        <v>2766</v>
      </c>
      <c r="S4398" s="22" t="s">
        <v>5097</v>
      </c>
      <c r="T4398" s="51">
        <v>25</v>
      </c>
      <c r="U4398" s="3" t="s">
        <v>6208</v>
      </c>
      <c r="V4398" s="41" t="str">
        <f>HYPERLINK("http://ictvonline.org/taxonomy/p/taxonomy-history?taxnode_id=20184705","ICTVonline=20184705")</f>
        <v>ICTVonline=20184705</v>
      </c>
    </row>
    <row r="4399" spans="1:22">
      <c r="A4399" s="3">
        <v>4398</v>
      </c>
      <c r="L4399" s="1" t="s">
        <v>482</v>
      </c>
      <c r="N4399" s="1" t="s">
        <v>590</v>
      </c>
      <c r="P4399" s="1" t="s">
        <v>2154</v>
      </c>
      <c r="Q4399" s="3">
        <v>0</v>
      </c>
      <c r="R4399" s="22" t="s">
        <v>2766</v>
      </c>
      <c r="S4399" s="22" t="s">
        <v>5097</v>
      </c>
      <c r="T4399" s="51">
        <v>25</v>
      </c>
      <c r="U4399" s="3" t="s">
        <v>6208</v>
      </c>
      <c r="V4399" s="41" t="str">
        <f>HYPERLINK("http://ictvonline.org/taxonomy/p/taxonomy-history?taxnode_id=20184706","ICTVonline=20184706")</f>
        <v>ICTVonline=20184706</v>
      </c>
    </row>
    <row r="4400" spans="1:22">
      <c r="A4400" s="3">
        <v>4399</v>
      </c>
      <c r="L4400" s="1" t="s">
        <v>482</v>
      </c>
      <c r="N4400" s="1" t="s">
        <v>590</v>
      </c>
      <c r="P4400" s="1" t="s">
        <v>4128</v>
      </c>
      <c r="Q4400" s="3">
        <v>0</v>
      </c>
      <c r="R4400" s="22" t="s">
        <v>2766</v>
      </c>
      <c r="S4400" s="22" t="s">
        <v>5097</v>
      </c>
      <c r="T4400" s="51">
        <v>30</v>
      </c>
      <c r="U4400" s="3" t="s">
        <v>6202</v>
      </c>
      <c r="V4400" s="41" t="str">
        <f>HYPERLINK("http://ictvonline.org/taxonomy/p/taxonomy-history?taxnode_id=20184707","ICTVonline=20184707")</f>
        <v>ICTVonline=20184707</v>
      </c>
    </row>
    <row r="4401" spans="1:22">
      <c r="A4401" s="3">
        <v>4400</v>
      </c>
      <c r="L4401" s="1" t="s">
        <v>482</v>
      </c>
      <c r="N4401" s="1" t="s">
        <v>590</v>
      </c>
      <c r="P4401" s="1" t="s">
        <v>2723</v>
      </c>
      <c r="Q4401" s="3">
        <v>0</v>
      </c>
      <c r="R4401" s="22" t="s">
        <v>2766</v>
      </c>
      <c r="S4401" s="22" t="s">
        <v>5097</v>
      </c>
      <c r="T4401" s="51">
        <v>29</v>
      </c>
      <c r="U4401" s="3" t="s">
        <v>6210</v>
      </c>
      <c r="V4401" s="41" t="str">
        <f>HYPERLINK("http://ictvonline.org/taxonomy/p/taxonomy-history?taxnode_id=20184708","ICTVonline=20184708")</f>
        <v>ICTVonline=20184708</v>
      </c>
    </row>
    <row r="4402" spans="1:22">
      <c r="A4402" s="3">
        <v>4401</v>
      </c>
      <c r="L4402" s="1" t="s">
        <v>482</v>
      </c>
      <c r="N4402" s="1" t="s">
        <v>590</v>
      </c>
      <c r="P4402" s="1" t="s">
        <v>396</v>
      </c>
      <c r="Q4402" s="3">
        <v>0</v>
      </c>
      <c r="R4402" s="22" t="s">
        <v>2766</v>
      </c>
      <c r="S4402" s="22" t="s">
        <v>5097</v>
      </c>
      <c r="T4402" s="51">
        <v>23</v>
      </c>
      <c r="U4402" s="3" t="s">
        <v>5872</v>
      </c>
      <c r="V4402" s="41" t="str">
        <f>HYPERLINK("http://ictvonline.org/taxonomy/p/taxonomy-history?taxnode_id=20184709","ICTVonline=20184709")</f>
        <v>ICTVonline=20184709</v>
      </c>
    </row>
    <row r="4403" spans="1:22">
      <c r="A4403" s="3">
        <v>4402</v>
      </c>
      <c r="L4403" s="1" t="s">
        <v>482</v>
      </c>
      <c r="N4403" s="1" t="s">
        <v>590</v>
      </c>
      <c r="P4403" s="1" t="s">
        <v>397</v>
      </c>
      <c r="Q4403" s="3">
        <v>0</v>
      </c>
      <c r="R4403" s="22" t="s">
        <v>2766</v>
      </c>
      <c r="S4403" s="22" t="s">
        <v>5100</v>
      </c>
      <c r="T4403" s="51">
        <v>18</v>
      </c>
      <c r="U4403" s="3" t="s">
        <v>5486</v>
      </c>
      <c r="V4403" s="41" t="str">
        <f>HYPERLINK("http://ictvonline.org/taxonomy/p/taxonomy-history?taxnode_id=20184710","ICTVonline=20184710")</f>
        <v>ICTVonline=20184710</v>
      </c>
    </row>
    <row r="4404" spans="1:22">
      <c r="A4404" s="3">
        <v>4403</v>
      </c>
      <c r="L4404" s="1" t="s">
        <v>482</v>
      </c>
      <c r="N4404" s="1" t="s">
        <v>590</v>
      </c>
      <c r="P4404" s="1" t="s">
        <v>6223</v>
      </c>
      <c r="Q4404" s="3">
        <v>0</v>
      </c>
      <c r="R4404" s="22" t="s">
        <v>2766</v>
      </c>
      <c r="S4404" s="22" t="s">
        <v>5097</v>
      </c>
      <c r="T4404" s="51">
        <v>32</v>
      </c>
      <c r="U4404" s="3" t="s">
        <v>6197</v>
      </c>
      <c r="V4404" s="41" t="str">
        <f>HYPERLINK("http://ictvonline.org/taxonomy/p/taxonomy-history?taxnode_id=20185925","ICTVonline=20185925")</f>
        <v>ICTVonline=20185925</v>
      </c>
    </row>
    <row r="4405" spans="1:22">
      <c r="A4405" s="3">
        <v>4404</v>
      </c>
      <c r="L4405" s="1" t="s">
        <v>482</v>
      </c>
      <c r="N4405" s="1" t="s">
        <v>590</v>
      </c>
      <c r="P4405" s="1" t="s">
        <v>1499</v>
      </c>
      <c r="Q4405" s="3">
        <v>0</v>
      </c>
      <c r="R4405" s="22" t="s">
        <v>2766</v>
      </c>
      <c r="S4405" s="22" t="s">
        <v>5097</v>
      </c>
      <c r="T4405" s="51">
        <v>18</v>
      </c>
      <c r="U4405" s="3" t="s">
        <v>5486</v>
      </c>
      <c r="V4405" s="41" t="str">
        <f>HYPERLINK("http://ictvonline.org/taxonomy/p/taxonomy-history?taxnode_id=20184711","ICTVonline=20184711")</f>
        <v>ICTVonline=20184711</v>
      </c>
    </row>
    <row r="4406" spans="1:22">
      <c r="A4406" s="3">
        <v>4405</v>
      </c>
      <c r="L4406" s="1" t="s">
        <v>482</v>
      </c>
      <c r="N4406" s="1" t="s">
        <v>590</v>
      </c>
      <c r="P4406" s="1" t="s">
        <v>2155</v>
      </c>
      <c r="Q4406" s="3">
        <v>0</v>
      </c>
      <c r="R4406" s="22" t="s">
        <v>2766</v>
      </c>
      <c r="S4406" s="22" t="s">
        <v>5097</v>
      </c>
      <c r="T4406" s="51">
        <v>25</v>
      </c>
      <c r="U4406" s="3" t="s">
        <v>6208</v>
      </c>
      <c r="V4406" s="41" t="str">
        <f>HYPERLINK("http://ictvonline.org/taxonomy/p/taxonomy-history?taxnode_id=20184712","ICTVonline=20184712")</f>
        <v>ICTVonline=20184712</v>
      </c>
    </row>
    <row r="4407" spans="1:22">
      <c r="A4407" s="3">
        <v>4406</v>
      </c>
      <c r="L4407" s="1" t="s">
        <v>482</v>
      </c>
      <c r="N4407" s="1" t="s">
        <v>590</v>
      </c>
      <c r="P4407" s="1" t="s">
        <v>1500</v>
      </c>
      <c r="Q4407" s="3">
        <v>0</v>
      </c>
      <c r="R4407" s="22" t="s">
        <v>2766</v>
      </c>
      <c r="S4407" s="22" t="s">
        <v>5099</v>
      </c>
      <c r="T4407" s="51">
        <v>13</v>
      </c>
      <c r="U4407" s="3" t="s">
        <v>5868</v>
      </c>
      <c r="V4407" s="41" t="str">
        <f>HYPERLINK("http://ictvonline.org/taxonomy/p/taxonomy-history?taxnode_id=20184713","ICTVonline=20184713")</f>
        <v>ICTVonline=20184713</v>
      </c>
    </row>
    <row r="4408" spans="1:22">
      <c r="A4408" s="3">
        <v>4407</v>
      </c>
      <c r="L4408" s="1" t="s">
        <v>482</v>
      </c>
      <c r="N4408" s="1" t="s">
        <v>590</v>
      </c>
      <c r="P4408" s="1" t="s">
        <v>1501</v>
      </c>
      <c r="Q4408" s="3">
        <v>0</v>
      </c>
      <c r="R4408" s="22" t="s">
        <v>2766</v>
      </c>
      <c r="S4408" s="22" t="s">
        <v>5097</v>
      </c>
      <c r="T4408" s="51">
        <v>23</v>
      </c>
      <c r="U4408" s="3" t="s">
        <v>5872</v>
      </c>
      <c r="V4408" s="41" t="str">
        <f>HYPERLINK("http://ictvonline.org/taxonomy/p/taxonomy-history?taxnode_id=20184714","ICTVonline=20184714")</f>
        <v>ICTVonline=20184714</v>
      </c>
    </row>
    <row r="4409" spans="1:22">
      <c r="A4409" s="3">
        <v>4408</v>
      </c>
      <c r="L4409" s="1" t="s">
        <v>482</v>
      </c>
      <c r="N4409" s="1" t="s">
        <v>590</v>
      </c>
      <c r="P4409" s="1" t="s">
        <v>1502</v>
      </c>
      <c r="Q4409" s="3">
        <v>0</v>
      </c>
      <c r="R4409" s="22" t="s">
        <v>2766</v>
      </c>
      <c r="S4409" s="22" t="s">
        <v>5099</v>
      </c>
      <c r="T4409" s="51">
        <v>13</v>
      </c>
      <c r="U4409" s="3" t="s">
        <v>5868</v>
      </c>
      <c r="V4409" s="41" t="str">
        <f>HYPERLINK("http://ictvonline.org/taxonomy/p/taxonomy-history?taxnode_id=20184715","ICTVonline=20184715")</f>
        <v>ICTVonline=20184715</v>
      </c>
    </row>
    <row r="4410" spans="1:22">
      <c r="A4410" s="3">
        <v>4409</v>
      </c>
      <c r="L4410" s="1" t="s">
        <v>482</v>
      </c>
      <c r="N4410" s="1" t="s">
        <v>590</v>
      </c>
      <c r="P4410" s="1" t="s">
        <v>199</v>
      </c>
      <c r="Q4410" s="3">
        <v>0</v>
      </c>
      <c r="R4410" s="22" t="s">
        <v>2766</v>
      </c>
      <c r="S4410" s="22" t="s">
        <v>5097</v>
      </c>
      <c r="T4410" s="51">
        <v>26</v>
      </c>
      <c r="U4410" s="3" t="s">
        <v>6224</v>
      </c>
      <c r="V4410" s="41" t="str">
        <f>HYPERLINK("http://ictvonline.org/taxonomy/p/taxonomy-history?taxnode_id=20184716","ICTVonline=20184716")</f>
        <v>ICTVonline=20184716</v>
      </c>
    </row>
    <row r="4411" spans="1:22">
      <c r="A4411" s="3">
        <v>4410</v>
      </c>
      <c r="L4411" s="1" t="s">
        <v>482</v>
      </c>
      <c r="N4411" s="1" t="s">
        <v>590</v>
      </c>
      <c r="P4411" s="1" t="s">
        <v>1503</v>
      </c>
      <c r="Q4411" s="3">
        <v>0</v>
      </c>
      <c r="R4411" s="22" t="s">
        <v>2766</v>
      </c>
      <c r="S4411" s="22" t="s">
        <v>5097</v>
      </c>
      <c r="T4411" s="51">
        <v>24</v>
      </c>
      <c r="U4411" s="3" t="s">
        <v>6207</v>
      </c>
      <c r="V4411" s="41" t="str">
        <f>HYPERLINK("http://ictvonline.org/taxonomy/p/taxonomy-history?taxnode_id=20184717","ICTVonline=20184717")</f>
        <v>ICTVonline=20184717</v>
      </c>
    </row>
    <row r="4412" spans="1:22">
      <c r="A4412" s="3">
        <v>4411</v>
      </c>
      <c r="L4412" s="1" t="s">
        <v>482</v>
      </c>
      <c r="N4412" s="1" t="s">
        <v>590</v>
      </c>
      <c r="P4412" s="1" t="s">
        <v>1504</v>
      </c>
      <c r="Q4412" s="3">
        <v>0</v>
      </c>
      <c r="R4412" s="22" t="s">
        <v>2766</v>
      </c>
      <c r="S4412" s="22" t="s">
        <v>5097</v>
      </c>
      <c r="T4412" s="51">
        <v>22</v>
      </c>
      <c r="U4412" s="3" t="s">
        <v>6195</v>
      </c>
      <c r="V4412" s="41" t="str">
        <f>HYPERLINK("http://ictvonline.org/taxonomy/p/taxonomy-history?taxnode_id=20184718","ICTVonline=20184718")</f>
        <v>ICTVonline=20184718</v>
      </c>
    </row>
    <row r="4413" spans="1:22">
      <c r="A4413" s="3">
        <v>4412</v>
      </c>
      <c r="L4413" s="1" t="s">
        <v>482</v>
      </c>
      <c r="N4413" s="1" t="s">
        <v>590</v>
      </c>
      <c r="P4413" s="1" t="s">
        <v>4998</v>
      </c>
      <c r="Q4413" s="3">
        <v>0</v>
      </c>
      <c r="R4413" s="22" t="s">
        <v>2766</v>
      </c>
      <c r="S4413" s="22" t="s">
        <v>5097</v>
      </c>
      <c r="T4413" s="51">
        <v>31</v>
      </c>
      <c r="U4413" s="3" t="s">
        <v>6215</v>
      </c>
      <c r="V4413" s="41" t="str">
        <f>HYPERLINK("http://ictvonline.org/taxonomy/p/taxonomy-history?taxnode_id=20184719","ICTVonline=20184719")</f>
        <v>ICTVonline=20184719</v>
      </c>
    </row>
    <row r="4414" spans="1:22">
      <c r="A4414" s="3">
        <v>4413</v>
      </c>
      <c r="L4414" s="1" t="s">
        <v>482</v>
      </c>
      <c r="N4414" s="1" t="s">
        <v>590</v>
      </c>
      <c r="P4414" s="1" t="s">
        <v>2724</v>
      </c>
      <c r="Q4414" s="3">
        <v>0</v>
      </c>
      <c r="R4414" s="22" t="s">
        <v>2766</v>
      </c>
      <c r="S4414" s="22" t="s">
        <v>5097</v>
      </c>
      <c r="T4414" s="51">
        <v>29</v>
      </c>
      <c r="U4414" s="3" t="s">
        <v>6210</v>
      </c>
      <c r="V4414" s="41" t="str">
        <f>HYPERLINK("http://ictvonline.org/taxonomy/p/taxonomy-history?taxnode_id=20184720","ICTVonline=20184720")</f>
        <v>ICTVonline=20184720</v>
      </c>
    </row>
    <row r="4415" spans="1:22">
      <c r="A4415" s="3">
        <v>4414</v>
      </c>
      <c r="L4415" s="1" t="s">
        <v>482</v>
      </c>
      <c r="N4415" s="1" t="s">
        <v>590</v>
      </c>
      <c r="P4415" s="1" t="s">
        <v>1604</v>
      </c>
      <c r="Q4415" s="3">
        <v>0</v>
      </c>
      <c r="R4415" s="22" t="s">
        <v>2766</v>
      </c>
      <c r="S4415" s="22" t="s">
        <v>5099</v>
      </c>
      <c r="T4415" s="51">
        <v>13</v>
      </c>
      <c r="U4415" s="3" t="s">
        <v>5868</v>
      </c>
      <c r="V4415" s="41" t="str">
        <f>HYPERLINK("http://ictvonline.org/taxonomy/p/taxonomy-history?taxnode_id=20184721","ICTVonline=20184721")</f>
        <v>ICTVonline=20184721</v>
      </c>
    </row>
    <row r="4416" spans="1:22">
      <c r="A4416" s="3">
        <v>4415</v>
      </c>
      <c r="L4416" s="1" t="s">
        <v>482</v>
      </c>
      <c r="N4416" s="1" t="s">
        <v>590</v>
      </c>
      <c r="P4416" s="1" t="s">
        <v>1605</v>
      </c>
      <c r="Q4416" s="3">
        <v>0</v>
      </c>
      <c r="R4416" s="22" t="s">
        <v>2766</v>
      </c>
      <c r="S4416" s="22" t="s">
        <v>5099</v>
      </c>
      <c r="T4416" s="51">
        <v>13</v>
      </c>
      <c r="U4416" s="3" t="s">
        <v>5868</v>
      </c>
      <c r="V4416" s="41" t="str">
        <f>HYPERLINK("http://ictvonline.org/taxonomy/p/taxonomy-history?taxnode_id=20184722","ICTVonline=20184722")</f>
        <v>ICTVonline=20184722</v>
      </c>
    </row>
    <row r="4417" spans="1:22">
      <c r="A4417" s="3">
        <v>4416</v>
      </c>
      <c r="L4417" s="1" t="s">
        <v>482</v>
      </c>
      <c r="N4417" s="1" t="s">
        <v>6225</v>
      </c>
      <c r="P4417" s="1" t="s">
        <v>2619</v>
      </c>
      <c r="Q4417" s="3">
        <v>1</v>
      </c>
      <c r="R4417" s="22" t="s">
        <v>2766</v>
      </c>
      <c r="S4417" s="22" t="s">
        <v>5097</v>
      </c>
      <c r="T4417" s="51">
        <v>32</v>
      </c>
      <c r="U4417" s="3" t="s">
        <v>6193</v>
      </c>
      <c r="V4417" s="41" t="str">
        <f>HYPERLINK("http://ictvonline.org/taxonomy/p/taxonomy-history?taxnode_id=20184735","ICTVonline=20184735")</f>
        <v>ICTVonline=20184735</v>
      </c>
    </row>
    <row r="4418" spans="1:22">
      <c r="A4418" s="3">
        <v>4417</v>
      </c>
      <c r="L4418" s="1" t="s">
        <v>482</v>
      </c>
      <c r="N4418" s="1" t="s">
        <v>1559</v>
      </c>
      <c r="P4418" s="1" t="s">
        <v>1560</v>
      </c>
      <c r="Q4418" s="3">
        <v>0</v>
      </c>
      <c r="R4418" s="22" t="s">
        <v>2766</v>
      </c>
      <c r="S4418" s="22" t="s">
        <v>5097</v>
      </c>
      <c r="T4418" s="51">
        <v>13</v>
      </c>
      <c r="U4418" s="3" t="s">
        <v>5868</v>
      </c>
      <c r="V4418" s="41" t="str">
        <f>HYPERLINK("http://ictvonline.org/taxonomy/p/taxonomy-history?taxnode_id=20184724","ICTVonline=20184724")</f>
        <v>ICTVonline=20184724</v>
      </c>
    </row>
    <row r="4419" spans="1:22">
      <c r="A4419" s="3">
        <v>4418</v>
      </c>
      <c r="L4419" s="1" t="s">
        <v>482</v>
      </c>
      <c r="N4419" s="1" t="s">
        <v>1559</v>
      </c>
      <c r="P4419" s="1" t="s">
        <v>1561</v>
      </c>
      <c r="Q4419" s="3">
        <v>0</v>
      </c>
      <c r="R4419" s="22" t="s">
        <v>2766</v>
      </c>
      <c r="S4419" s="22" t="s">
        <v>5097</v>
      </c>
      <c r="T4419" s="51">
        <v>13</v>
      </c>
      <c r="U4419" s="3" t="s">
        <v>5868</v>
      </c>
      <c r="V4419" s="41" t="str">
        <f>HYPERLINK("http://ictvonline.org/taxonomy/p/taxonomy-history?taxnode_id=20184725","ICTVonline=20184725")</f>
        <v>ICTVonline=20184725</v>
      </c>
    </row>
    <row r="4420" spans="1:22">
      <c r="A4420" s="3">
        <v>4419</v>
      </c>
      <c r="L4420" s="1" t="s">
        <v>482</v>
      </c>
      <c r="N4420" s="1" t="s">
        <v>1559</v>
      </c>
      <c r="P4420" s="1" t="s">
        <v>1562</v>
      </c>
      <c r="Q4420" s="3">
        <v>1</v>
      </c>
      <c r="R4420" s="22" t="s">
        <v>2766</v>
      </c>
      <c r="S4420" s="22" t="s">
        <v>5102</v>
      </c>
      <c r="T4420" s="51">
        <v>13</v>
      </c>
      <c r="U4420" s="3" t="s">
        <v>5868</v>
      </c>
      <c r="V4420" s="41" t="str">
        <f>HYPERLINK("http://ictvonline.org/taxonomy/p/taxonomy-history?taxnode_id=20184726","ICTVonline=20184726")</f>
        <v>ICTVonline=20184726</v>
      </c>
    </row>
    <row r="4421" spans="1:22">
      <c r="A4421" s="3">
        <v>4420</v>
      </c>
      <c r="L4421" s="1" t="s">
        <v>482</v>
      </c>
      <c r="N4421" s="1" t="s">
        <v>1563</v>
      </c>
      <c r="P4421" s="1" t="s">
        <v>1564</v>
      </c>
      <c r="Q4421" s="3">
        <v>0</v>
      </c>
      <c r="R4421" s="22" t="s">
        <v>2766</v>
      </c>
      <c r="S4421" s="22" t="s">
        <v>5097</v>
      </c>
      <c r="T4421" s="51">
        <v>17</v>
      </c>
      <c r="U4421" s="3" t="s">
        <v>5823</v>
      </c>
      <c r="V4421" s="41" t="str">
        <f>HYPERLINK("http://ictvonline.org/taxonomy/p/taxonomy-history?taxnode_id=20184728","ICTVonline=20184728")</f>
        <v>ICTVonline=20184728</v>
      </c>
    </row>
    <row r="4422" spans="1:22">
      <c r="A4422" s="3">
        <v>4421</v>
      </c>
      <c r="L4422" s="1" t="s">
        <v>482</v>
      </c>
      <c r="N4422" s="1" t="s">
        <v>1563</v>
      </c>
      <c r="P4422" s="1" t="s">
        <v>1565</v>
      </c>
      <c r="Q4422" s="3">
        <v>0</v>
      </c>
      <c r="R4422" s="22" t="s">
        <v>2766</v>
      </c>
      <c r="S4422" s="22" t="s">
        <v>5099</v>
      </c>
      <c r="T4422" s="51">
        <v>22</v>
      </c>
      <c r="U4422" s="3" t="s">
        <v>6195</v>
      </c>
      <c r="V4422" s="41" t="str">
        <f>HYPERLINK("http://ictvonline.org/taxonomy/p/taxonomy-history?taxnode_id=20184729","ICTVonline=20184729")</f>
        <v>ICTVonline=20184729</v>
      </c>
    </row>
    <row r="4423" spans="1:22">
      <c r="A4423" s="3">
        <v>4422</v>
      </c>
      <c r="L4423" s="1" t="s">
        <v>482</v>
      </c>
      <c r="N4423" s="1" t="s">
        <v>1563</v>
      </c>
      <c r="P4423" s="1" t="s">
        <v>2725</v>
      </c>
      <c r="Q4423" s="3">
        <v>0</v>
      </c>
      <c r="R4423" s="22" t="s">
        <v>2766</v>
      </c>
      <c r="S4423" s="22" t="s">
        <v>5097</v>
      </c>
      <c r="T4423" s="51">
        <v>29</v>
      </c>
      <c r="U4423" s="3" t="s">
        <v>6226</v>
      </c>
      <c r="V4423" s="41" t="str">
        <f>HYPERLINK("http://ictvonline.org/taxonomy/p/taxonomy-history?taxnode_id=20184730","ICTVonline=20184730")</f>
        <v>ICTVonline=20184730</v>
      </c>
    </row>
    <row r="4424" spans="1:22">
      <c r="A4424" s="3">
        <v>4423</v>
      </c>
      <c r="L4424" s="1" t="s">
        <v>482</v>
      </c>
      <c r="N4424" s="1" t="s">
        <v>1563</v>
      </c>
      <c r="P4424" s="1" t="s">
        <v>2156</v>
      </c>
      <c r="Q4424" s="3">
        <v>0</v>
      </c>
      <c r="R4424" s="22" t="s">
        <v>2766</v>
      </c>
      <c r="S4424" s="22" t="s">
        <v>5097</v>
      </c>
      <c r="T4424" s="51">
        <v>25</v>
      </c>
      <c r="U4424" s="3" t="s">
        <v>6208</v>
      </c>
      <c r="V4424" s="41" t="str">
        <f>HYPERLINK("http://ictvonline.org/taxonomy/p/taxonomy-history?taxnode_id=20184731","ICTVonline=20184731")</f>
        <v>ICTVonline=20184731</v>
      </c>
    </row>
    <row r="4425" spans="1:22">
      <c r="A4425" s="3">
        <v>4424</v>
      </c>
      <c r="L4425" s="1" t="s">
        <v>482</v>
      </c>
      <c r="N4425" s="1" t="s">
        <v>1563</v>
      </c>
      <c r="P4425" s="1" t="s">
        <v>1566</v>
      </c>
      <c r="Q4425" s="3">
        <v>1</v>
      </c>
      <c r="R4425" s="22" t="s">
        <v>2766</v>
      </c>
      <c r="S4425" s="22" t="s">
        <v>5103</v>
      </c>
      <c r="T4425" s="51">
        <v>17</v>
      </c>
      <c r="U4425" s="3" t="s">
        <v>5823</v>
      </c>
      <c r="V4425" s="41" t="str">
        <f>HYPERLINK("http://ictvonline.org/taxonomy/p/taxonomy-history?taxnode_id=20184732","ICTVonline=20184732")</f>
        <v>ICTVonline=20184732</v>
      </c>
    </row>
    <row r="4426" spans="1:22">
      <c r="A4426" s="3">
        <v>4425</v>
      </c>
      <c r="L4426" s="1" t="s">
        <v>482</v>
      </c>
      <c r="N4426" s="1" t="s">
        <v>1563</v>
      </c>
      <c r="P4426" s="1" t="s">
        <v>6227</v>
      </c>
      <c r="Q4426" s="3">
        <v>0</v>
      </c>
      <c r="R4426" s="22" t="s">
        <v>2766</v>
      </c>
      <c r="S4426" s="22" t="s">
        <v>5097</v>
      </c>
      <c r="T4426" s="51">
        <v>27</v>
      </c>
      <c r="U4426" s="3" t="s">
        <v>6709</v>
      </c>
      <c r="V4426" s="41" t="str">
        <f>HYPERLINK("http://ictvonline.org/taxonomy/p/taxonomy-history?taxnode_id=20184733","ICTVonline=20184733")</f>
        <v>ICTVonline=20184733</v>
      </c>
    </row>
    <row r="4427" spans="1:22">
      <c r="A4427" s="3">
        <v>4426</v>
      </c>
      <c r="L4427" s="1" t="s">
        <v>482</v>
      </c>
      <c r="P4427" s="1" t="s">
        <v>495</v>
      </c>
      <c r="Q4427" s="3">
        <v>0</v>
      </c>
      <c r="R4427" s="22" t="s">
        <v>2766</v>
      </c>
      <c r="S4427" s="22" t="s">
        <v>5097</v>
      </c>
      <c r="T4427" s="51">
        <v>22</v>
      </c>
      <c r="U4427" s="3" t="s">
        <v>6195</v>
      </c>
      <c r="V4427" s="41" t="str">
        <f>HYPERLINK("http://ictvonline.org/taxonomy/p/taxonomy-history?taxnode_id=20184736","ICTVonline=20184736")</f>
        <v>ICTVonline=20184736</v>
      </c>
    </row>
    <row r="4428" spans="1:22">
      <c r="A4428" s="3">
        <v>4427</v>
      </c>
      <c r="L4428" s="1" t="s">
        <v>2091</v>
      </c>
      <c r="M4428" s="1" t="s">
        <v>2092</v>
      </c>
      <c r="N4428" s="1" t="s">
        <v>2093</v>
      </c>
      <c r="P4428" s="1" t="s">
        <v>500</v>
      </c>
      <c r="Q4428" s="3">
        <v>0</v>
      </c>
      <c r="R4428" s="22" t="s">
        <v>2764</v>
      </c>
      <c r="S4428" s="22" t="s">
        <v>5100</v>
      </c>
      <c r="T4428" s="51">
        <v>12</v>
      </c>
      <c r="U4428" s="3" t="s">
        <v>5932</v>
      </c>
      <c r="V4428" s="41" t="str">
        <f>HYPERLINK("http://ictvonline.org/taxonomy/p/taxonomy-history?taxnode_id=20184740","ICTVonline=20184740")</f>
        <v>ICTVonline=20184740</v>
      </c>
    </row>
    <row r="4429" spans="1:22">
      <c r="A4429" s="3">
        <v>4428</v>
      </c>
      <c r="L4429" s="1" t="s">
        <v>2091</v>
      </c>
      <c r="M4429" s="1" t="s">
        <v>2092</v>
      </c>
      <c r="N4429" s="1" t="s">
        <v>2093</v>
      </c>
      <c r="P4429" s="1" t="s">
        <v>501</v>
      </c>
      <c r="Q4429" s="3">
        <v>1</v>
      </c>
      <c r="R4429" s="22" t="s">
        <v>2764</v>
      </c>
      <c r="S4429" s="22" t="s">
        <v>5099</v>
      </c>
      <c r="T4429" s="51">
        <v>5</v>
      </c>
      <c r="U4429" s="3" t="s">
        <v>6228</v>
      </c>
      <c r="V4429" s="41" t="str">
        <f>HYPERLINK("http://ictvonline.org/taxonomy/p/taxonomy-history?taxnode_id=20184741","ICTVonline=20184741")</f>
        <v>ICTVonline=20184741</v>
      </c>
    </row>
    <row r="4430" spans="1:22">
      <c r="A4430" s="3">
        <v>4429</v>
      </c>
      <c r="L4430" s="1" t="s">
        <v>2091</v>
      </c>
      <c r="M4430" s="1" t="s">
        <v>2092</v>
      </c>
      <c r="N4430" s="1" t="s">
        <v>2093</v>
      </c>
      <c r="P4430" s="1" t="s">
        <v>502</v>
      </c>
      <c r="Q4430" s="3">
        <v>0</v>
      </c>
      <c r="R4430" s="22" t="s">
        <v>2764</v>
      </c>
      <c r="S4430" s="22" t="s">
        <v>5100</v>
      </c>
      <c r="T4430" s="51">
        <v>12</v>
      </c>
      <c r="U4430" s="3" t="s">
        <v>5932</v>
      </c>
      <c r="V4430" s="41" t="str">
        <f>HYPERLINK("http://ictvonline.org/taxonomy/p/taxonomy-history?taxnode_id=20184742","ICTVonline=20184742")</f>
        <v>ICTVonline=20184742</v>
      </c>
    </row>
    <row r="4431" spans="1:22">
      <c r="A4431" s="3">
        <v>4430</v>
      </c>
      <c r="L4431" s="1" t="s">
        <v>2091</v>
      </c>
      <c r="M4431" s="1" t="s">
        <v>2092</v>
      </c>
      <c r="N4431" s="1" t="s">
        <v>2093</v>
      </c>
      <c r="P4431" s="1" t="s">
        <v>503</v>
      </c>
      <c r="Q4431" s="3">
        <v>0</v>
      </c>
      <c r="R4431" s="22" t="s">
        <v>2764</v>
      </c>
      <c r="S4431" s="22" t="s">
        <v>5097</v>
      </c>
      <c r="T4431" s="51">
        <v>14</v>
      </c>
      <c r="U4431" s="3" t="s">
        <v>5879</v>
      </c>
      <c r="V4431" s="41" t="str">
        <f>HYPERLINK("http://ictvonline.org/taxonomy/p/taxonomy-history?taxnode_id=20184743","ICTVonline=20184743")</f>
        <v>ICTVonline=20184743</v>
      </c>
    </row>
    <row r="4432" spans="1:22">
      <c r="A4432" s="3">
        <v>4431</v>
      </c>
      <c r="L4432" s="1" t="s">
        <v>2091</v>
      </c>
      <c r="M4432" s="1" t="s">
        <v>2092</v>
      </c>
      <c r="N4432" s="1" t="s">
        <v>2093</v>
      </c>
      <c r="P4432" s="1" t="s">
        <v>504</v>
      </c>
      <c r="Q4432" s="3">
        <v>0</v>
      </c>
      <c r="R4432" s="22" t="s">
        <v>2764</v>
      </c>
      <c r="S4432" s="22" t="s">
        <v>5100</v>
      </c>
      <c r="T4432" s="51">
        <v>12</v>
      </c>
      <c r="U4432" s="3" t="s">
        <v>5932</v>
      </c>
      <c r="V4432" s="41" t="str">
        <f>HYPERLINK("http://ictvonline.org/taxonomy/p/taxonomy-history?taxnode_id=20184744","ICTVonline=20184744")</f>
        <v>ICTVonline=20184744</v>
      </c>
    </row>
    <row r="4433" spans="1:22">
      <c r="A4433" s="3">
        <v>4432</v>
      </c>
      <c r="L4433" s="1" t="s">
        <v>2091</v>
      </c>
      <c r="M4433" s="1" t="s">
        <v>2092</v>
      </c>
      <c r="N4433" s="1" t="s">
        <v>2093</v>
      </c>
      <c r="P4433" s="1" t="s">
        <v>505</v>
      </c>
      <c r="Q4433" s="3">
        <v>0</v>
      </c>
      <c r="R4433" s="22" t="s">
        <v>2764</v>
      </c>
      <c r="S4433" s="22" t="s">
        <v>5097</v>
      </c>
      <c r="T4433" s="51">
        <v>12</v>
      </c>
      <c r="U4433" s="3" t="s">
        <v>5932</v>
      </c>
      <c r="V4433" s="41" t="str">
        <f>HYPERLINK("http://ictvonline.org/taxonomy/p/taxonomy-history?taxnode_id=20184745","ICTVonline=20184745")</f>
        <v>ICTVonline=20184745</v>
      </c>
    </row>
    <row r="4434" spans="1:22">
      <c r="A4434" s="3">
        <v>4433</v>
      </c>
      <c r="L4434" s="1" t="s">
        <v>2091</v>
      </c>
      <c r="M4434" s="1" t="s">
        <v>2092</v>
      </c>
      <c r="N4434" s="1" t="s">
        <v>2093</v>
      </c>
      <c r="P4434" s="1" t="s">
        <v>506</v>
      </c>
      <c r="Q4434" s="3">
        <v>0</v>
      </c>
      <c r="R4434" s="22" t="s">
        <v>2764</v>
      </c>
      <c r="S4434" s="22" t="s">
        <v>5100</v>
      </c>
      <c r="T4434" s="51">
        <v>12</v>
      </c>
      <c r="U4434" s="3" t="s">
        <v>5932</v>
      </c>
      <c r="V4434" s="41" t="str">
        <f>HYPERLINK("http://ictvonline.org/taxonomy/p/taxonomy-history?taxnode_id=20184746","ICTVonline=20184746")</f>
        <v>ICTVonline=20184746</v>
      </c>
    </row>
    <row r="4435" spans="1:22">
      <c r="A4435" s="3">
        <v>4434</v>
      </c>
      <c r="L4435" s="1" t="s">
        <v>2091</v>
      </c>
      <c r="M4435" s="1" t="s">
        <v>2092</v>
      </c>
      <c r="N4435" s="1" t="s">
        <v>2093</v>
      </c>
      <c r="P4435" s="1" t="s">
        <v>507</v>
      </c>
      <c r="Q4435" s="3">
        <v>0</v>
      </c>
      <c r="R4435" s="22" t="s">
        <v>2764</v>
      </c>
      <c r="S4435" s="22" t="s">
        <v>5100</v>
      </c>
      <c r="T4435" s="51">
        <v>12</v>
      </c>
      <c r="U4435" s="3" t="s">
        <v>5932</v>
      </c>
      <c r="V4435" s="41" t="str">
        <f>HYPERLINK("http://ictvonline.org/taxonomy/p/taxonomy-history?taxnode_id=20184747","ICTVonline=20184747")</f>
        <v>ICTVonline=20184747</v>
      </c>
    </row>
    <row r="4436" spans="1:22">
      <c r="A4436" s="3">
        <v>4435</v>
      </c>
      <c r="L4436" s="1" t="s">
        <v>2091</v>
      </c>
      <c r="M4436" s="1" t="s">
        <v>2092</v>
      </c>
      <c r="N4436" s="1" t="s">
        <v>2093</v>
      </c>
      <c r="P4436" s="1" t="s">
        <v>508</v>
      </c>
      <c r="Q4436" s="3">
        <v>0</v>
      </c>
      <c r="R4436" s="22" t="s">
        <v>2764</v>
      </c>
      <c r="S4436" s="22" t="s">
        <v>5100</v>
      </c>
      <c r="T4436" s="51">
        <v>12</v>
      </c>
      <c r="U4436" s="3" t="s">
        <v>5932</v>
      </c>
      <c r="V4436" s="41" t="str">
        <f>HYPERLINK("http://ictvonline.org/taxonomy/p/taxonomy-history?taxnode_id=20184748","ICTVonline=20184748")</f>
        <v>ICTVonline=20184748</v>
      </c>
    </row>
    <row r="4437" spans="1:22">
      <c r="A4437" s="3">
        <v>4436</v>
      </c>
      <c r="L4437" s="1" t="s">
        <v>2091</v>
      </c>
      <c r="M4437" s="1" t="s">
        <v>2092</v>
      </c>
      <c r="N4437" s="1" t="s">
        <v>2093</v>
      </c>
      <c r="P4437" s="1" t="s">
        <v>509</v>
      </c>
      <c r="Q4437" s="3">
        <v>0</v>
      </c>
      <c r="R4437" s="22" t="s">
        <v>2764</v>
      </c>
      <c r="S4437" s="22" t="s">
        <v>5100</v>
      </c>
      <c r="T4437" s="51">
        <v>12</v>
      </c>
      <c r="U4437" s="3" t="s">
        <v>5932</v>
      </c>
      <c r="V4437" s="41" t="str">
        <f>HYPERLINK("http://ictvonline.org/taxonomy/p/taxonomy-history?taxnode_id=20184749","ICTVonline=20184749")</f>
        <v>ICTVonline=20184749</v>
      </c>
    </row>
    <row r="4438" spans="1:22">
      <c r="A4438" s="3">
        <v>4437</v>
      </c>
      <c r="L4438" s="1" t="s">
        <v>2091</v>
      </c>
      <c r="M4438" s="1" t="s">
        <v>2092</v>
      </c>
      <c r="N4438" s="1" t="s">
        <v>510</v>
      </c>
      <c r="P4438" s="1" t="s">
        <v>1574</v>
      </c>
      <c r="Q4438" s="3">
        <v>0</v>
      </c>
      <c r="R4438" s="22" t="s">
        <v>2764</v>
      </c>
      <c r="S4438" s="22" t="s">
        <v>5100</v>
      </c>
      <c r="T4438" s="51">
        <v>12</v>
      </c>
      <c r="U4438" s="3" t="s">
        <v>5932</v>
      </c>
      <c r="V4438" s="41" t="str">
        <f>HYPERLINK("http://ictvonline.org/taxonomy/p/taxonomy-history?taxnode_id=20184751","ICTVonline=20184751")</f>
        <v>ICTVonline=20184751</v>
      </c>
    </row>
    <row r="4439" spans="1:22">
      <c r="A4439" s="3">
        <v>4438</v>
      </c>
      <c r="L4439" s="1" t="s">
        <v>2091</v>
      </c>
      <c r="M4439" s="1" t="s">
        <v>2092</v>
      </c>
      <c r="N4439" s="1" t="s">
        <v>510</v>
      </c>
      <c r="P4439" s="1" t="s">
        <v>1575</v>
      </c>
      <c r="Q4439" s="3">
        <v>0</v>
      </c>
      <c r="R4439" s="22" t="s">
        <v>2764</v>
      </c>
      <c r="S4439" s="22" t="s">
        <v>5099</v>
      </c>
      <c r="T4439" s="51">
        <v>5</v>
      </c>
      <c r="U4439" s="3" t="s">
        <v>6228</v>
      </c>
      <c r="V4439" s="41" t="str">
        <f>HYPERLINK("http://ictvonline.org/taxonomy/p/taxonomy-history?taxnode_id=20184752","ICTVonline=20184752")</f>
        <v>ICTVonline=20184752</v>
      </c>
    </row>
    <row r="4440" spans="1:22">
      <c r="A4440" s="3">
        <v>4439</v>
      </c>
      <c r="L4440" s="1" t="s">
        <v>2091</v>
      </c>
      <c r="M4440" s="1" t="s">
        <v>2092</v>
      </c>
      <c r="N4440" s="1" t="s">
        <v>510</v>
      </c>
      <c r="P4440" s="1" t="s">
        <v>1576</v>
      </c>
      <c r="Q4440" s="3">
        <v>1</v>
      </c>
      <c r="R4440" s="22" t="s">
        <v>2764</v>
      </c>
      <c r="S4440" s="22" t="s">
        <v>5100</v>
      </c>
      <c r="T4440" s="51">
        <v>12</v>
      </c>
      <c r="U4440" s="3" t="s">
        <v>5932</v>
      </c>
      <c r="V4440" s="41" t="str">
        <f>HYPERLINK("http://ictvonline.org/taxonomy/p/taxonomy-history?taxnode_id=20184753","ICTVonline=20184753")</f>
        <v>ICTVonline=20184753</v>
      </c>
    </row>
    <row r="4441" spans="1:22">
      <c r="A4441" s="3">
        <v>4440</v>
      </c>
      <c r="L4441" s="1" t="s">
        <v>2091</v>
      </c>
      <c r="M4441" s="1" t="s">
        <v>2092</v>
      </c>
      <c r="N4441" s="1" t="s">
        <v>4999</v>
      </c>
      <c r="P4441" s="1" t="s">
        <v>5000</v>
      </c>
      <c r="Q4441" s="3">
        <v>1</v>
      </c>
      <c r="R4441" s="22" t="s">
        <v>2764</v>
      </c>
      <c r="S4441" s="22" t="s">
        <v>5097</v>
      </c>
      <c r="T4441" s="51">
        <v>31</v>
      </c>
      <c r="U4441" s="3" t="s">
        <v>6229</v>
      </c>
      <c r="V4441" s="41" t="str">
        <f>HYPERLINK("http://ictvonline.org/taxonomy/p/taxonomy-history?taxnode_id=20184755","ICTVonline=20184755")</f>
        <v>ICTVonline=20184755</v>
      </c>
    </row>
    <row r="4442" spans="1:22">
      <c r="A4442" s="3">
        <v>4441</v>
      </c>
      <c r="L4442" s="1" t="s">
        <v>2091</v>
      </c>
      <c r="M4442" s="1" t="s">
        <v>2092</v>
      </c>
      <c r="N4442" s="1" t="s">
        <v>1577</v>
      </c>
      <c r="P4442" s="1" t="s">
        <v>200</v>
      </c>
      <c r="Q4442" s="3">
        <v>1</v>
      </c>
      <c r="R4442" s="22" t="s">
        <v>2764</v>
      </c>
      <c r="S4442" s="22" t="s">
        <v>5100</v>
      </c>
      <c r="T4442" s="51">
        <v>26</v>
      </c>
      <c r="U4442" s="3" t="s">
        <v>6230</v>
      </c>
      <c r="V4442" s="41" t="str">
        <f>HYPERLINK("http://ictvonline.org/taxonomy/p/taxonomy-history?taxnode_id=20184757","ICTVonline=20184757")</f>
        <v>ICTVonline=20184757</v>
      </c>
    </row>
    <row r="4443" spans="1:22">
      <c r="A4443" s="3">
        <v>4442</v>
      </c>
      <c r="L4443" s="1" t="s">
        <v>2091</v>
      </c>
      <c r="M4443" s="1" t="s">
        <v>2092</v>
      </c>
      <c r="N4443" s="1" t="s">
        <v>201</v>
      </c>
      <c r="P4443" s="1" t="s">
        <v>202</v>
      </c>
      <c r="Q4443" s="3">
        <v>1</v>
      </c>
      <c r="R4443" s="22" t="s">
        <v>2764</v>
      </c>
      <c r="S4443" s="22" t="s">
        <v>5102</v>
      </c>
      <c r="T4443" s="51">
        <v>26</v>
      </c>
      <c r="U4443" s="3" t="s">
        <v>6231</v>
      </c>
      <c r="V4443" s="41" t="str">
        <f>HYPERLINK("http://ictvonline.org/taxonomy/p/taxonomy-history?taxnode_id=20184759","ICTVonline=20184759")</f>
        <v>ICTVonline=20184759</v>
      </c>
    </row>
    <row r="4444" spans="1:22">
      <c r="A4444" s="3">
        <v>4443</v>
      </c>
      <c r="L4444" s="1" t="s">
        <v>2091</v>
      </c>
      <c r="M4444" s="1" t="s">
        <v>2092</v>
      </c>
      <c r="N4444" s="1" t="s">
        <v>497</v>
      </c>
      <c r="P4444" s="1" t="s">
        <v>498</v>
      </c>
      <c r="Q4444" s="3">
        <v>0</v>
      </c>
      <c r="R4444" s="22" t="s">
        <v>2764</v>
      </c>
      <c r="S4444" s="22" t="s">
        <v>5099</v>
      </c>
      <c r="T4444" s="51">
        <v>5</v>
      </c>
      <c r="U4444" s="3" t="s">
        <v>6228</v>
      </c>
      <c r="V4444" s="41" t="str">
        <f>HYPERLINK("http://ictvonline.org/taxonomy/p/taxonomy-history?taxnode_id=20184761","ICTVonline=20184761")</f>
        <v>ICTVonline=20184761</v>
      </c>
    </row>
    <row r="4445" spans="1:22">
      <c r="A4445" s="3">
        <v>4444</v>
      </c>
      <c r="L4445" s="1" t="s">
        <v>2091</v>
      </c>
      <c r="M4445" s="1" t="s">
        <v>2092</v>
      </c>
      <c r="N4445" s="1" t="s">
        <v>497</v>
      </c>
      <c r="P4445" s="1" t="s">
        <v>499</v>
      </c>
      <c r="Q4445" s="3">
        <v>1</v>
      </c>
      <c r="R4445" s="22" t="s">
        <v>2764</v>
      </c>
      <c r="S4445" s="22" t="s">
        <v>5099</v>
      </c>
      <c r="T4445" s="51">
        <v>5</v>
      </c>
      <c r="U4445" s="3" t="s">
        <v>6228</v>
      </c>
      <c r="V4445" s="41" t="str">
        <f>HYPERLINK("http://ictvonline.org/taxonomy/p/taxonomy-history?taxnode_id=20184762","ICTVonline=20184762")</f>
        <v>ICTVonline=20184762</v>
      </c>
    </row>
    <row r="4446" spans="1:22">
      <c r="A4446" s="3">
        <v>4445</v>
      </c>
      <c r="L4446" s="1" t="s">
        <v>2091</v>
      </c>
      <c r="M4446" s="1" t="s">
        <v>2092</v>
      </c>
      <c r="N4446" s="1" t="s">
        <v>497</v>
      </c>
      <c r="P4446" s="1" t="s">
        <v>492</v>
      </c>
      <c r="Q4446" s="3">
        <v>0</v>
      </c>
      <c r="R4446" s="22" t="s">
        <v>2764</v>
      </c>
      <c r="S4446" s="22" t="s">
        <v>5100</v>
      </c>
      <c r="T4446" s="51">
        <v>14</v>
      </c>
      <c r="U4446" s="3" t="s">
        <v>5879</v>
      </c>
      <c r="V4446" s="41" t="str">
        <f>HYPERLINK("http://ictvonline.org/taxonomy/p/taxonomy-history?taxnode_id=20184763","ICTVonline=20184763")</f>
        <v>ICTVonline=20184763</v>
      </c>
    </row>
    <row r="4447" spans="1:22">
      <c r="A4447" s="3">
        <v>4446</v>
      </c>
      <c r="L4447" s="1" t="s">
        <v>2091</v>
      </c>
      <c r="M4447" s="1" t="s">
        <v>2092</v>
      </c>
      <c r="N4447" s="1" t="s">
        <v>497</v>
      </c>
      <c r="P4447" s="1" t="s">
        <v>493</v>
      </c>
      <c r="Q4447" s="3">
        <v>0</v>
      </c>
      <c r="R4447" s="22" t="s">
        <v>2764</v>
      </c>
      <c r="S4447" s="22" t="s">
        <v>5099</v>
      </c>
      <c r="T4447" s="51">
        <v>5</v>
      </c>
      <c r="U4447" s="3" t="s">
        <v>6228</v>
      </c>
      <c r="V4447" s="41" t="str">
        <f>HYPERLINK("http://ictvonline.org/taxonomy/p/taxonomy-history?taxnode_id=20184764","ICTVonline=20184764")</f>
        <v>ICTVonline=20184764</v>
      </c>
    </row>
    <row r="4448" spans="1:22">
      <c r="A4448" s="3">
        <v>4447</v>
      </c>
      <c r="L4448" s="1" t="s">
        <v>2091</v>
      </c>
      <c r="M4448" s="1" t="s">
        <v>2092</v>
      </c>
      <c r="N4448" s="1" t="s">
        <v>494</v>
      </c>
      <c r="P4448" s="1" t="s">
        <v>1940</v>
      </c>
      <c r="Q4448" s="3">
        <v>1</v>
      </c>
      <c r="R4448" s="22" t="s">
        <v>2764</v>
      </c>
      <c r="S4448" s="22" t="s">
        <v>5103</v>
      </c>
      <c r="T4448" s="51">
        <v>11</v>
      </c>
      <c r="U4448" s="3" t="s">
        <v>6232</v>
      </c>
      <c r="V4448" s="41" t="str">
        <f>HYPERLINK("http://ictvonline.org/taxonomy/p/taxonomy-history?taxnode_id=20184766","ICTVonline=20184766")</f>
        <v>ICTVonline=20184766</v>
      </c>
    </row>
    <row r="4449" spans="1:22">
      <c r="A4449" s="3">
        <v>4448</v>
      </c>
      <c r="L4449" s="1" t="s">
        <v>2091</v>
      </c>
      <c r="M4449" s="1" t="s">
        <v>2092</v>
      </c>
      <c r="N4449" s="1" t="s">
        <v>1226</v>
      </c>
      <c r="P4449" s="1" t="s">
        <v>1227</v>
      </c>
      <c r="Q4449" s="3">
        <v>0</v>
      </c>
      <c r="R4449" s="22" t="s">
        <v>2764</v>
      </c>
      <c r="S4449" s="22" t="s">
        <v>5100</v>
      </c>
      <c r="T4449" s="51">
        <v>6</v>
      </c>
      <c r="U4449" s="3" t="s">
        <v>6233</v>
      </c>
      <c r="V4449" s="41" t="str">
        <f>HYPERLINK("http://ictvonline.org/taxonomy/p/taxonomy-history?taxnode_id=20184768","ICTVonline=20184768")</f>
        <v>ICTVonline=20184768</v>
      </c>
    </row>
    <row r="4450" spans="1:22">
      <c r="A4450" s="3">
        <v>4449</v>
      </c>
      <c r="L4450" s="1" t="s">
        <v>2091</v>
      </c>
      <c r="M4450" s="1" t="s">
        <v>2092</v>
      </c>
      <c r="N4450" s="1" t="s">
        <v>1226</v>
      </c>
      <c r="P4450" s="1" t="s">
        <v>1228</v>
      </c>
      <c r="Q4450" s="3">
        <v>0</v>
      </c>
      <c r="R4450" s="22" t="s">
        <v>2764</v>
      </c>
      <c r="S4450" s="22" t="s">
        <v>5099</v>
      </c>
      <c r="T4450" s="51">
        <v>5</v>
      </c>
      <c r="U4450" s="3" t="s">
        <v>6228</v>
      </c>
      <c r="V4450" s="41" t="str">
        <f>HYPERLINK("http://ictvonline.org/taxonomy/p/taxonomy-history?taxnode_id=20184769","ICTVonline=20184769")</f>
        <v>ICTVonline=20184769</v>
      </c>
    </row>
    <row r="4451" spans="1:22">
      <c r="A4451" s="3">
        <v>4450</v>
      </c>
      <c r="L4451" s="1" t="s">
        <v>2091</v>
      </c>
      <c r="M4451" s="1" t="s">
        <v>2092</v>
      </c>
      <c r="N4451" s="1" t="s">
        <v>1226</v>
      </c>
      <c r="P4451" s="1" t="s">
        <v>1229</v>
      </c>
      <c r="Q4451" s="3">
        <v>0</v>
      </c>
      <c r="R4451" s="22" t="s">
        <v>2764</v>
      </c>
      <c r="S4451" s="22" t="s">
        <v>5099</v>
      </c>
      <c r="T4451" s="51">
        <v>5</v>
      </c>
      <c r="U4451" s="3" t="s">
        <v>6228</v>
      </c>
      <c r="V4451" s="41" t="str">
        <f>HYPERLINK("http://ictvonline.org/taxonomy/p/taxonomy-history?taxnode_id=20184770","ICTVonline=20184770")</f>
        <v>ICTVonline=20184770</v>
      </c>
    </row>
    <row r="4452" spans="1:22">
      <c r="A4452" s="3">
        <v>4451</v>
      </c>
      <c r="L4452" s="1" t="s">
        <v>2091</v>
      </c>
      <c r="M4452" s="1" t="s">
        <v>2092</v>
      </c>
      <c r="N4452" s="1" t="s">
        <v>1226</v>
      </c>
      <c r="P4452" s="1" t="s">
        <v>1230</v>
      </c>
      <c r="Q4452" s="3">
        <v>0</v>
      </c>
      <c r="R4452" s="22" t="s">
        <v>2764</v>
      </c>
      <c r="S4452" s="22" t="s">
        <v>5099</v>
      </c>
      <c r="T4452" s="51">
        <v>5</v>
      </c>
      <c r="U4452" s="3" t="s">
        <v>6228</v>
      </c>
      <c r="V4452" s="41" t="str">
        <f>HYPERLINK("http://ictvonline.org/taxonomy/p/taxonomy-history?taxnode_id=20184771","ICTVonline=20184771")</f>
        <v>ICTVonline=20184771</v>
      </c>
    </row>
    <row r="4453" spans="1:22">
      <c r="A4453" s="3">
        <v>4452</v>
      </c>
      <c r="L4453" s="1" t="s">
        <v>2091</v>
      </c>
      <c r="M4453" s="1" t="s">
        <v>2092</v>
      </c>
      <c r="N4453" s="1" t="s">
        <v>1226</v>
      </c>
      <c r="P4453" s="1" t="s">
        <v>1231</v>
      </c>
      <c r="Q4453" s="3">
        <v>0</v>
      </c>
      <c r="R4453" s="22" t="s">
        <v>2764</v>
      </c>
      <c r="S4453" s="22" t="s">
        <v>5099</v>
      </c>
      <c r="T4453" s="51">
        <v>12</v>
      </c>
      <c r="U4453" s="3" t="s">
        <v>5932</v>
      </c>
      <c r="V4453" s="41" t="str">
        <f>HYPERLINK("http://ictvonline.org/taxonomy/p/taxonomy-history?taxnode_id=20184772","ICTVonline=20184772")</f>
        <v>ICTVonline=20184772</v>
      </c>
    </row>
    <row r="4454" spans="1:22">
      <c r="A4454" s="3">
        <v>4453</v>
      </c>
      <c r="L4454" s="1" t="s">
        <v>2091</v>
      </c>
      <c r="M4454" s="1" t="s">
        <v>2092</v>
      </c>
      <c r="N4454" s="1" t="s">
        <v>1226</v>
      </c>
      <c r="P4454" s="1" t="s">
        <v>203</v>
      </c>
      <c r="Q4454" s="3">
        <v>0</v>
      </c>
      <c r="R4454" s="22" t="s">
        <v>2764</v>
      </c>
      <c r="S4454" s="22" t="s">
        <v>5097</v>
      </c>
      <c r="T4454" s="51">
        <v>26</v>
      </c>
      <c r="U4454" s="3" t="s">
        <v>6231</v>
      </c>
      <c r="V4454" s="41" t="str">
        <f>HYPERLINK("http://ictvonline.org/taxonomy/p/taxonomy-history?taxnode_id=20184773","ICTVonline=20184773")</f>
        <v>ICTVonline=20184773</v>
      </c>
    </row>
    <row r="4455" spans="1:22">
      <c r="A4455" s="3">
        <v>4454</v>
      </c>
      <c r="L4455" s="1" t="s">
        <v>2091</v>
      </c>
      <c r="M4455" s="1" t="s">
        <v>2092</v>
      </c>
      <c r="N4455" s="1" t="s">
        <v>1226</v>
      </c>
      <c r="P4455" s="1" t="s">
        <v>1232</v>
      </c>
      <c r="Q4455" s="3">
        <v>0</v>
      </c>
      <c r="R4455" s="22" t="s">
        <v>2764</v>
      </c>
      <c r="S4455" s="22" t="s">
        <v>5097</v>
      </c>
      <c r="T4455" s="51">
        <v>12</v>
      </c>
      <c r="U4455" s="3" t="s">
        <v>5932</v>
      </c>
      <c r="V4455" s="41" t="str">
        <f>HYPERLINK("http://ictvonline.org/taxonomy/p/taxonomy-history?taxnode_id=20184774","ICTVonline=20184774")</f>
        <v>ICTVonline=20184774</v>
      </c>
    </row>
    <row r="4456" spans="1:22">
      <c r="A4456" s="3">
        <v>4455</v>
      </c>
      <c r="L4456" s="1" t="s">
        <v>2091</v>
      </c>
      <c r="M4456" s="1" t="s">
        <v>2092</v>
      </c>
      <c r="N4456" s="1" t="s">
        <v>1226</v>
      </c>
      <c r="P4456" s="1" t="s">
        <v>1233</v>
      </c>
      <c r="Q4456" s="3">
        <v>1</v>
      </c>
      <c r="R4456" s="22" t="s">
        <v>2764</v>
      </c>
      <c r="S4456" s="22" t="s">
        <v>5109</v>
      </c>
      <c r="T4456" s="51">
        <v>12</v>
      </c>
      <c r="U4456" s="3" t="s">
        <v>5932</v>
      </c>
      <c r="V4456" s="41" t="str">
        <f>HYPERLINK("http://ictvonline.org/taxonomy/p/taxonomy-history?taxnode_id=20184775","ICTVonline=20184775")</f>
        <v>ICTVonline=20184775</v>
      </c>
    </row>
    <row r="4457" spans="1:22">
      <c r="A4457" s="3">
        <v>4456</v>
      </c>
      <c r="L4457" s="1" t="s">
        <v>2091</v>
      </c>
      <c r="M4457" s="1" t="s">
        <v>2092</v>
      </c>
      <c r="N4457" s="1" t="s">
        <v>1226</v>
      </c>
      <c r="P4457" s="1" t="s">
        <v>1234</v>
      </c>
      <c r="Q4457" s="3">
        <v>0</v>
      </c>
      <c r="R4457" s="22" t="s">
        <v>2764</v>
      </c>
      <c r="S4457" s="22" t="s">
        <v>5099</v>
      </c>
      <c r="T4457" s="51">
        <v>5</v>
      </c>
      <c r="U4457" s="3" t="s">
        <v>6228</v>
      </c>
      <c r="V4457" s="41" t="str">
        <f>HYPERLINK("http://ictvonline.org/taxonomy/p/taxonomy-history?taxnode_id=20184776","ICTVonline=20184776")</f>
        <v>ICTVonline=20184776</v>
      </c>
    </row>
    <row r="4458" spans="1:22">
      <c r="A4458" s="3">
        <v>4457</v>
      </c>
      <c r="L4458" s="1" t="s">
        <v>2091</v>
      </c>
      <c r="M4458" s="1" t="s">
        <v>2092</v>
      </c>
      <c r="N4458" s="1" t="s">
        <v>1226</v>
      </c>
      <c r="P4458" s="1" t="s">
        <v>1235</v>
      </c>
      <c r="Q4458" s="3">
        <v>0</v>
      </c>
      <c r="R4458" s="22" t="s">
        <v>2764</v>
      </c>
      <c r="S4458" s="22" t="s">
        <v>5097</v>
      </c>
      <c r="T4458" s="51">
        <v>14</v>
      </c>
      <c r="U4458" s="3" t="s">
        <v>5879</v>
      </c>
      <c r="V4458" s="41" t="str">
        <f>HYPERLINK("http://ictvonline.org/taxonomy/p/taxonomy-history?taxnode_id=20184777","ICTVonline=20184777")</f>
        <v>ICTVonline=20184777</v>
      </c>
    </row>
    <row r="4459" spans="1:22">
      <c r="A4459" s="3">
        <v>4458</v>
      </c>
      <c r="L4459" s="1" t="s">
        <v>2091</v>
      </c>
      <c r="M4459" s="1" t="s">
        <v>2092</v>
      </c>
      <c r="N4459" s="1" t="s">
        <v>1236</v>
      </c>
      <c r="P4459" s="1" t="s">
        <v>1237</v>
      </c>
      <c r="Q4459" s="3">
        <v>0</v>
      </c>
      <c r="R4459" s="22" t="s">
        <v>2764</v>
      </c>
      <c r="S4459" s="22" t="s">
        <v>5100</v>
      </c>
      <c r="T4459" s="51">
        <v>14</v>
      </c>
      <c r="U4459" s="3" t="s">
        <v>5879</v>
      </c>
      <c r="V4459" s="41" t="str">
        <f>HYPERLINK("http://ictvonline.org/taxonomy/p/taxonomy-history?taxnode_id=20184779","ICTVonline=20184779")</f>
        <v>ICTVonline=20184779</v>
      </c>
    </row>
    <row r="4460" spans="1:22">
      <c r="A4460" s="3">
        <v>4459</v>
      </c>
      <c r="L4460" s="1" t="s">
        <v>2091</v>
      </c>
      <c r="M4460" s="1" t="s">
        <v>2092</v>
      </c>
      <c r="N4460" s="1" t="s">
        <v>1236</v>
      </c>
      <c r="P4460" s="1" t="s">
        <v>1238</v>
      </c>
      <c r="Q4460" s="3">
        <v>1</v>
      </c>
      <c r="R4460" s="22" t="s">
        <v>2764</v>
      </c>
      <c r="S4460" s="22" t="s">
        <v>5099</v>
      </c>
      <c r="T4460" s="51">
        <v>5</v>
      </c>
      <c r="U4460" s="3" t="s">
        <v>6228</v>
      </c>
      <c r="V4460" s="41" t="str">
        <f>HYPERLINK("http://ictvonline.org/taxonomy/p/taxonomy-history?taxnode_id=20184780","ICTVonline=20184780")</f>
        <v>ICTVonline=20184780</v>
      </c>
    </row>
    <row r="4461" spans="1:22">
      <c r="A4461" s="3">
        <v>4460</v>
      </c>
      <c r="L4461" s="1" t="s">
        <v>2091</v>
      </c>
      <c r="M4461" s="1" t="s">
        <v>2092</v>
      </c>
      <c r="N4461" s="1" t="s">
        <v>1236</v>
      </c>
      <c r="P4461" s="1" t="s">
        <v>1239</v>
      </c>
      <c r="Q4461" s="3">
        <v>0</v>
      </c>
      <c r="R4461" s="22" t="s">
        <v>2764</v>
      </c>
      <c r="S4461" s="22" t="s">
        <v>5097</v>
      </c>
      <c r="T4461" s="51">
        <v>14</v>
      </c>
      <c r="U4461" s="3" t="s">
        <v>5879</v>
      </c>
      <c r="V4461" s="41" t="str">
        <f>HYPERLINK("http://ictvonline.org/taxonomy/p/taxonomy-history?taxnode_id=20184781","ICTVonline=20184781")</f>
        <v>ICTVonline=20184781</v>
      </c>
    </row>
    <row r="4462" spans="1:22">
      <c r="A4462" s="3">
        <v>4461</v>
      </c>
      <c r="L4462" s="1" t="s">
        <v>2091</v>
      </c>
      <c r="M4462" s="1" t="s">
        <v>2092</v>
      </c>
      <c r="N4462" s="1" t="s">
        <v>1236</v>
      </c>
      <c r="P4462" s="1" t="s">
        <v>1240</v>
      </c>
      <c r="Q4462" s="3">
        <v>0</v>
      </c>
      <c r="R4462" s="22" t="s">
        <v>2764</v>
      </c>
      <c r="S4462" s="22" t="s">
        <v>5100</v>
      </c>
      <c r="T4462" s="51">
        <v>12</v>
      </c>
      <c r="U4462" s="3" t="s">
        <v>5932</v>
      </c>
      <c r="V4462" s="41" t="str">
        <f>HYPERLINK("http://ictvonline.org/taxonomy/p/taxonomy-history?taxnode_id=20184782","ICTVonline=20184782")</f>
        <v>ICTVonline=20184782</v>
      </c>
    </row>
    <row r="4463" spans="1:22">
      <c r="A4463" s="3">
        <v>4462</v>
      </c>
      <c r="L4463" s="1" t="s">
        <v>2091</v>
      </c>
      <c r="M4463" s="1" t="s">
        <v>2092</v>
      </c>
      <c r="N4463" s="1" t="s">
        <v>1241</v>
      </c>
      <c r="P4463" s="1" t="s">
        <v>1242</v>
      </c>
      <c r="Q4463" s="3">
        <v>1</v>
      </c>
      <c r="R4463" s="22" t="s">
        <v>2764</v>
      </c>
      <c r="S4463" s="22" t="s">
        <v>5103</v>
      </c>
      <c r="T4463" s="51">
        <v>5</v>
      </c>
      <c r="U4463" s="3" t="s">
        <v>6228</v>
      </c>
      <c r="V4463" s="41" t="str">
        <f>HYPERLINK("http://ictvonline.org/taxonomy/p/taxonomy-history?taxnode_id=20184784","ICTVonline=20184784")</f>
        <v>ICTVonline=20184784</v>
      </c>
    </row>
    <row r="4464" spans="1:22">
      <c r="A4464" s="3">
        <v>4463</v>
      </c>
      <c r="L4464" s="1" t="s">
        <v>2091</v>
      </c>
      <c r="M4464" s="1" t="s">
        <v>2092</v>
      </c>
      <c r="N4464" s="1" t="s">
        <v>772</v>
      </c>
      <c r="P4464" s="1" t="s">
        <v>773</v>
      </c>
      <c r="Q4464" s="3">
        <v>0</v>
      </c>
      <c r="R4464" s="22" t="s">
        <v>2764</v>
      </c>
      <c r="S4464" s="22" t="s">
        <v>5099</v>
      </c>
      <c r="T4464" s="51">
        <v>12</v>
      </c>
      <c r="U4464" s="3" t="s">
        <v>5932</v>
      </c>
      <c r="V4464" s="41" t="str">
        <f>HYPERLINK("http://ictvonline.org/taxonomy/p/taxonomy-history?taxnode_id=20184789","ICTVonline=20184789")</f>
        <v>ICTVonline=20184789</v>
      </c>
    </row>
    <row r="4465" spans="1:22">
      <c r="A4465" s="3">
        <v>4464</v>
      </c>
      <c r="L4465" s="1" t="s">
        <v>2091</v>
      </c>
      <c r="M4465" s="1" t="s">
        <v>2092</v>
      </c>
      <c r="N4465" s="1" t="s">
        <v>772</v>
      </c>
      <c r="P4465" s="1" t="s">
        <v>771</v>
      </c>
      <c r="Q4465" s="3">
        <v>1</v>
      </c>
      <c r="R4465" s="22" t="s">
        <v>2764</v>
      </c>
      <c r="S4465" s="22" t="s">
        <v>5100</v>
      </c>
      <c r="T4465" s="51">
        <v>14</v>
      </c>
      <c r="U4465" s="3" t="s">
        <v>5879</v>
      </c>
      <c r="V4465" s="41" t="str">
        <f>HYPERLINK("http://ictvonline.org/taxonomy/p/taxonomy-history?taxnode_id=20184790","ICTVonline=20184790")</f>
        <v>ICTVonline=20184790</v>
      </c>
    </row>
    <row r="4466" spans="1:22">
      <c r="A4466" s="3">
        <v>4465</v>
      </c>
      <c r="L4466" s="1" t="s">
        <v>2091</v>
      </c>
      <c r="M4466" s="1" t="s">
        <v>2092</v>
      </c>
      <c r="P4466" s="1" t="s">
        <v>5001</v>
      </c>
      <c r="Q4466" s="3">
        <v>0</v>
      </c>
      <c r="R4466" s="22" t="s">
        <v>2764</v>
      </c>
      <c r="S4466" s="22" t="s">
        <v>5097</v>
      </c>
      <c r="T4466" s="51">
        <v>31</v>
      </c>
      <c r="U4466" s="3" t="s">
        <v>6234</v>
      </c>
      <c r="V4466" s="41" t="str">
        <f>HYPERLINK("http://ictvonline.org/taxonomy/p/taxonomy-history?taxnode_id=20184786","ICTVonline=20184786")</f>
        <v>ICTVonline=20184786</v>
      </c>
    </row>
    <row r="4467" spans="1:22">
      <c r="A4467" s="3">
        <v>4466</v>
      </c>
      <c r="L4467" s="1" t="s">
        <v>2091</v>
      </c>
      <c r="M4467" s="1" t="s">
        <v>2092</v>
      </c>
      <c r="P4467" s="1" t="s">
        <v>204</v>
      </c>
      <c r="Q4467" s="3">
        <v>0</v>
      </c>
      <c r="R4467" s="22" t="s">
        <v>2764</v>
      </c>
      <c r="S4467" s="22" t="s">
        <v>5100</v>
      </c>
      <c r="T4467" s="51">
        <v>26</v>
      </c>
      <c r="U4467" s="3" t="s">
        <v>6230</v>
      </c>
      <c r="V4467" s="41" t="str">
        <f>HYPERLINK("http://ictvonline.org/taxonomy/p/taxonomy-history?taxnode_id=20184787","ICTVonline=20184787")</f>
        <v>ICTVonline=20184787</v>
      </c>
    </row>
    <row r="4468" spans="1:22">
      <c r="A4468" s="3">
        <v>4467</v>
      </c>
      <c r="L4468" s="1" t="s">
        <v>2091</v>
      </c>
      <c r="M4468" s="1" t="s">
        <v>774</v>
      </c>
      <c r="N4468" s="1" t="s">
        <v>1816</v>
      </c>
      <c r="P4468" s="1" t="s">
        <v>665</v>
      </c>
      <c r="Q4468" s="3">
        <v>0</v>
      </c>
      <c r="R4468" s="22" t="s">
        <v>2764</v>
      </c>
      <c r="S4468" s="22" t="s">
        <v>5099</v>
      </c>
      <c r="T4468" s="51">
        <v>22</v>
      </c>
      <c r="U4468" s="3" t="s">
        <v>6235</v>
      </c>
      <c r="V4468" s="41" t="str">
        <f>HYPERLINK("http://ictvonline.org/taxonomy/p/taxonomy-history?taxnode_id=20184793","ICTVonline=20184793")</f>
        <v>ICTVonline=20184793</v>
      </c>
    </row>
    <row r="4469" spans="1:22">
      <c r="A4469" s="3">
        <v>4468</v>
      </c>
      <c r="L4469" s="1" t="s">
        <v>2091</v>
      </c>
      <c r="M4469" s="1" t="s">
        <v>774</v>
      </c>
      <c r="N4469" s="1" t="s">
        <v>1816</v>
      </c>
      <c r="P4469" s="1" t="s">
        <v>666</v>
      </c>
      <c r="Q4469" s="3">
        <v>0</v>
      </c>
      <c r="R4469" s="22" t="s">
        <v>2764</v>
      </c>
      <c r="S4469" s="22" t="s">
        <v>5099</v>
      </c>
      <c r="T4469" s="51">
        <v>22</v>
      </c>
      <c r="U4469" s="3" t="s">
        <v>6235</v>
      </c>
      <c r="V4469" s="41" t="str">
        <f>HYPERLINK("http://ictvonline.org/taxonomy/p/taxonomy-history?taxnode_id=20184794","ICTVonline=20184794")</f>
        <v>ICTVonline=20184794</v>
      </c>
    </row>
    <row r="4470" spans="1:22">
      <c r="A4470" s="3">
        <v>4469</v>
      </c>
      <c r="L4470" s="1" t="s">
        <v>2091</v>
      </c>
      <c r="M4470" s="1" t="s">
        <v>774</v>
      </c>
      <c r="N4470" s="1" t="s">
        <v>1816</v>
      </c>
      <c r="P4470" s="1" t="s">
        <v>2726</v>
      </c>
      <c r="Q4470" s="3">
        <v>0</v>
      </c>
      <c r="R4470" s="22" t="s">
        <v>2764</v>
      </c>
      <c r="S4470" s="22" t="s">
        <v>5100</v>
      </c>
      <c r="T4470" s="51">
        <v>29</v>
      </c>
      <c r="U4470" s="3" t="s">
        <v>6236</v>
      </c>
      <c r="V4470" s="41" t="str">
        <f>HYPERLINK("http://ictvonline.org/taxonomy/p/taxonomy-history?taxnode_id=20184795","ICTVonline=20184795")</f>
        <v>ICTVonline=20184795</v>
      </c>
    </row>
    <row r="4471" spans="1:22">
      <c r="A4471" s="3">
        <v>4470</v>
      </c>
      <c r="L4471" s="1" t="s">
        <v>2091</v>
      </c>
      <c r="M4471" s="1" t="s">
        <v>774</v>
      </c>
      <c r="N4471" s="1" t="s">
        <v>1816</v>
      </c>
      <c r="P4471" s="1" t="s">
        <v>1817</v>
      </c>
      <c r="Q4471" s="3">
        <v>0</v>
      </c>
      <c r="R4471" s="22" t="s">
        <v>2764</v>
      </c>
      <c r="S4471" s="22" t="s">
        <v>5099</v>
      </c>
      <c r="T4471" s="51">
        <v>22</v>
      </c>
      <c r="U4471" s="3" t="s">
        <v>6235</v>
      </c>
      <c r="V4471" s="41" t="str">
        <f>HYPERLINK("http://ictvonline.org/taxonomy/p/taxonomy-history?taxnode_id=20184796","ICTVonline=20184796")</f>
        <v>ICTVonline=20184796</v>
      </c>
    </row>
    <row r="4472" spans="1:22">
      <c r="A4472" s="3">
        <v>4471</v>
      </c>
      <c r="L4472" s="1" t="s">
        <v>2091</v>
      </c>
      <c r="M4472" s="1" t="s">
        <v>774</v>
      </c>
      <c r="N4472" s="1" t="s">
        <v>1816</v>
      </c>
      <c r="P4472" s="1" t="s">
        <v>2727</v>
      </c>
      <c r="Q4472" s="3">
        <v>0</v>
      </c>
      <c r="R4472" s="22" t="s">
        <v>2764</v>
      </c>
      <c r="S4472" s="22" t="s">
        <v>5100</v>
      </c>
      <c r="T4472" s="51">
        <v>29</v>
      </c>
      <c r="U4472" s="3" t="s">
        <v>6236</v>
      </c>
      <c r="V4472" s="41" t="str">
        <f>HYPERLINK("http://ictvonline.org/taxonomy/p/taxonomy-history?taxnode_id=20184797","ICTVonline=20184797")</f>
        <v>ICTVonline=20184797</v>
      </c>
    </row>
    <row r="4473" spans="1:22">
      <c r="A4473" s="3">
        <v>4472</v>
      </c>
      <c r="L4473" s="1" t="s">
        <v>2091</v>
      </c>
      <c r="M4473" s="1" t="s">
        <v>774</v>
      </c>
      <c r="N4473" s="1" t="s">
        <v>1816</v>
      </c>
      <c r="P4473" s="1" t="s">
        <v>1818</v>
      </c>
      <c r="Q4473" s="3">
        <v>0</v>
      </c>
      <c r="R4473" s="22" t="s">
        <v>2764</v>
      </c>
      <c r="S4473" s="22" t="s">
        <v>5099</v>
      </c>
      <c r="T4473" s="51">
        <v>22</v>
      </c>
      <c r="U4473" s="3" t="s">
        <v>6235</v>
      </c>
      <c r="V4473" s="41" t="str">
        <f>HYPERLINK("http://ictvonline.org/taxonomy/p/taxonomy-history?taxnode_id=20184798","ICTVonline=20184798")</f>
        <v>ICTVonline=20184798</v>
      </c>
    </row>
    <row r="4474" spans="1:22">
      <c r="A4474" s="3">
        <v>4473</v>
      </c>
      <c r="L4474" s="1" t="s">
        <v>2091</v>
      </c>
      <c r="M4474" s="1" t="s">
        <v>774</v>
      </c>
      <c r="N4474" s="1" t="s">
        <v>1816</v>
      </c>
      <c r="P4474" s="1" t="s">
        <v>672</v>
      </c>
      <c r="Q4474" s="3">
        <v>1</v>
      </c>
      <c r="R4474" s="22" t="s">
        <v>2764</v>
      </c>
      <c r="S4474" s="22" t="s">
        <v>5099</v>
      </c>
      <c r="T4474" s="51">
        <v>22</v>
      </c>
      <c r="U4474" s="3" t="s">
        <v>6235</v>
      </c>
      <c r="V4474" s="41" t="str">
        <f>HYPERLINK("http://ictvonline.org/taxonomy/p/taxonomy-history?taxnode_id=20184799","ICTVonline=20184799")</f>
        <v>ICTVonline=20184799</v>
      </c>
    </row>
    <row r="4475" spans="1:22">
      <c r="A4475" s="3">
        <v>4474</v>
      </c>
      <c r="L4475" s="1" t="s">
        <v>2091</v>
      </c>
      <c r="M4475" s="1" t="s">
        <v>774</v>
      </c>
      <c r="N4475" s="1" t="s">
        <v>673</v>
      </c>
      <c r="P4475" s="1" t="s">
        <v>2728</v>
      </c>
      <c r="Q4475" s="3">
        <v>0</v>
      </c>
      <c r="R4475" s="22" t="s">
        <v>2764</v>
      </c>
      <c r="S4475" s="22" t="s">
        <v>5100</v>
      </c>
      <c r="T4475" s="51">
        <v>29</v>
      </c>
      <c r="U4475" s="3" t="s">
        <v>6236</v>
      </c>
      <c r="V4475" s="41" t="str">
        <f>HYPERLINK("http://ictvonline.org/taxonomy/p/taxonomy-history?taxnode_id=20184801","ICTVonline=20184801")</f>
        <v>ICTVonline=20184801</v>
      </c>
    </row>
    <row r="4476" spans="1:22">
      <c r="A4476" s="3">
        <v>4475</v>
      </c>
      <c r="L4476" s="1" t="s">
        <v>2091</v>
      </c>
      <c r="M4476" s="1" t="s">
        <v>774</v>
      </c>
      <c r="N4476" s="1" t="s">
        <v>673</v>
      </c>
      <c r="P4476" s="1" t="s">
        <v>2729</v>
      </c>
      <c r="Q4476" s="3">
        <v>0</v>
      </c>
      <c r="R4476" s="22" t="s">
        <v>2764</v>
      </c>
      <c r="S4476" s="22" t="s">
        <v>5097</v>
      </c>
      <c r="T4476" s="51">
        <v>29</v>
      </c>
      <c r="U4476" s="3" t="s">
        <v>6237</v>
      </c>
      <c r="V4476" s="41" t="str">
        <f>HYPERLINK("http://ictvonline.org/taxonomy/p/taxonomy-history?taxnode_id=20184802","ICTVonline=20184802")</f>
        <v>ICTVonline=20184802</v>
      </c>
    </row>
    <row r="4477" spans="1:22">
      <c r="A4477" s="3">
        <v>4476</v>
      </c>
      <c r="L4477" s="1" t="s">
        <v>2091</v>
      </c>
      <c r="M4477" s="1" t="s">
        <v>774</v>
      </c>
      <c r="N4477" s="1" t="s">
        <v>673</v>
      </c>
      <c r="P4477" s="1" t="s">
        <v>2730</v>
      </c>
      <c r="Q4477" s="3">
        <v>1</v>
      </c>
      <c r="R4477" s="22" t="s">
        <v>2764</v>
      </c>
      <c r="S4477" s="22" t="s">
        <v>5100</v>
      </c>
      <c r="T4477" s="51">
        <v>29</v>
      </c>
      <c r="U4477" s="3" t="s">
        <v>6236</v>
      </c>
      <c r="V4477" s="41" t="str">
        <f>HYPERLINK("http://ictvonline.org/taxonomy/p/taxonomy-history?taxnode_id=20184803","ICTVonline=20184803")</f>
        <v>ICTVonline=20184803</v>
      </c>
    </row>
    <row r="4478" spans="1:22">
      <c r="A4478" s="3">
        <v>4477</v>
      </c>
      <c r="L4478" s="1" t="s">
        <v>2091</v>
      </c>
      <c r="M4478" s="1" t="s">
        <v>774</v>
      </c>
      <c r="N4478" s="1" t="s">
        <v>673</v>
      </c>
      <c r="P4478" s="1" t="s">
        <v>2731</v>
      </c>
      <c r="Q4478" s="3">
        <v>0</v>
      </c>
      <c r="R4478" s="22" t="s">
        <v>2764</v>
      </c>
      <c r="S4478" s="22" t="s">
        <v>5100</v>
      </c>
      <c r="T4478" s="51">
        <v>29</v>
      </c>
      <c r="U4478" s="3" t="s">
        <v>6236</v>
      </c>
      <c r="V4478" s="41" t="str">
        <f>HYPERLINK("http://ictvonline.org/taxonomy/p/taxonomy-history?taxnode_id=20184804","ICTVonline=20184804")</f>
        <v>ICTVonline=20184804</v>
      </c>
    </row>
    <row r="4479" spans="1:22">
      <c r="A4479" s="3">
        <v>4478</v>
      </c>
      <c r="L4479" s="1" t="s">
        <v>2091</v>
      </c>
      <c r="M4479" s="1" t="s">
        <v>774</v>
      </c>
      <c r="N4479" s="1" t="s">
        <v>673</v>
      </c>
      <c r="P4479" s="1" t="s">
        <v>2732</v>
      </c>
      <c r="Q4479" s="3">
        <v>0</v>
      </c>
      <c r="R4479" s="22" t="s">
        <v>2764</v>
      </c>
      <c r="S4479" s="22" t="s">
        <v>5100</v>
      </c>
      <c r="T4479" s="51">
        <v>29</v>
      </c>
      <c r="U4479" s="3" t="s">
        <v>6236</v>
      </c>
      <c r="V4479" s="41" t="str">
        <f>HYPERLINK("http://ictvonline.org/taxonomy/p/taxonomy-history?taxnode_id=20184805","ICTVonline=20184805")</f>
        <v>ICTVonline=20184805</v>
      </c>
    </row>
    <row r="4480" spans="1:22">
      <c r="A4480" s="3">
        <v>4479</v>
      </c>
      <c r="L4480" s="1" t="s">
        <v>2091</v>
      </c>
      <c r="M4480" s="1" t="s">
        <v>774</v>
      </c>
      <c r="N4480" s="1" t="s">
        <v>673</v>
      </c>
      <c r="P4480" s="1" t="s">
        <v>2733</v>
      </c>
      <c r="Q4480" s="3">
        <v>0</v>
      </c>
      <c r="R4480" s="22" t="s">
        <v>2764</v>
      </c>
      <c r="S4480" s="22" t="s">
        <v>5100</v>
      </c>
      <c r="T4480" s="51">
        <v>29</v>
      </c>
      <c r="U4480" s="3" t="s">
        <v>6236</v>
      </c>
      <c r="V4480" s="41" t="str">
        <f>HYPERLINK("http://ictvonline.org/taxonomy/p/taxonomy-history?taxnode_id=20184806","ICTVonline=20184806")</f>
        <v>ICTVonline=20184806</v>
      </c>
    </row>
    <row r="4481" spans="1:22">
      <c r="A4481" s="3">
        <v>4480</v>
      </c>
      <c r="L4481" s="1" t="s">
        <v>2091</v>
      </c>
      <c r="M4481" s="1" t="s">
        <v>774</v>
      </c>
      <c r="N4481" s="1" t="s">
        <v>673</v>
      </c>
      <c r="P4481" s="1" t="s">
        <v>2734</v>
      </c>
      <c r="Q4481" s="3">
        <v>0</v>
      </c>
      <c r="R4481" s="22" t="s">
        <v>2764</v>
      </c>
      <c r="S4481" s="22" t="s">
        <v>5100</v>
      </c>
      <c r="T4481" s="51">
        <v>29</v>
      </c>
      <c r="U4481" s="3" t="s">
        <v>6236</v>
      </c>
      <c r="V4481" s="41" t="str">
        <f>HYPERLINK("http://ictvonline.org/taxonomy/p/taxonomy-history?taxnode_id=20184807","ICTVonline=20184807")</f>
        <v>ICTVonline=20184807</v>
      </c>
    </row>
    <row r="4482" spans="1:22">
      <c r="A4482" s="3">
        <v>4481</v>
      </c>
      <c r="L4482" s="1" t="s">
        <v>2091</v>
      </c>
      <c r="M4482" s="1" t="s">
        <v>774</v>
      </c>
      <c r="N4482" s="1" t="s">
        <v>673</v>
      </c>
      <c r="P4482" s="1" t="s">
        <v>2735</v>
      </c>
      <c r="Q4482" s="3">
        <v>0</v>
      </c>
      <c r="R4482" s="22" t="s">
        <v>2764</v>
      </c>
      <c r="S4482" s="22" t="s">
        <v>5100</v>
      </c>
      <c r="T4482" s="51">
        <v>29</v>
      </c>
      <c r="U4482" s="3" t="s">
        <v>6236</v>
      </c>
      <c r="V4482" s="41" t="str">
        <f>HYPERLINK("http://ictvonline.org/taxonomy/p/taxonomy-history?taxnode_id=20184808","ICTVonline=20184808")</f>
        <v>ICTVonline=20184808</v>
      </c>
    </row>
    <row r="4483" spans="1:22">
      <c r="A4483" s="3">
        <v>4482</v>
      </c>
      <c r="L4483" s="1" t="s">
        <v>2091</v>
      </c>
      <c r="M4483" s="1" t="s">
        <v>774</v>
      </c>
      <c r="N4483" s="1" t="s">
        <v>673</v>
      </c>
      <c r="P4483" s="1" t="s">
        <v>2736</v>
      </c>
      <c r="Q4483" s="3">
        <v>0</v>
      </c>
      <c r="R4483" s="22" t="s">
        <v>2764</v>
      </c>
      <c r="S4483" s="22" t="s">
        <v>5097</v>
      </c>
      <c r="T4483" s="51">
        <v>29</v>
      </c>
      <c r="U4483" s="3" t="s">
        <v>6237</v>
      </c>
      <c r="V4483" s="41" t="str">
        <f>HYPERLINK("http://ictvonline.org/taxonomy/p/taxonomy-history?taxnode_id=20184809","ICTVonline=20184809")</f>
        <v>ICTVonline=20184809</v>
      </c>
    </row>
    <row r="4484" spans="1:22">
      <c r="A4484" s="3">
        <v>4483</v>
      </c>
      <c r="L4484" s="1" t="s">
        <v>2091</v>
      </c>
      <c r="M4484" s="1" t="s">
        <v>774</v>
      </c>
      <c r="N4484" s="1" t="s">
        <v>673</v>
      </c>
      <c r="P4484" s="1" t="s">
        <v>2737</v>
      </c>
      <c r="Q4484" s="3">
        <v>0</v>
      </c>
      <c r="R4484" s="22" t="s">
        <v>2764</v>
      </c>
      <c r="S4484" s="22" t="s">
        <v>5100</v>
      </c>
      <c r="T4484" s="51">
        <v>29</v>
      </c>
      <c r="U4484" s="3" t="s">
        <v>6236</v>
      </c>
      <c r="V4484" s="41" t="str">
        <f>HYPERLINK("http://ictvonline.org/taxonomy/p/taxonomy-history?taxnode_id=20184810","ICTVonline=20184810")</f>
        <v>ICTVonline=20184810</v>
      </c>
    </row>
    <row r="4485" spans="1:22">
      <c r="A4485" s="3">
        <v>4484</v>
      </c>
      <c r="L4485" s="1" t="s">
        <v>2091</v>
      </c>
      <c r="M4485" s="1" t="s">
        <v>774</v>
      </c>
      <c r="N4485" s="1" t="s">
        <v>673</v>
      </c>
      <c r="P4485" s="1" t="s">
        <v>2738</v>
      </c>
      <c r="Q4485" s="3">
        <v>0</v>
      </c>
      <c r="R4485" s="22" t="s">
        <v>2764</v>
      </c>
      <c r="S4485" s="22" t="s">
        <v>5100</v>
      </c>
      <c r="T4485" s="51">
        <v>29</v>
      </c>
      <c r="U4485" s="3" t="s">
        <v>6236</v>
      </c>
      <c r="V4485" s="41" t="str">
        <f>HYPERLINK("http://ictvonline.org/taxonomy/p/taxonomy-history?taxnode_id=20184811","ICTVonline=20184811")</f>
        <v>ICTVonline=20184811</v>
      </c>
    </row>
    <row r="4486" spans="1:22">
      <c r="A4486" s="3">
        <v>4485</v>
      </c>
      <c r="L4486" s="1" t="s">
        <v>2091</v>
      </c>
      <c r="M4486" s="1" t="s">
        <v>774</v>
      </c>
      <c r="N4486" s="1" t="s">
        <v>673</v>
      </c>
      <c r="P4486" s="1" t="s">
        <v>2739</v>
      </c>
      <c r="Q4486" s="3">
        <v>0</v>
      </c>
      <c r="R4486" s="22" t="s">
        <v>2764</v>
      </c>
      <c r="S4486" s="22" t="s">
        <v>5100</v>
      </c>
      <c r="T4486" s="51">
        <v>29</v>
      </c>
      <c r="U4486" s="3" t="s">
        <v>6236</v>
      </c>
      <c r="V4486" s="41" t="str">
        <f>HYPERLINK("http://ictvonline.org/taxonomy/p/taxonomy-history?taxnode_id=20184812","ICTVonline=20184812")</f>
        <v>ICTVonline=20184812</v>
      </c>
    </row>
    <row r="4487" spans="1:22">
      <c r="A4487" s="3">
        <v>4486</v>
      </c>
      <c r="L4487" s="1" t="s">
        <v>2091</v>
      </c>
      <c r="M4487" s="1" t="s">
        <v>774</v>
      </c>
      <c r="N4487" s="1" t="s">
        <v>673</v>
      </c>
      <c r="P4487" s="1" t="s">
        <v>2740</v>
      </c>
      <c r="Q4487" s="3">
        <v>0</v>
      </c>
      <c r="R4487" s="22" t="s">
        <v>2764</v>
      </c>
      <c r="S4487" s="22" t="s">
        <v>5097</v>
      </c>
      <c r="T4487" s="51">
        <v>29</v>
      </c>
      <c r="U4487" s="3" t="s">
        <v>6237</v>
      </c>
      <c r="V4487" s="41" t="str">
        <f>HYPERLINK("http://ictvonline.org/taxonomy/p/taxonomy-history?taxnode_id=20184813","ICTVonline=20184813")</f>
        <v>ICTVonline=20184813</v>
      </c>
    </row>
    <row r="4488" spans="1:22">
      <c r="A4488" s="3">
        <v>4487</v>
      </c>
      <c r="L4488" s="1" t="s">
        <v>2091</v>
      </c>
      <c r="M4488" s="1" t="s">
        <v>774</v>
      </c>
      <c r="N4488" s="1" t="s">
        <v>673</v>
      </c>
      <c r="P4488" s="1" t="s">
        <v>2741</v>
      </c>
      <c r="Q4488" s="3">
        <v>0</v>
      </c>
      <c r="R4488" s="22" t="s">
        <v>2764</v>
      </c>
      <c r="S4488" s="22" t="s">
        <v>5100</v>
      </c>
      <c r="T4488" s="51">
        <v>29</v>
      </c>
      <c r="U4488" s="3" t="s">
        <v>6236</v>
      </c>
      <c r="V4488" s="41" t="str">
        <f>HYPERLINK("http://ictvonline.org/taxonomy/p/taxonomy-history?taxnode_id=20184814","ICTVonline=20184814")</f>
        <v>ICTVonline=20184814</v>
      </c>
    </row>
    <row r="4489" spans="1:22">
      <c r="A4489" s="3">
        <v>4488</v>
      </c>
      <c r="L4489" s="1" t="s">
        <v>2091</v>
      </c>
      <c r="M4489" s="1" t="s">
        <v>774</v>
      </c>
      <c r="N4489" s="1" t="s">
        <v>673</v>
      </c>
      <c r="P4489" s="1" t="s">
        <v>2742</v>
      </c>
      <c r="Q4489" s="3">
        <v>0</v>
      </c>
      <c r="R4489" s="22" t="s">
        <v>2764</v>
      </c>
      <c r="S4489" s="22" t="s">
        <v>5100</v>
      </c>
      <c r="T4489" s="51">
        <v>29</v>
      </c>
      <c r="U4489" s="3" t="s">
        <v>6236</v>
      </c>
      <c r="V4489" s="41" t="str">
        <f>HYPERLINK("http://ictvonline.org/taxonomy/p/taxonomy-history?taxnode_id=20184815","ICTVonline=20184815")</f>
        <v>ICTVonline=20184815</v>
      </c>
    </row>
    <row r="4490" spans="1:22">
      <c r="A4490" s="3">
        <v>4489</v>
      </c>
      <c r="L4490" s="1" t="s">
        <v>2091</v>
      </c>
      <c r="M4490" s="1" t="s">
        <v>774</v>
      </c>
      <c r="N4490" s="1" t="s">
        <v>673</v>
      </c>
      <c r="P4490" s="1" t="s">
        <v>2743</v>
      </c>
      <c r="Q4490" s="3">
        <v>0</v>
      </c>
      <c r="R4490" s="22" t="s">
        <v>2764</v>
      </c>
      <c r="S4490" s="22" t="s">
        <v>5100</v>
      </c>
      <c r="T4490" s="51">
        <v>29</v>
      </c>
      <c r="U4490" s="3" t="s">
        <v>6236</v>
      </c>
      <c r="V4490" s="41" t="str">
        <f>HYPERLINK("http://ictvonline.org/taxonomy/p/taxonomy-history?taxnode_id=20184816","ICTVonline=20184816")</f>
        <v>ICTVonline=20184816</v>
      </c>
    </row>
    <row r="4491" spans="1:22">
      <c r="A4491" s="3">
        <v>4490</v>
      </c>
      <c r="L4491" s="1" t="s">
        <v>2091</v>
      </c>
      <c r="M4491" s="1" t="s">
        <v>774</v>
      </c>
      <c r="N4491" s="1" t="s">
        <v>1556</v>
      </c>
      <c r="P4491" s="1" t="s">
        <v>1557</v>
      </c>
      <c r="Q4491" s="3">
        <v>0</v>
      </c>
      <c r="R4491" s="22" t="s">
        <v>2764</v>
      </c>
      <c r="S4491" s="22" t="s">
        <v>5099</v>
      </c>
      <c r="T4491" s="51">
        <v>22</v>
      </c>
      <c r="U4491" s="3" t="s">
        <v>6235</v>
      </c>
      <c r="V4491" s="41" t="str">
        <f>HYPERLINK("http://ictvonline.org/taxonomy/p/taxonomy-history?taxnode_id=20184818","ICTVonline=20184818")</f>
        <v>ICTVonline=20184818</v>
      </c>
    </row>
    <row r="4492" spans="1:22">
      <c r="A4492" s="3">
        <v>4491</v>
      </c>
      <c r="L4492" s="1" t="s">
        <v>2091</v>
      </c>
      <c r="M4492" s="1" t="s">
        <v>774</v>
      </c>
      <c r="N4492" s="1" t="s">
        <v>1556</v>
      </c>
      <c r="P4492" s="1" t="s">
        <v>1833</v>
      </c>
      <c r="Q4492" s="3">
        <v>0</v>
      </c>
      <c r="R4492" s="22" t="s">
        <v>2764</v>
      </c>
      <c r="S4492" s="22" t="s">
        <v>5099</v>
      </c>
      <c r="T4492" s="51">
        <v>22</v>
      </c>
      <c r="U4492" s="3" t="s">
        <v>6235</v>
      </c>
      <c r="V4492" s="41" t="str">
        <f>HYPERLINK("http://ictvonline.org/taxonomy/p/taxonomy-history?taxnode_id=20184819","ICTVonline=20184819")</f>
        <v>ICTVonline=20184819</v>
      </c>
    </row>
    <row r="4493" spans="1:22">
      <c r="A4493" s="3">
        <v>4492</v>
      </c>
      <c r="L4493" s="1" t="s">
        <v>2091</v>
      </c>
      <c r="M4493" s="1" t="s">
        <v>774</v>
      </c>
      <c r="N4493" s="1" t="s">
        <v>1556</v>
      </c>
      <c r="P4493" s="1" t="s">
        <v>2033</v>
      </c>
      <c r="Q4493" s="3">
        <v>0</v>
      </c>
      <c r="R4493" s="22" t="s">
        <v>2764</v>
      </c>
      <c r="S4493" s="22" t="s">
        <v>5099</v>
      </c>
      <c r="T4493" s="51">
        <v>22</v>
      </c>
      <c r="U4493" s="3" t="s">
        <v>6235</v>
      </c>
      <c r="V4493" s="41" t="str">
        <f>HYPERLINK("http://ictvonline.org/taxonomy/p/taxonomy-history?taxnode_id=20184820","ICTVonline=20184820")</f>
        <v>ICTVonline=20184820</v>
      </c>
    </row>
    <row r="4494" spans="1:22">
      <c r="A4494" s="3">
        <v>4493</v>
      </c>
      <c r="L4494" s="1" t="s">
        <v>2091</v>
      </c>
      <c r="M4494" s="1" t="s">
        <v>774</v>
      </c>
      <c r="N4494" s="1" t="s">
        <v>1556</v>
      </c>
      <c r="P4494" s="1" t="s">
        <v>2143</v>
      </c>
      <c r="Q4494" s="3">
        <v>1</v>
      </c>
      <c r="R4494" s="22" t="s">
        <v>2764</v>
      </c>
      <c r="S4494" s="22" t="s">
        <v>5099</v>
      </c>
      <c r="T4494" s="51">
        <v>22</v>
      </c>
      <c r="U4494" s="3" t="s">
        <v>6235</v>
      </c>
      <c r="V4494" s="41" t="str">
        <f>HYPERLINK("http://ictvonline.org/taxonomy/p/taxonomy-history?taxnode_id=20184821","ICTVonline=20184821")</f>
        <v>ICTVonline=20184821</v>
      </c>
    </row>
    <row r="4495" spans="1:22">
      <c r="A4495" s="3">
        <v>4494</v>
      </c>
      <c r="L4495" s="1" t="s">
        <v>2091</v>
      </c>
      <c r="M4495" s="1" t="s">
        <v>774</v>
      </c>
      <c r="N4495" s="1" t="s">
        <v>1556</v>
      </c>
      <c r="P4495" s="1" t="s">
        <v>1530</v>
      </c>
      <c r="Q4495" s="3">
        <v>0</v>
      </c>
      <c r="R4495" s="22" t="s">
        <v>2764</v>
      </c>
      <c r="S4495" s="22" t="s">
        <v>5099</v>
      </c>
      <c r="T4495" s="51">
        <v>22</v>
      </c>
      <c r="U4495" s="3" t="s">
        <v>6235</v>
      </c>
      <c r="V4495" s="41" t="str">
        <f>HYPERLINK("http://ictvonline.org/taxonomy/p/taxonomy-history?taxnode_id=20184822","ICTVonline=20184822")</f>
        <v>ICTVonline=20184822</v>
      </c>
    </row>
    <row r="4496" spans="1:22">
      <c r="A4496" s="3">
        <v>4495</v>
      </c>
      <c r="L4496" s="1" t="s">
        <v>2091</v>
      </c>
      <c r="M4496" s="1" t="s">
        <v>774</v>
      </c>
      <c r="N4496" s="1" t="s">
        <v>1556</v>
      </c>
      <c r="P4496" s="1" t="s">
        <v>2744</v>
      </c>
      <c r="Q4496" s="3">
        <v>0</v>
      </c>
      <c r="R4496" s="22" t="s">
        <v>2764</v>
      </c>
      <c r="S4496" s="22" t="s">
        <v>5100</v>
      </c>
      <c r="T4496" s="51">
        <v>29</v>
      </c>
      <c r="U4496" s="3" t="s">
        <v>6236</v>
      </c>
      <c r="V4496" s="41" t="str">
        <f>HYPERLINK("http://ictvonline.org/taxonomy/p/taxonomy-history?taxnode_id=20184823","ICTVonline=20184823")</f>
        <v>ICTVonline=20184823</v>
      </c>
    </row>
    <row r="4497" spans="1:22">
      <c r="A4497" s="3">
        <v>4496</v>
      </c>
      <c r="L4497" s="1" t="s">
        <v>2091</v>
      </c>
      <c r="M4497" s="1" t="s">
        <v>774</v>
      </c>
      <c r="P4497" s="1" t="s">
        <v>2145</v>
      </c>
      <c r="Q4497" s="3">
        <v>0</v>
      </c>
      <c r="R4497" s="22" t="s">
        <v>2764</v>
      </c>
      <c r="S4497" s="22" t="s">
        <v>5097</v>
      </c>
      <c r="T4497" s="51">
        <v>23</v>
      </c>
      <c r="U4497" s="3" t="s">
        <v>5872</v>
      </c>
      <c r="V4497" s="41" t="str">
        <f>HYPERLINK("http://ictvonline.org/taxonomy/p/taxonomy-history?taxnode_id=20184825","ICTVonline=20184825")</f>
        <v>ICTVonline=20184825</v>
      </c>
    </row>
    <row r="4498" spans="1:22">
      <c r="A4498" s="3">
        <v>4497</v>
      </c>
      <c r="L4498" s="1" t="s">
        <v>2091</v>
      </c>
      <c r="M4498" s="1" t="s">
        <v>774</v>
      </c>
      <c r="P4498" s="1" t="s">
        <v>6238</v>
      </c>
      <c r="Q4498" s="3">
        <v>0</v>
      </c>
      <c r="R4498" s="22" t="s">
        <v>2764</v>
      </c>
      <c r="S4498" s="22" t="s">
        <v>5099</v>
      </c>
      <c r="T4498" s="51">
        <v>22</v>
      </c>
      <c r="U4498" s="3" t="s">
        <v>6710</v>
      </c>
      <c r="V4498" s="41" t="str">
        <f>HYPERLINK("http://ictvonline.org/taxonomy/p/taxonomy-history?taxnode_id=20184826","ICTVonline=20184826")</f>
        <v>ICTVonline=20184826</v>
      </c>
    </row>
    <row r="4499" spans="1:22">
      <c r="A4499" s="3">
        <v>4498</v>
      </c>
      <c r="L4499" s="1" t="s">
        <v>2284</v>
      </c>
      <c r="N4499" s="1" t="s">
        <v>2285</v>
      </c>
      <c r="P4499" s="1" t="s">
        <v>2286</v>
      </c>
      <c r="Q4499" s="3">
        <v>1</v>
      </c>
      <c r="R4499" s="22" t="s">
        <v>2768</v>
      </c>
      <c r="S4499" s="22" t="s">
        <v>5102</v>
      </c>
      <c r="T4499" s="51">
        <v>27</v>
      </c>
      <c r="U4499" s="3" t="s">
        <v>6239</v>
      </c>
      <c r="V4499" s="41" t="str">
        <f>HYPERLINK("http://ictvonline.org/taxonomy/p/taxonomy-history?taxnode_id=20184870","ICTVonline=20184870")</f>
        <v>ICTVonline=20184870</v>
      </c>
    </row>
    <row r="4500" spans="1:22">
      <c r="A4500" s="3">
        <v>4499</v>
      </c>
      <c r="L4500" s="1" t="s">
        <v>1775</v>
      </c>
      <c r="M4500" s="1" t="s">
        <v>1167</v>
      </c>
      <c r="N4500" s="1" t="s">
        <v>734</v>
      </c>
      <c r="P4500" s="1" t="s">
        <v>735</v>
      </c>
      <c r="Q4500" s="3">
        <v>1</v>
      </c>
      <c r="R4500" s="22" t="s">
        <v>2768</v>
      </c>
      <c r="S4500" s="22" t="s">
        <v>5099</v>
      </c>
      <c r="T4500" s="51">
        <v>25</v>
      </c>
      <c r="U4500" s="3" t="s">
        <v>6240</v>
      </c>
      <c r="V4500" s="41" t="str">
        <f>HYPERLINK("http://ictvonline.org/taxonomy/p/taxonomy-history?taxnode_id=20184874","ICTVonline=20184874")</f>
        <v>ICTVonline=20184874</v>
      </c>
    </row>
    <row r="4501" spans="1:22">
      <c r="A4501" s="3">
        <v>4500</v>
      </c>
      <c r="L4501" s="1" t="s">
        <v>1775</v>
      </c>
      <c r="M4501" s="1" t="s">
        <v>1167</v>
      </c>
      <c r="N4501" s="1" t="s">
        <v>1933</v>
      </c>
      <c r="P4501" s="1" t="s">
        <v>1934</v>
      </c>
      <c r="Q4501" s="3">
        <v>1</v>
      </c>
      <c r="R4501" s="22" t="s">
        <v>2768</v>
      </c>
      <c r="S4501" s="22" t="s">
        <v>5099</v>
      </c>
      <c r="T4501" s="51">
        <v>25</v>
      </c>
      <c r="U4501" s="3" t="s">
        <v>6240</v>
      </c>
      <c r="V4501" s="41" t="str">
        <f>HYPERLINK("http://ictvonline.org/taxonomy/p/taxonomy-history?taxnode_id=20184876","ICTVonline=20184876")</f>
        <v>ICTVonline=20184876</v>
      </c>
    </row>
    <row r="4502" spans="1:22">
      <c r="A4502" s="3">
        <v>4501</v>
      </c>
      <c r="L4502" s="1" t="s">
        <v>1775</v>
      </c>
      <c r="M4502" s="1" t="s">
        <v>1167</v>
      </c>
      <c r="N4502" s="1" t="s">
        <v>1939</v>
      </c>
      <c r="P4502" s="1" t="s">
        <v>1379</v>
      </c>
      <c r="Q4502" s="3">
        <v>0</v>
      </c>
      <c r="R4502" s="22" t="s">
        <v>2768</v>
      </c>
      <c r="S4502" s="22" t="s">
        <v>5099</v>
      </c>
      <c r="T4502" s="51">
        <v>25</v>
      </c>
      <c r="U4502" s="3" t="s">
        <v>6240</v>
      </c>
      <c r="V4502" s="41" t="str">
        <f>HYPERLINK("http://ictvonline.org/taxonomy/p/taxonomy-history?taxnode_id=20184878","ICTVonline=20184878")</f>
        <v>ICTVonline=20184878</v>
      </c>
    </row>
    <row r="4503" spans="1:22">
      <c r="A4503" s="3">
        <v>4502</v>
      </c>
      <c r="L4503" s="1" t="s">
        <v>1775</v>
      </c>
      <c r="M4503" s="1" t="s">
        <v>1167</v>
      </c>
      <c r="N4503" s="1" t="s">
        <v>1939</v>
      </c>
      <c r="P4503" s="1" t="s">
        <v>1380</v>
      </c>
      <c r="Q4503" s="3">
        <v>1</v>
      </c>
      <c r="R4503" s="22" t="s">
        <v>2768</v>
      </c>
      <c r="S4503" s="22" t="s">
        <v>5099</v>
      </c>
      <c r="T4503" s="51">
        <v>25</v>
      </c>
      <c r="U4503" s="3" t="s">
        <v>6240</v>
      </c>
      <c r="V4503" s="41" t="str">
        <f>HYPERLINK("http://ictvonline.org/taxonomy/p/taxonomy-history?taxnode_id=20184879","ICTVonline=20184879")</f>
        <v>ICTVonline=20184879</v>
      </c>
    </row>
    <row r="4504" spans="1:22">
      <c r="A4504" s="3">
        <v>4503</v>
      </c>
      <c r="L4504" s="1" t="s">
        <v>1775</v>
      </c>
      <c r="M4504" s="1" t="s">
        <v>1167</v>
      </c>
      <c r="N4504" s="1" t="s">
        <v>1939</v>
      </c>
      <c r="P4504" s="1" t="s">
        <v>1381</v>
      </c>
      <c r="Q4504" s="3">
        <v>0</v>
      </c>
      <c r="R4504" s="22" t="s">
        <v>2768</v>
      </c>
      <c r="S4504" s="22" t="s">
        <v>5099</v>
      </c>
      <c r="T4504" s="51">
        <v>25</v>
      </c>
      <c r="U4504" s="3" t="s">
        <v>6240</v>
      </c>
      <c r="V4504" s="41" t="str">
        <f>HYPERLINK("http://ictvonline.org/taxonomy/p/taxonomy-history?taxnode_id=20184880","ICTVonline=20184880")</f>
        <v>ICTVonline=20184880</v>
      </c>
    </row>
    <row r="4505" spans="1:22">
      <c r="A4505" s="3">
        <v>4504</v>
      </c>
      <c r="L4505" s="1" t="s">
        <v>1775</v>
      </c>
      <c r="M4505" s="1" t="s">
        <v>1167</v>
      </c>
      <c r="N4505" s="1" t="s">
        <v>1939</v>
      </c>
      <c r="P4505" s="1" t="s">
        <v>1382</v>
      </c>
      <c r="Q4505" s="3">
        <v>0</v>
      </c>
      <c r="R4505" s="22" t="s">
        <v>2768</v>
      </c>
      <c r="S4505" s="22" t="s">
        <v>5099</v>
      </c>
      <c r="T4505" s="51">
        <v>25</v>
      </c>
      <c r="U4505" s="3" t="s">
        <v>6240</v>
      </c>
      <c r="V4505" s="41" t="str">
        <f>HYPERLINK("http://ictvonline.org/taxonomy/p/taxonomy-history?taxnode_id=20184881","ICTVonline=20184881")</f>
        <v>ICTVonline=20184881</v>
      </c>
    </row>
    <row r="4506" spans="1:22">
      <c r="A4506" s="3">
        <v>4505</v>
      </c>
      <c r="L4506" s="1" t="s">
        <v>1775</v>
      </c>
      <c r="M4506" s="1" t="s">
        <v>1167</v>
      </c>
      <c r="N4506" s="1" t="s">
        <v>1939</v>
      </c>
      <c r="P4506" s="1" t="s">
        <v>1383</v>
      </c>
      <c r="Q4506" s="3">
        <v>0</v>
      </c>
      <c r="R4506" s="22" t="s">
        <v>2768</v>
      </c>
      <c r="S4506" s="22" t="s">
        <v>5099</v>
      </c>
      <c r="T4506" s="51">
        <v>25</v>
      </c>
      <c r="U4506" s="3" t="s">
        <v>6240</v>
      </c>
      <c r="V4506" s="41" t="str">
        <f>HYPERLINK("http://ictvonline.org/taxonomy/p/taxonomy-history?taxnode_id=20184882","ICTVonline=20184882")</f>
        <v>ICTVonline=20184882</v>
      </c>
    </row>
    <row r="4507" spans="1:22">
      <c r="A4507" s="3">
        <v>4506</v>
      </c>
      <c r="L4507" s="1" t="s">
        <v>1775</v>
      </c>
      <c r="M4507" s="1" t="s">
        <v>1167</v>
      </c>
      <c r="N4507" s="1" t="s">
        <v>1939</v>
      </c>
      <c r="P4507" s="1" t="s">
        <v>1384</v>
      </c>
      <c r="Q4507" s="3">
        <v>0</v>
      </c>
      <c r="R4507" s="22" t="s">
        <v>2768</v>
      </c>
      <c r="S4507" s="22" t="s">
        <v>5099</v>
      </c>
      <c r="T4507" s="51">
        <v>25</v>
      </c>
      <c r="U4507" s="3" t="s">
        <v>6240</v>
      </c>
      <c r="V4507" s="41" t="str">
        <f>HYPERLINK("http://ictvonline.org/taxonomy/p/taxonomy-history?taxnode_id=20184883","ICTVonline=20184883")</f>
        <v>ICTVonline=20184883</v>
      </c>
    </row>
    <row r="4508" spans="1:22">
      <c r="A4508" s="3">
        <v>4507</v>
      </c>
      <c r="L4508" s="1" t="s">
        <v>1775</v>
      </c>
      <c r="M4508" s="1" t="s">
        <v>1167</v>
      </c>
      <c r="N4508" s="1" t="s">
        <v>1939</v>
      </c>
      <c r="P4508" s="1" t="s">
        <v>1396</v>
      </c>
      <c r="Q4508" s="3">
        <v>0</v>
      </c>
      <c r="R4508" s="22" t="s">
        <v>2768</v>
      </c>
      <c r="S4508" s="22" t="s">
        <v>5099</v>
      </c>
      <c r="T4508" s="51">
        <v>25</v>
      </c>
      <c r="U4508" s="3" t="s">
        <v>6240</v>
      </c>
      <c r="V4508" s="41" t="str">
        <f>HYPERLINK("http://ictvonline.org/taxonomy/p/taxonomy-history?taxnode_id=20184884","ICTVonline=20184884")</f>
        <v>ICTVonline=20184884</v>
      </c>
    </row>
    <row r="4509" spans="1:22">
      <c r="A4509" s="3">
        <v>4508</v>
      </c>
      <c r="L4509" s="1" t="s">
        <v>1775</v>
      </c>
      <c r="M4509" s="1" t="s">
        <v>1167</v>
      </c>
      <c r="N4509" s="1" t="s">
        <v>1939</v>
      </c>
      <c r="P4509" s="1" t="s">
        <v>1397</v>
      </c>
      <c r="Q4509" s="3">
        <v>0</v>
      </c>
      <c r="R4509" s="22" t="s">
        <v>2768</v>
      </c>
      <c r="S4509" s="22" t="s">
        <v>5099</v>
      </c>
      <c r="T4509" s="51">
        <v>25</v>
      </c>
      <c r="U4509" s="3" t="s">
        <v>6240</v>
      </c>
      <c r="V4509" s="41" t="str">
        <f>HYPERLINK("http://ictvonline.org/taxonomy/p/taxonomy-history?taxnode_id=20184885","ICTVonline=20184885")</f>
        <v>ICTVonline=20184885</v>
      </c>
    </row>
    <row r="4510" spans="1:22">
      <c r="A4510" s="3">
        <v>4509</v>
      </c>
      <c r="L4510" s="1" t="s">
        <v>1775</v>
      </c>
      <c r="M4510" s="1" t="s">
        <v>1167</v>
      </c>
      <c r="N4510" s="1" t="s">
        <v>1939</v>
      </c>
      <c r="P4510" s="1" t="s">
        <v>1398</v>
      </c>
      <c r="Q4510" s="3">
        <v>0</v>
      </c>
      <c r="R4510" s="22" t="s">
        <v>2768</v>
      </c>
      <c r="S4510" s="22" t="s">
        <v>5099</v>
      </c>
      <c r="T4510" s="51">
        <v>25</v>
      </c>
      <c r="U4510" s="3" t="s">
        <v>6240</v>
      </c>
      <c r="V4510" s="41" t="str">
        <f>HYPERLINK("http://ictvonline.org/taxonomy/p/taxonomy-history?taxnode_id=20184886","ICTVonline=20184886")</f>
        <v>ICTVonline=20184886</v>
      </c>
    </row>
    <row r="4511" spans="1:22">
      <c r="A4511" s="3">
        <v>4510</v>
      </c>
      <c r="L4511" s="1" t="s">
        <v>1775</v>
      </c>
      <c r="M4511" s="1" t="s">
        <v>1167</v>
      </c>
      <c r="N4511" s="1" t="s">
        <v>1939</v>
      </c>
      <c r="P4511" s="1" t="s">
        <v>1399</v>
      </c>
      <c r="Q4511" s="3">
        <v>0</v>
      </c>
      <c r="R4511" s="22" t="s">
        <v>2768</v>
      </c>
      <c r="S4511" s="22" t="s">
        <v>5099</v>
      </c>
      <c r="T4511" s="51">
        <v>25</v>
      </c>
      <c r="U4511" s="3" t="s">
        <v>6240</v>
      </c>
      <c r="V4511" s="41" t="str">
        <f>HYPERLINK("http://ictvonline.org/taxonomy/p/taxonomy-history?taxnode_id=20184887","ICTVonline=20184887")</f>
        <v>ICTVonline=20184887</v>
      </c>
    </row>
    <row r="4512" spans="1:22">
      <c r="A4512" s="3">
        <v>4511</v>
      </c>
      <c r="L4512" s="1" t="s">
        <v>1775</v>
      </c>
      <c r="M4512" s="1" t="s">
        <v>1167</v>
      </c>
      <c r="N4512" s="1" t="s">
        <v>1939</v>
      </c>
      <c r="P4512" s="1" t="s">
        <v>1400</v>
      </c>
      <c r="Q4512" s="3">
        <v>0</v>
      </c>
      <c r="R4512" s="22" t="s">
        <v>2768</v>
      </c>
      <c r="S4512" s="22" t="s">
        <v>5099</v>
      </c>
      <c r="T4512" s="51">
        <v>25</v>
      </c>
      <c r="U4512" s="3" t="s">
        <v>6240</v>
      </c>
      <c r="V4512" s="41" t="str">
        <f>HYPERLINK("http://ictvonline.org/taxonomy/p/taxonomy-history?taxnode_id=20184888","ICTVonline=20184888")</f>
        <v>ICTVonline=20184888</v>
      </c>
    </row>
    <row r="4513" spans="1:22">
      <c r="A4513" s="3">
        <v>4512</v>
      </c>
      <c r="L4513" s="1" t="s">
        <v>1775</v>
      </c>
      <c r="M4513" s="1" t="s">
        <v>1167</v>
      </c>
      <c r="N4513" s="1" t="s">
        <v>1939</v>
      </c>
      <c r="P4513" s="1" t="s">
        <v>1401</v>
      </c>
      <c r="Q4513" s="3">
        <v>0</v>
      </c>
      <c r="R4513" s="22" t="s">
        <v>2768</v>
      </c>
      <c r="S4513" s="22" t="s">
        <v>5099</v>
      </c>
      <c r="T4513" s="51">
        <v>25</v>
      </c>
      <c r="U4513" s="3" t="s">
        <v>6240</v>
      </c>
      <c r="V4513" s="41" t="str">
        <f>HYPERLINK("http://ictvonline.org/taxonomy/p/taxonomy-history?taxnode_id=20184889","ICTVonline=20184889")</f>
        <v>ICTVonline=20184889</v>
      </c>
    </row>
    <row r="4514" spans="1:22">
      <c r="A4514" s="3">
        <v>4513</v>
      </c>
      <c r="L4514" s="1" t="s">
        <v>1775</v>
      </c>
      <c r="M4514" s="1" t="s">
        <v>1167</v>
      </c>
      <c r="N4514" s="1" t="s">
        <v>1939</v>
      </c>
      <c r="P4514" s="1" t="s">
        <v>1406</v>
      </c>
      <c r="Q4514" s="3">
        <v>0</v>
      </c>
      <c r="R4514" s="22" t="s">
        <v>2768</v>
      </c>
      <c r="S4514" s="22" t="s">
        <v>5099</v>
      </c>
      <c r="T4514" s="51">
        <v>25</v>
      </c>
      <c r="U4514" s="3" t="s">
        <v>6240</v>
      </c>
      <c r="V4514" s="41" t="str">
        <f>HYPERLINK("http://ictvonline.org/taxonomy/p/taxonomy-history?taxnode_id=20184890","ICTVonline=20184890")</f>
        <v>ICTVonline=20184890</v>
      </c>
    </row>
    <row r="4515" spans="1:22">
      <c r="A4515" s="3">
        <v>4514</v>
      </c>
      <c r="L4515" s="1" t="s">
        <v>1775</v>
      </c>
      <c r="M4515" s="1" t="s">
        <v>1167</v>
      </c>
      <c r="N4515" s="1" t="s">
        <v>1939</v>
      </c>
      <c r="P4515" s="1" t="s">
        <v>1407</v>
      </c>
      <c r="Q4515" s="3">
        <v>0</v>
      </c>
      <c r="R4515" s="22" t="s">
        <v>2768</v>
      </c>
      <c r="S4515" s="22" t="s">
        <v>5099</v>
      </c>
      <c r="T4515" s="51">
        <v>25</v>
      </c>
      <c r="U4515" s="3" t="s">
        <v>6240</v>
      </c>
      <c r="V4515" s="41" t="str">
        <f>HYPERLINK("http://ictvonline.org/taxonomy/p/taxonomy-history?taxnode_id=20184891","ICTVonline=20184891")</f>
        <v>ICTVonline=20184891</v>
      </c>
    </row>
    <row r="4516" spans="1:22">
      <c r="A4516" s="3">
        <v>4515</v>
      </c>
      <c r="L4516" s="1" t="s">
        <v>1775</v>
      </c>
      <c r="M4516" s="1" t="s">
        <v>1167</v>
      </c>
      <c r="N4516" s="1" t="s">
        <v>1939</v>
      </c>
      <c r="P4516" s="1" t="s">
        <v>1408</v>
      </c>
      <c r="Q4516" s="3">
        <v>0</v>
      </c>
      <c r="R4516" s="22" t="s">
        <v>2768</v>
      </c>
      <c r="S4516" s="22" t="s">
        <v>5099</v>
      </c>
      <c r="T4516" s="51">
        <v>25</v>
      </c>
      <c r="U4516" s="3" t="s">
        <v>6240</v>
      </c>
      <c r="V4516" s="41" t="str">
        <f>HYPERLINK("http://ictvonline.org/taxonomy/p/taxonomy-history?taxnode_id=20184892","ICTVonline=20184892")</f>
        <v>ICTVonline=20184892</v>
      </c>
    </row>
    <row r="4517" spans="1:22">
      <c r="A4517" s="3">
        <v>4516</v>
      </c>
      <c r="L4517" s="1" t="s">
        <v>1775</v>
      </c>
      <c r="M4517" s="1" t="s">
        <v>1167</v>
      </c>
      <c r="N4517" s="1" t="s">
        <v>1939</v>
      </c>
      <c r="P4517" s="1" t="s">
        <v>1308</v>
      </c>
      <c r="Q4517" s="3">
        <v>0</v>
      </c>
      <c r="R4517" s="22" t="s">
        <v>2768</v>
      </c>
      <c r="S4517" s="22" t="s">
        <v>5099</v>
      </c>
      <c r="T4517" s="51">
        <v>25</v>
      </c>
      <c r="U4517" s="3" t="s">
        <v>6240</v>
      </c>
      <c r="V4517" s="41" t="str">
        <f>HYPERLINK("http://ictvonline.org/taxonomy/p/taxonomy-history?taxnode_id=20184893","ICTVonline=20184893")</f>
        <v>ICTVonline=20184893</v>
      </c>
    </row>
    <row r="4518" spans="1:22">
      <c r="A4518" s="3">
        <v>4517</v>
      </c>
      <c r="L4518" s="1" t="s">
        <v>1775</v>
      </c>
      <c r="M4518" s="1" t="s">
        <v>1167</v>
      </c>
      <c r="N4518" s="1" t="s">
        <v>1939</v>
      </c>
      <c r="P4518" s="1" t="s">
        <v>1309</v>
      </c>
      <c r="Q4518" s="3">
        <v>0</v>
      </c>
      <c r="R4518" s="22" t="s">
        <v>2768</v>
      </c>
      <c r="S4518" s="22" t="s">
        <v>5099</v>
      </c>
      <c r="T4518" s="51">
        <v>25</v>
      </c>
      <c r="U4518" s="3" t="s">
        <v>6240</v>
      </c>
      <c r="V4518" s="41" t="str">
        <f>HYPERLINK("http://ictvonline.org/taxonomy/p/taxonomy-history?taxnode_id=20184894","ICTVonline=20184894")</f>
        <v>ICTVonline=20184894</v>
      </c>
    </row>
    <row r="4519" spans="1:22">
      <c r="A4519" s="3">
        <v>4518</v>
      </c>
      <c r="L4519" s="1" t="s">
        <v>1775</v>
      </c>
      <c r="M4519" s="1" t="s">
        <v>1167</v>
      </c>
      <c r="N4519" s="1" t="s">
        <v>1939</v>
      </c>
      <c r="P4519" s="1" t="s">
        <v>1310</v>
      </c>
      <c r="Q4519" s="3">
        <v>0</v>
      </c>
      <c r="R4519" s="22" t="s">
        <v>2768</v>
      </c>
      <c r="S4519" s="22" t="s">
        <v>5099</v>
      </c>
      <c r="T4519" s="51">
        <v>25</v>
      </c>
      <c r="U4519" s="3" t="s">
        <v>6240</v>
      </c>
      <c r="V4519" s="41" t="str">
        <f>HYPERLINK("http://ictvonline.org/taxonomy/p/taxonomy-history?taxnode_id=20184895","ICTVonline=20184895")</f>
        <v>ICTVonline=20184895</v>
      </c>
    </row>
    <row r="4520" spans="1:22">
      <c r="A4520" s="3">
        <v>4519</v>
      </c>
      <c r="L4520" s="1" t="s">
        <v>1775</v>
      </c>
      <c r="M4520" s="1" t="s">
        <v>1167</v>
      </c>
      <c r="N4520" s="1" t="s">
        <v>1939</v>
      </c>
      <c r="P4520" s="1" t="s">
        <v>1311</v>
      </c>
      <c r="Q4520" s="3">
        <v>0</v>
      </c>
      <c r="R4520" s="22" t="s">
        <v>2768</v>
      </c>
      <c r="S4520" s="22" t="s">
        <v>5099</v>
      </c>
      <c r="T4520" s="51">
        <v>25</v>
      </c>
      <c r="U4520" s="3" t="s">
        <v>6240</v>
      </c>
      <c r="V4520" s="41" t="str">
        <f>HYPERLINK("http://ictvonline.org/taxonomy/p/taxonomy-history?taxnode_id=20184896","ICTVonline=20184896")</f>
        <v>ICTVonline=20184896</v>
      </c>
    </row>
    <row r="4521" spans="1:22">
      <c r="A4521" s="3">
        <v>4520</v>
      </c>
      <c r="L4521" s="1" t="s">
        <v>1775</v>
      </c>
      <c r="M4521" s="1" t="s">
        <v>1167</v>
      </c>
      <c r="N4521" s="1" t="s">
        <v>1939</v>
      </c>
      <c r="P4521" s="1" t="s">
        <v>1312</v>
      </c>
      <c r="Q4521" s="3">
        <v>0</v>
      </c>
      <c r="R4521" s="22" t="s">
        <v>2768</v>
      </c>
      <c r="S4521" s="22" t="s">
        <v>5099</v>
      </c>
      <c r="T4521" s="51">
        <v>25</v>
      </c>
      <c r="U4521" s="3" t="s">
        <v>6240</v>
      </c>
      <c r="V4521" s="41" t="str">
        <f>HYPERLINK("http://ictvonline.org/taxonomy/p/taxonomy-history?taxnode_id=20184897","ICTVonline=20184897")</f>
        <v>ICTVonline=20184897</v>
      </c>
    </row>
    <row r="4522" spans="1:22">
      <c r="A4522" s="3">
        <v>4521</v>
      </c>
      <c r="L4522" s="1" t="s">
        <v>1775</v>
      </c>
      <c r="M4522" s="1" t="s">
        <v>1167</v>
      </c>
      <c r="N4522" s="1" t="s">
        <v>1939</v>
      </c>
      <c r="P4522" s="1" t="s">
        <v>1313</v>
      </c>
      <c r="Q4522" s="3">
        <v>0</v>
      </c>
      <c r="R4522" s="22" t="s">
        <v>2768</v>
      </c>
      <c r="S4522" s="22" t="s">
        <v>5099</v>
      </c>
      <c r="T4522" s="51">
        <v>25</v>
      </c>
      <c r="U4522" s="3" t="s">
        <v>6240</v>
      </c>
      <c r="V4522" s="41" t="str">
        <f>HYPERLINK("http://ictvonline.org/taxonomy/p/taxonomy-history?taxnode_id=20184898","ICTVonline=20184898")</f>
        <v>ICTVonline=20184898</v>
      </c>
    </row>
    <row r="4523" spans="1:22">
      <c r="A4523" s="3">
        <v>4522</v>
      </c>
      <c r="L4523" s="1" t="s">
        <v>1775</v>
      </c>
      <c r="M4523" s="1" t="s">
        <v>1167</v>
      </c>
      <c r="N4523" s="1" t="s">
        <v>1939</v>
      </c>
      <c r="P4523" s="1" t="s">
        <v>1314</v>
      </c>
      <c r="Q4523" s="3">
        <v>0</v>
      </c>
      <c r="R4523" s="22" t="s">
        <v>2768</v>
      </c>
      <c r="S4523" s="22" t="s">
        <v>5099</v>
      </c>
      <c r="T4523" s="51">
        <v>25</v>
      </c>
      <c r="U4523" s="3" t="s">
        <v>6240</v>
      </c>
      <c r="V4523" s="41" t="str">
        <f>HYPERLINK("http://ictvonline.org/taxonomy/p/taxonomy-history?taxnode_id=20184899","ICTVonline=20184899")</f>
        <v>ICTVonline=20184899</v>
      </c>
    </row>
    <row r="4524" spans="1:22">
      <c r="A4524" s="3">
        <v>4523</v>
      </c>
      <c r="L4524" s="1" t="s">
        <v>1775</v>
      </c>
      <c r="M4524" s="1" t="s">
        <v>1167</v>
      </c>
      <c r="N4524" s="1" t="s">
        <v>240</v>
      </c>
      <c r="P4524" s="1" t="s">
        <v>347</v>
      </c>
      <c r="Q4524" s="3">
        <v>0</v>
      </c>
      <c r="R4524" s="22" t="s">
        <v>2768</v>
      </c>
      <c r="S4524" s="22" t="s">
        <v>5099</v>
      </c>
      <c r="T4524" s="51">
        <v>25</v>
      </c>
      <c r="U4524" s="3" t="s">
        <v>6240</v>
      </c>
      <c r="V4524" s="41" t="str">
        <f>HYPERLINK("http://ictvonline.org/taxonomy/p/taxonomy-history?taxnode_id=20184901","ICTVonline=20184901")</f>
        <v>ICTVonline=20184901</v>
      </c>
    </row>
    <row r="4525" spans="1:22">
      <c r="A4525" s="3">
        <v>4524</v>
      </c>
      <c r="L4525" s="1" t="s">
        <v>1775</v>
      </c>
      <c r="M4525" s="1" t="s">
        <v>1167</v>
      </c>
      <c r="N4525" s="1" t="s">
        <v>240</v>
      </c>
      <c r="P4525" s="1" t="s">
        <v>348</v>
      </c>
      <c r="Q4525" s="3">
        <v>0</v>
      </c>
      <c r="R4525" s="22" t="s">
        <v>2768</v>
      </c>
      <c r="S4525" s="22" t="s">
        <v>5099</v>
      </c>
      <c r="T4525" s="51">
        <v>25</v>
      </c>
      <c r="U4525" s="3" t="s">
        <v>6240</v>
      </c>
      <c r="V4525" s="41" t="str">
        <f>HYPERLINK("http://ictvonline.org/taxonomy/p/taxonomy-history?taxnode_id=20184902","ICTVonline=20184902")</f>
        <v>ICTVonline=20184902</v>
      </c>
    </row>
    <row r="4526" spans="1:22">
      <c r="A4526" s="3">
        <v>4525</v>
      </c>
      <c r="L4526" s="1" t="s">
        <v>1775</v>
      </c>
      <c r="M4526" s="1" t="s">
        <v>1167</v>
      </c>
      <c r="N4526" s="1" t="s">
        <v>240</v>
      </c>
      <c r="P4526" s="1" t="s">
        <v>349</v>
      </c>
      <c r="Q4526" s="3">
        <v>1</v>
      </c>
      <c r="R4526" s="22" t="s">
        <v>2768</v>
      </c>
      <c r="S4526" s="22" t="s">
        <v>5099</v>
      </c>
      <c r="T4526" s="51">
        <v>25</v>
      </c>
      <c r="U4526" s="3" t="s">
        <v>6240</v>
      </c>
      <c r="V4526" s="41" t="str">
        <f>HYPERLINK("http://ictvonline.org/taxonomy/p/taxonomy-history?taxnode_id=20184903","ICTVonline=20184903")</f>
        <v>ICTVonline=20184903</v>
      </c>
    </row>
    <row r="4527" spans="1:22">
      <c r="A4527" s="3">
        <v>4526</v>
      </c>
      <c r="L4527" s="1" t="s">
        <v>1775</v>
      </c>
      <c r="M4527" s="1" t="s">
        <v>1167</v>
      </c>
      <c r="N4527" s="1" t="s">
        <v>228</v>
      </c>
      <c r="P4527" s="1" t="s">
        <v>351</v>
      </c>
      <c r="Q4527" s="3">
        <v>1</v>
      </c>
      <c r="R4527" s="22" t="s">
        <v>2768</v>
      </c>
      <c r="S4527" s="22" t="s">
        <v>5099</v>
      </c>
      <c r="T4527" s="51">
        <v>25</v>
      </c>
      <c r="U4527" s="3" t="s">
        <v>6240</v>
      </c>
      <c r="V4527" s="41" t="str">
        <f>HYPERLINK("http://ictvonline.org/taxonomy/p/taxonomy-history?taxnode_id=20184905","ICTVonline=20184905")</f>
        <v>ICTVonline=20184905</v>
      </c>
    </row>
    <row r="4528" spans="1:22">
      <c r="A4528" s="3">
        <v>4527</v>
      </c>
      <c r="L4528" s="1" t="s">
        <v>1775</v>
      </c>
      <c r="M4528" s="1" t="s">
        <v>1167</v>
      </c>
      <c r="N4528" s="1" t="s">
        <v>228</v>
      </c>
      <c r="P4528" s="1" t="s">
        <v>352</v>
      </c>
      <c r="Q4528" s="3">
        <v>0</v>
      </c>
      <c r="R4528" s="22" t="s">
        <v>2768</v>
      </c>
      <c r="S4528" s="22" t="s">
        <v>5099</v>
      </c>
      <c r="T4528" s="51">
        <v>25</v>
      </c>
      <c r="U4528" s="3" t="s">
        <v>6240</v>
      </c>
      <c r="V4528" s="41" t="str">
        <f>HYPERLINK("http://ictvonline.org/taxonomy/p/taxonomy-history?taxnode_id=20184906","ICTVonline=20184906")</f>
        <v>ICTVonline=20184906</v>
      </c>
    </row>
    <row r="4529" spans="1:22">
      <c r="A4529" s="3">
        <v>4528</v>
      </c>
      <c r="L4529" s="1" t="s">
        <v>1775</v>
      </c>
      <c r="M4529" s="1" t="s">
        <v>1167</v>
      </c>
      <c r="N4529" s="1" t="s">
        <v>228</v>
      </c>
      <c r="P4529" s="1" t="s">
        <v>353</v>
      </c>
      <c r="Q4529" s="3">
        <v>0</v>
      </c>
      <c r="R4529" s="22" t="s">
        <v>2768</v>
      </c>
      <c r="S4529" s="22" t="s">
        <v>5099</v>
      </c>
      <c r="T4529" s="51">
        <v>25</v>
      </c>
      <c r="U4529" s="3" t="s">
        <v>6240</v>
      </c>
      <c r="V4529" s="41" t="str">
        <f>HYPERLINK("http://ictvonline.org/taxonomy/p/taxonomy-history?taxnode_id=20184907","ICTVonline=20184907")</f>
        <v>ICTVonline=20184907</v>
      </c>
    </row>
    <row r="4530" spans="1:22">
      <c r="A4530" s="3">
        <v>4529</v>
      </c>
      <c r="L4530" s="1" t="s">
        <v>1775</v>
      </c>
      <c r="M4530" s="1" t="s">
        <v>1167</v>
      </c>
      <c r="N4530" s="1" t="s">
        <v>228</v>
      </c>
      <c r="P4530" s="1" t="s">
        <v>354</v>
      </c>
      <c r="Q4530" s="3">
        <v>0</v>
      </c>
      <c r="R4530" s="22" t="s">
        <v>2768</v>
      </c>
      <c r="S4530" s="22" t="s">
        <v>5099</v>
      </c>
      <c r="T4530" s="51">
        <v>25</v>
      </c>
      <c r="U4530" s="3" t="s">
        <v>6240</v>
      </c>
      <c r="V4530" s="41" t="str">
        <f>HYPERLINK("http://ictvonline.org/taxonomy/p/taxonomy-history?taxnode_id=20184908","ICTVonline=20184908")</f>
        <v>ICTVonline=20184908</v>
      </c>
    </row>
    <row r="4531" spans="1:22">
      <c r="A4531" s="3">
        <v>4530</v>
      </c>
      <c r="L4531" s="1" t="s">
        <v>1775</v>
      </c>
      <c r="M4531" s="1" t="s">
        <v>1167</v>
      </c>
      <c r="N4531" s="1" t="s">
        <v>228</v>
      </c>
      <c r="P4531" s="1" t="s">
        <v>355</v>
      </c>
      <c r="Q4531" s="3">
        <v>0</v>
      </c>
      <c r="R4531" s="22" t="s">
        <v>2768</v>
      </c>
      <c r="S4531" s="22" t="s">
        <v>5099</v>
      </c>
      <c r="T4531" s="51">
        <v>25</v>
      </c>
      <c r="U4531" s="3" t="s">
        <v>6240</v>
      </c>
      <c r="V4531" s="41" t="str">
        <f>HYPERLINK("http://ictvonline.org/taxonomy/p/taxonomy-history?taxnode_id=20184909","ICTVonline=20184909")</f>
        <v>ICTVonline=20184909</v>
      </c>
    </row>
    <row r="4532" spans="1:22">
      <c r="A4532" s="3">
        <v>4531</v>
      </c>
      <c r="L4532" s="1" t="s">
        <v>1775</v>
      </c>
      <c r="M4532" s="1" t="s">
        <v>1167</v>
      </c>
      <c r="N4532" s="1" t="s">
        <v>228</v>
      </c>
      <c r="P4532" s="1" t="s">
        <v>2745</v>
      </c>
      <c r="Q4532" s="3">
        <v>0</v>
      </c>
      <c r="R4532" s="22" t="s">
        <v>2768</v>
      </c>
      <c r="S4532" s="22" t="s">
        <v>5097</v>
      </c>
      <c r="T4532" s="51">
        <v>29</v>
      </c>
      <c r="U4532" s="3" t="s">
        <v>6241</v>
      </c>
      <c r="V4532" s="41" t="str">
        <f>HYPERLINK("http://ictvonline.org/taxonomy/p/taxonomy-history?taxnode_id=20184910","ICTVonline=20184910")</f>
        <v>ICTVonline=20184910</v>
      </c>
    </row>
    <row r="4533" spans="1:22">
      <c r="A4533" s="3">
        <v>4532</v>
      </c>
      <c r="L4533" s="1" t="s">
        <v>1775</v>
      </c>
      <c r="M4533" s="1" t="s">
        <v>1167</v>
      </c>
      <c r="N4533" s="1" t="s">
        <v>228</v>
      </c>
      <c r="P4533" s="1" t="s">
        <v>2746</v>
      </c>
      <c r="Q4533" s="3">
        <v>0</v>
      </c>
      <c r="R4533" s="22" t="s">
        <v>2768</v>
      </c>
      <c r="S4533" s="22" t="s">
        <v>5097</v>
      </c>
      <c r="T4533" s="51">
        <v>29</v>
      </c>
      <c r="U4533" s="3" t="s">
        <v>6241</v>
      </c>
      <c r="V4533" s="41" t="str">
        <f>HYPERLINK("http://ictvonline.org/taxonomy/p/taxonomy-history?taxnode_id=20184911","ICTVonline=20184911")</f>
        <v>ICTVonline=20184911</v>
      </c>
    </row>
    <row r="4534" spans="1:22">
      <c r="A4534" s="3">
        <v>4533</v>
      </c>
      <c r="L4534" s="1" t="s">
        <v>1775</v>
      </c>
      <c r="M4534" s="1" t="s">
        <v>1167</v>
      </c>
      <c r="N4534" s="1" t="s">
        <v>228</v>
      </c>
      <c r="P4534" s="1" t="s">
        <v>2747</v>
      </c>
      <c r="Q4534" s="3">
        <v>0</v>
      </c>
      <c r="R4534" s="22" t="s">
        <v>2768</v>
      </c>
      <c r="S4534" s="22" t="s">
        <v>5097</v>
      </c>
      <c r="T4534" s="51">
        <v>29</v>
      </c>
      <c r="U4534" s="3" t="s">
        <v>6241</v>
      </c>
      <c r="V4534" s="41" t="str">
        <f>HYPERLINK("http://ictvonline.org/taxonomy/p/taxonomy-history?taxnode_id=20184912","ICTVonline=20184912")</f>
        <v>ICTVonline=20184912</v>
      </c>
    </row>
    <row r="4535" spans="1:22">
      <c r="A4535" s="3">
        <v>4534</v>
      </c>
      <c r="L4535" s="1" t="s">
        <v>1775</v>
      </c>
      <c r="M4535" s="1" t="s">
        <v>1167</v>
      </c>
      <c r="N4535" s="1" t="s">
        <v>228</v>
      </c>
      <c r="P4535" s="1" t="s">
        <v>5002</v>
      </c>
      <c r="Q4535" s="3">
        <v>0</v>
      </c>
      <c r="R4535" s="22" t="s">
        <v>2768</v>
      </c>
      <c r="S4535" s="22" t="s">
        <v>5097</v>
      </c>
      <c r="T4535" s="51">
        <v>31</v>
      </c>
      <c r="U4535" s="3" t="s">
        <v>6242</v>
      </c>
      <c r="V4535" s="41" t="str">
        <f>HYPERLINK("http://ictvonline.org/taxonomy/p/taxonomy-history?taxnode_id=20184913","ICTVonline=20184913")</f>
        <v>ICTVonline=20184913</v>
      </c>
    </row>
    <row r="4536" spans="1:22">
      <c r="A4536" s="3">
        <v>4535</v>
      </c>
      <c r="L4536" s="1" t="s">
        <v>1775</v>
      </c>
      <c r="M4536" s="1" t="s">
        <v>1167</v>
      </c>
      <c r="N4536" s="1" t="s">
        <v>356</v>
      </c>
      <c r="P4536" s="1" t="s">
        <v>357</v>
      </c>
      <c r="Q4536" s="3">
        <v>1</v>
      </c>
      <c r="R4536" s="22" t="s">
        <v>2768</v>
      </c>
      <c r="S4536" s="22" t="s">
        <v>5099</v>
      </c>
      <c r="T4536" s="51">
        <v>25</v>
      </c>
      <c r="U4536" s="3" t="s">
        <v>6240</v>
      </c>
      <c r="V4536" s="41" t="str">
        <f>HYPERLINK("http://ictvonline.org/taxonomy/p/taxonomy-history?taxnode_id=20184915","ICTVonline=20184915")</f>
        <v>ICTVonline=20184915</v>
      </c>
    </row>
    <row r="4537" spans="1:22">
      <c r="A4537" s="3">
        <v>4536</v>
      </c>
      <c r="L4537" s="1" t="s">
        <v>1775</v>
      </c>
      <c r="M4537" s="1" t="s">
        <v>1167</v>
      </c>
      <c r="N4537" s="1" t="s">
        <v>356</v>
      </c>
      <c r="P4537" s="1" t="s">
        <v>358</v>
      </c>
      <c r="Q4537" s="3">
        <v>0</v>
      </c>
      <c r="R4537" s="22" t="s">
        <v>2768</v>
      </c>
      <c r="S4537" s="22" t="s">
        <v>5099</v>
      </c>
      <c r="T4537" s="51">
        <v>25</v>
      </c>
      <c r="U4537" s="3" t="s">
        <v>6240</v>
      </c>
      <c r="V4537" s="41" t="str">
        <f>HYPERLINK("http://ictvonline.org/taxonomy/p/taxonomy-history?taxnode_id=20184916","ICTVonline=20184916")</f>
        <v>ICTVonline=20184916</v>
      </c>
    </row>
    <row r="4538" spans="1:22">
      <c r="A4538" s="3">
        <v>4537</v>
      </c>
      <c r="L4538" s="1" t="s">
        <v>1775</v>
      </c>
      <c r="M4538" s="1" t="s">
        <v>1167</v>
      </c>
      <c r="N4538" s="1" t="s">
        <v>356</v>
      </c>
      <c r="P4538" s="1" t="s">
        <v>359</v>
      </c>
      <c r="Q4538" s="3">
        <v>0</v>
      </c>
      <c r="R4538" s="22" t="s">
        <v>2768</v>
      </c>
      <c r="S4538" s="22" t="s">
        <v>5099</v>
      </c>
      <c r="T4538" s="51">
        <v>25</v>
      </c>
      <c r="U4538" s="3" t="s">
        <v>6240</v>
      </c>
      <c r="V4538" s="41" t="str">
        <f>HYPERLINK("http://ictvonline.org/taxonomy/p/taxonomy-history?taxnode_id=20184917","ICTVonline=20184917")</f>
        <v>ICTVonline=20184917</v>
      </c>
    </row>
    <row r="4539" spans="1:22">
      <c r="A4539" s="3">
        <v>4538</v>
      </c>
      <c r="L4539" s="1" t="s">
        <v>1775</v>
      </c>
      <c r="M4539" s="1" t="s">
        <v>1166</v>
      </c>
      <c r="N4539" s="1" t="s">
        <v>726</v>
      </c>
      <c r="P4539" s="1" t="s">
        <v>727</v>
      </c>
      <c r="Q4539" s="3">
        <v>1</v>
      </c>
      <c r="R4539" s="22" t="s">
        <v>2768</v>
      </c>
      <c r="S4539" s="22" t="s">
        <v>5099</v>
      </c>
      <c r="T4539" s="51">
        <v>25</v>
      </c>
      <c r="U4539" s="3" t="s">
        <v>6240</v>
      </c>
      <c r="V4539" s="41" t="str">
        <f>HYPERLINK("http://ictvonline.org/taxonomy/p/taxonomy-history?taxnode_id=20184920","ICTVonline=20184920")</f>
        <v>ICTVonline=20184920</v>
      </c>
    </row>
    <row r="4540" spans="1:22">
      <c r="A4540" s="3">
        <v>4539</v>
      </c>
      <c r="L4540" s="1" t="s">
        <v>1775</v>
      </c>
      <c r="M4540" s="1" t="s">
        <v>1166</v>
      </c>
      <c r="N4540" s="1" t="s">
        <v>726</v>
      </c>
      <c r="P4540" s="1" t="s">
        <v>728</v>
      </c>
      <c r="Q4540" s="3">
        <v>0</v>
      </c>
      <c r="R4540" s="22" t="s">
        <v>2768</v>
      </c>
      <c r="S4540" s="22" t="s">
        <v>5099</v>
      </c>
      <c r="T4540" s="51">
        <v>25</v>
      </c>
      <c r="U4540" s="3" t="s">
        <v>6240</v>
      </c>
      <c r="V4540" s="41" t="str">
        <f>HYPERLINK("http://ictvonline.org/taxonomy/p/taxonomy-history?taxnode_id=20184921","ICTVonline=20184921")</f>
        <v>ICTVonline=20184921</v>
      </c>
    </row>
    <row r="4541" spans="1:22">
      <c r="A4541" s="3">
        <v>4540</v>
      </c>
      <c r="L4541" s="1" t="s">
        <v>1775</v>
      </c>
      <c r="M4541" s="1" t="s">
        <v>1166</v>
      </c>
      <c r="N4541" s="1" t="s">
        <v>726</v>
      </c>
      <c r="P4541" s="1" t="s">
        <v>729</v>
      </c>
      <c r="Q4541" s="3">
        <v>0</v>
      </c>
      <c r="R4541" s="22" t="s">
        <v>2768</v>
      </c>
      <c r="S4541" s="22" t="s">
        <v>5099</v>
      </c>
      <c r="T4541" s="51">
        <v>25</v>
      </c>
      <c r="U4541" s="3" t="s">
        <v>6240</v>
      </c>
      <c r="V4541" s="41" t="str">
        <f>HYPERLINK("http://ictvonline.org/taxonomy/p/taxonomy-history?taxnode_id=20184922","ICTVonline=20184922")</f>
        <v>ICTVonline=20184922</v>
      </c>
    </row>
    <row r="4542" spans="1:22">
      <c r="A4542" s="3">
        <v>4541</v>
      </c>
      <c r="L4542" s="1" t="s">
        <v>1775</v>
      </c>
      <c r="M4542" s="1" t="s">
        <v>1166</v>
      </c>
      <c r="N4542" s="1" t="s">
        <v>726</v>
      </c>
      <c r="P4542" s="1" t="s">
        <v>730</v>
      </c>
      <c r="Q4542" s="3">
        <v>0</v>
      </c>
      <c r="R4542" s="22" t="s">
        <v>2768</v>
      </c>
      <c r="S4542" s="22" t="s">
        <v>5099</v>
      </c>
      <c r="T4542" s="51">
        <v>25</v>
      </c>
      <c r="U4542" s="3" t="s">
        <v>6240</v>
      </c>
      <c r="V4542" s="41" t="str">
        <f>HYPERLINK("http://ictvonline.org/taxonomy/p/taxonomy-history?taxnode_id=20184923","ICTVonline=20184923")</f>
        <v>ICTVonline=20184923</v>
      </c>
    </row>
    <row r="4543" spans="1:22">
      <c r="A4543" s="3">
        <v>4542</v>
      </c>
      <c r="L4543" s="1" t="s">
        <v>1775</v>
      </c>
      <c r="M4543" s="1" t="s">
        <v>1166</v>
      </c>
      <c r="N4543" s="1" t="s">
        <v>726</v>
      </c>
      <c r="P4543" s="1" t="s">
        <v>731</v>
      </c>
      <c r="Q4543" s="3">
        <v>0</v>
      </c>
      <c r="R4543" s="22" t="s">
        <v>2768</v>
      </c>
      <c r="S4543" s="22" t="s">
        <v>5099</v>
      </c>
      <c r="T4543" s="51">
        <v>25</v>
      </c>
      <c r="U4543" s="3" t="s">
        <v>6240</v>
      </c>
      <c r="V4543" s="41" t="str">
        <f>HYPERLINK("http://ictvonline.org/taxonomy/p/taxonomy-history?taxnode_id=20184924","ICTVonline=20184924")</f>
        <v>ICTVonline=20184924</v>
      </c>
    </row>
    <row r="4544" spans="1:22">
      <c r="A4544" s="3">
        <v>4543</v>
      </c>
      <c r="L4544" s="1" t="s">
        <v>1775</v>
      </c>
      <c r="M4544" s="1" t="s">
        <v>1166</v>
      </c>
      <c r="N4544" s="1" t="s">
        <v>726</v>
      </c>
      <c r="P4544" s="1" t="s">
        <v>732</v>
      </c>
      <c r="Q4544" s="3">
        <v>0</v>
      </c>
      <c r="R4544" s="22" t="s">
        <v>2768</v>
      </c>
      <c r="S4544" s="22" t="s">
        <v>5099</v>
      </c>
      <c r="T4544" s="51">
        <v>25</v>
      </c>
      <c r="U4544" s="3" t="s">
        <v>6240</v>
      </c>
      <c r="V4544" s="41" t="str">
        <f>HYPERLINK("http://ictvonline.org/taxonomy/p/taxonomy-history?taxnode_id=20184925","ICTVonline=20184925")</f>
        <v>ICTVonline=20184925</v>
      </c>
    </row>
    <row r="4545" spans="1:22">
      <c r="A4545" s="3">
        <v>4544</v>
      </c>
      <c r="L4545" s="1" t="s">
        <v>1775</v>
      </c>
      <c r="M4545" s="1" t="s">
        <v>1166</v>
      </c>
      <c r="N4545" s="1" t="s">
        <v>726</v>
      </c>
      <c r="P4545" s="1" t="s">
        <v>733</v>
      </c>
      <c r="Q4545" s="3">
        <v>0</v>
      </c>
      <c r="R4545" s="22" t="s">
        <v>2768</v>
      </c>
      <c r="S4545" s="22" t="s">
        <v>5099</v>
      </c>
      <c r="T4545" s="51">
        <v>25</v>
      </c>
      <c r="U4545" s="3" t="s">
        <v>6240</v>
      </c>
      <c r="V4545" s="41" t="str">
        <f>HYPERLINK("http://ictvonline.org/taxonomy/p/taxonomy-history?taxnode_id=20184926","ICTVonline=20184926")</f>
        <v>ICTVonline=20184926</v>
      </c>
    </row>
    <row r="4546" spans="1:22">
      <c r="A4546" s="3">
        <v>4545</v>
      </c>
      <c r="L4546" s="1" t="s">
        <v>1775</v>
      </c>
      <c r="M4546" s="1" t="s">
        <v>1166</v>
      </c>
      <c r="N4546" s="1" t="s">
        <v>736</v>
      </c>
      <c r="P4546" s="1" t="s">
        <v>737</v>
      </c>
      <c r="Q4546" s="3">
        <v>1</v>
      </c>
      <c r="R4546" s="22" t="s">
        <v>2768</v>
      </c>
      <c r="S4546" s="22" t="s">
        <v>5099</v>
      </c>
      <c r="T4546" s="51">
        <v>25</v>
      </c>
      <c r="U4546" s="3" t="s">
        <v>6240</v>
      </c>
      <c r="V4546" s="41" t="str">
        <f>HYPERLINK("http://ictvonline.org/taxonomy/p/taxonomy-history?taxnode_id=20184928","ICTVonline=20184928")</f>
        <v>ICTVonline=20184928</v>
      </c>
    </row>
    <row r="4547" spans="1:22">
      <c r="A4547" s="3">
        <v>4546</v>
      </c>
      <c r="L4547" s="1" t="s">
        <v>1775</v>
      </c>
      <c r="M4547" s="1" t="s">
        <v>1166</v>
      </c>
      <c r="N4547" s="1" t="s">
        <v>736</v>
      </c>
      <c r="P4547" s="1" t="s">
        <v>738</v>
      </c>
      <c r="Q4547" s="3">
        <v>0</v>
      </c>
      <c r="R4547" s="22" t="s">
        <v>2768</v>
      </c>
      <c r="S4547" s="22" t="s">
        <v>5099</v>
      </c>
      <c r="T4547" s="51">
        <v>25</v>
      </c>
      <c r="U4547" s="3" t="s">
        <v>6240</v>
      </c>
      <c r="V4547" s="41" t="str">
        <f>HYPERLINK("http://ictvonline.org/taxonomy/p/taxonomy-history?taxnode_id=20184929","ICTVonline=20184929")</f>
        <v>ICTVonline=20184929</v>
      </c>
    </row>
    <row r="4548" spans="1:22">
      <c r="A4548" s="3">
        <v>4547</v>
      </c>
      <c r="L4548" s="1" t="s">
        <v>1775</v>
      </c>
      <c r="M4548" s="1" t="s">
        <v>1166</v>
      </c>
      <c r="N4548" s="1" t="s">
        <v>739</v>
      </c>
      <c r="P4548" s="1" t="s">
        <v>1606</v>
      </c>
      <c r="Q4548" s="3">
        <v>1</v>
      </c>
      <c r="R4548" s="22" t="s">
        <v>2768</v>
      </c>
      <c r="S4548" s="22" t="s">
        <v>5099</v>
      </c>
      <c r="T4548" s="51">
        <v>25</v>
      </c>
      <c r="U4548" s="3" t="s">
        <v>6240</v>
      </c>
      <c r="V4548" s="41" t="str">
        <f>HYPERLINK("http://ictvonline.org/taxonomy/p/taxonomy-history?taxnode_id=20184931","ICTVonline=20184931")</f>
        <v>ICTVonline=20184931</v>
      </c>
    </row>
    <row r="4549" spans="1:22">
      <c r="A4549" s="3">
        <v>4548</v>
      </c>
      <c r="L4549" s="1" t="s">
        <v>1775</v>
      </c>
      <c r="M4549" s="1" t="s">
        <v>1166</v>
      </c>
      <c r="N4549" s="1" t="s">
        <v>739</v>
      </c>
      <c r="P4549" s="1" t="s">
        <v>1603</v>
      </c>
      <c r="Q4549" s="3">
        <v>0</v>
      </c>
      <c r="R4549" s="22" t="s">
        <v>2768</v>
      </c>
      <c r="S4549" s="22" t="s">
        <v>5099</v>
      </c>
      <c r="T4549" s="51">
        <v>25</v>
      </c>
      <c r="U4549" s="3" t="s">
        <v>6240</v>
      </c>
      <c r="V4549" s="41" t="str">
        <f>HYPERLINK("http://ictvonline.org/taxonomy/p/taxonomy-history?taxnode_id=20184932","ICTVonline=20184932")</f>
        <v>ICTVonline=20184932</v>
      </c>
    </row>
    <row r="4550" spans="1:22">
      <c r="A4550" s="3">
        <v>4549</v>
      </c>
      <c r="L4550" s="1" t="s">
        <v>1775</v>
      </c>
      <c r="M4550" s="1" t="s">
        <v>1166</v>
      </c>
      <c r="N4550" s="1" t="s">
        <v>739</v>
      </c>
      <c r="P4550" s="1" t="s">
        <v>1916</v>
      </c>
      <c r="Q4550" s="3">
        <v>0</v>
      </c>
      <c r="R4550" s="22" t="s">
        <v>2768</v>
      </c>
      <c r="S4550" s="22" t="s">
        <v>5099</v>
      </c>
      <c r="T4550" s="51">
        <v>25</v>
      </c>
      <c r="U4550" s="3" t="s">
        <v>6240</v>
      </c>
      <c r="V4550" s="41" t="str">
        <f>HYPERLINK("http://ictvonline.org/taxonomy/p/taxonomy-history?taxnode_id=20184933","ICTVonline=20184933")</f>
        <v>ICTVonline=20184933</v>
      </c>
    </row>
    <row r="4551" spans="1:22">
      <c r="A4551" s="3">
        <v>4550</v>
      </c>
      <c r="L4551" s="1" t="s">
        <v>1775</v>
      </c>
      <c r="M4551" s="1" t="s">
        <v>1166</v>
      </c>
      <c r="N4551" s="1" t="s">
        <v>739</v>
      </c>
      <c r="P4551" s="1" t="s">
        <v>1917</v>
      </c>
      <c r="Q4551" s="3">
        <v>0</v>
      </c>
      <c r="R4551" s="22" t="s">
        <v>2768</v>
      </c>
      <c r="S4551" s="22" t="s">
        <v>5099</v>
      </c>
      <c r="T4551" s="51">
        <v>25</v>
      </c>
      <c r="U4551" s="3" t="s">
        <v>6240</v>
      </c>
      <c r="V4551" s="41" t="str">
        <f>HYPERLINK("http://ictvonline.org/taxonomy/p/taxonomy-history?taxnode_id=20184934","ICTVonline=20184934")</f>
        <v>ICTVonline=20184934</v>
      </c>
    </row>
    <row r="4552" spans="1:22">
      <c r="A4552" s="3">
        <v>4551</v>
      </c>
      <c r="L4552" s="1" t="s">
        <v>1775</v>
      </c>
      <c r="M4552" s="1" t="s">
        <v>1166</v>
      </c>
      <c r="N4552" s="1" t="s">
        <v>739</v>
      </c>
      <c r="P4552" s="1" t="s">
        <v>1918</v>
      </c>
      <c r="Q4552" s="3">
        <v>0</v>
      </c>
      <c r="R4552" s="22" t="s">
        <v>2768</v>
      </c>
      <c r="S4552" s="22" t="s">
        <v>5099</v>
      </c>
      <c r="T4552" s="51">
        <v>25</v>
      </c>
      <c r="U4552" s="3" t="s">
        <v>6240</v>
      </c>
      <c r="V4552" s="41" t="str">
        <f>HYPERLINK("http://ictvonline.org/taxonomy/p/taxonomy-history?taxnode_id=20184935","ICTVonline=20184935")</f>
        <v>ICTVonline=20184935</v>
      </c>
    </row>
    <row r="4553" spans="1:22">
      <c r="A4553" s="3">
        <v>4552</v>
      </c>
      <c r="L4553" s="1" t="s">
        <v>1775</v>
      </c>
      <c r="M4553" s="1" t="s">
        <v>1166</v>
      </c>
      <c r="N4553" s="1" t="s">
        <v>739</v>
      </c>
      <c r="P4553" s="1" t="s">
        <v>1919</v>
      </c>
      <c r="Q4553" s="3">
        <v>0</v>
      </c>
      <c r="R4553" s="22" t="s">
        <v>2768</v>
      </c>
      <c r="S4553" s="22" t="s">
        <v>5099</v>
      </c>
      <c r="T4553" s="51">
        <v>25</v>
      </c>
      <c r="U4553" s="3" t="s">
        <v>6240</v>
      </c>
      <c r="V4553" s="41" t="str">
        <f>HYPERLINK("http://ictvonline.org/taxonomy/p/taxonomy-history?taxnode_id=20184936","ICTVonline=20184936")</f>
        <v>ICTVonline=20184936</v>
      </c>
    </row>
    <row r="4554" spans="1:22">
      <c r="A4554" s="3">
        <v>4553</v>
      </c>
      <c r="L4554" s="1" t="s">
        <v>1775</v>
      </c>
      <c r="M4554" s="1" t="s">
        <v>1166</v>
      </c>
      <c r="N4554" s="1" t="s">
        <v>739</v>
      </c>
      <c r="P4554" s="1" t="s">
        <v>1920</v>
      </c>
      <c r="Q4554" s="3">
        <v>0</v>
      </c>
      <c r="R4554" s="22" t="s">
        <v>2768</v>
      </c>
      <c r="S4554" s="22" t="s">
        <v>5099</v>
      </c>
      <c r="T4554" s="51">
        <v>25</v>
      </c>
      <c r="U4554" s="3" t="s">
        <v>6240</v>
      </c>
      <c r="V4554" s="41" t="str">
        <f>HYPERLINK("http://ictvonline.org/taxonomy/p/taxonomy-history?taxnode_id=20184937","ICTVonline=20184937")</f>
        <v>ICTVonline=20184937</v>
      </c>
    </row>
    <row r="4555" spans="1:22">
      <c r="A4555" s="3">
        <v>4554</v>
      </c>
      <c r="L4555" s="1" t="s">
        <v>1775</v>
      </c>
      <c r="M4555" s="1" t="s">
        <v>1166</v>
      </c>
      <c r="N4555" s="1" t="s">
        <v>739</v>
      </c>
      <c r="P4555" s="1" t="s">
        <v>1607</v>
      </c>
      <c r="Q4555" s="3">
        <v>0</v>
      </c>
      <c r="R4555" s="22" t="s">
        <v>2768</v>
      </c>
      <c r="S4555" s="22" t="s">
        <v>5099</v>
      </c>
      <c r="T4555" s="51">
        <v>25</v>
      </c>
      <c r="U4555" s="3" t="s">
        <v>6240</v>
      </c>
      <c r="V4555" s="41" t="str">
        <f>HYPERLINK("http://ictvonline.org/taxonomy/p/taxonomy-history?taxnode_id=20184938","ICTVonline=20184938")</f>
        <v>ICTVonline=20184938</v>
      </c>
    </row>
    <row r="4556" spans="1:22">
      <c r="A4556" s="3">
        <v>4555</v>
      </c>
      <c r="L4556" s="1" t="s">
        <v>1775</v>
      </c>
      <c r="M4556" s="1" t="s">
        <v>1166</v>
      </c>
      <c r="N4556" s="1" t="s">
        <v>739</v>
      </c>
      <c r="P4556" s="1" t="s">
        <v>1608</v>
      </c>
      <c r="Q4556" s="3">
        <v>0</v>
      </c>
      <c r="R4556" s="22" t="s">
        <v>2768</v>
      </c>
      <c r="S4556" s="22" t="s">
        <v>5099</v>
      </c>
      <c r="T4556" s="51">
        <v>25</v>
      </c>
      <c r="U4556" s="3" t="s">
        <v>6240</v>
      </c>
      <c r="V4556" s="41" t="str">
        <f>HYPERLINK("http://ictvonline.org/taxonomy/p/taxonomy-history?taxnode_id=20184939","ICTVonline=20184939")</f>
        <v>ICTVonline=20184939</v>
      </c>
    </row>
    <row r="4557" spans="1:22">
      <c r="A4557" s="3">
        <v>4556</v>
      </c>
      <c r="L4557" s="1" t="s">
        <v>1775</v>
      </c>
      <c r="M4557" s="1" t="s">
        <v>1166</v>
      </c>
      <c r="N4557" s="1" t="s">
        <v>739</v>
      </c>
      <c r="P4557" s="1" t="s">
        <v>1834</v>
      </c>
      <c r="Q4557" s="3">
        <v>0</v>
      </c>
      <c r="R4557" s="22" t="s">
        <v>2768</v>
      </c>
      <c r="S4557" s="22" t="s">
        <v>5099</v>
      </c>
      <c r="T4557" s="51">
        <v>25</v>
      </c>
      <c r="U4557" s="3" t="s">
        <v>6240</v>
      </c>
      <c r="V4557" s="41" t="str">
        <f>HYPERLINK("http://ictvonline.org/taxonomy/p/taxonomy-history?taxnode_id=20184940","ICTVonline=20184940")</f>
        <v>ICTVonline=20184940</v>
      </c>
    </row>
    <row r="4558" spans="1:22">
      <c r="A4558" s="3">
        <v>4557</v>
      </c>
      <c r="L4558" s="1" t="s">
        <v>1775</v>
      </c>
      <c r="M4558" s="1" t="s">
        <v>1166</v>
      </c>
      <c r="N4558" s="1" t="s">
        <v>739</v>
      </c>
      <c r="P4558" s="1" t="s">
        <v>1835</v>
      </c>
      <c r="Q4558" s="3">
        <v>0</v>
      </c>
      <c r="R4558" s="22" t="s">
        <v>2768</v>
      </c>
      <c r="S4558" s="22" t="s">
        <v>5099</v>
      </c>
      <c r="T4558" s="51">
        <v>25</v>
      </c>
      <c r="U4558" s="3" t="s">
        <v>6240</v>
      </c>
      <c r="V4558" s="41" t="str">
        <f>HYPERLINK("http://ictvonline.org/taxonomy/p/taxonomy-history?taxnode_id=20184941","ICTVonline=20184941")</f>
        <v>ICTVonline=20184941</v>
      </c>
    </row>
    <row r="4559" spans="1:22">
      <c r="A4559" s="3">
        <v>4558</v>
      </c>
      <c r="L4559" s="1" t="s">
        <v>1775</v>
      </c>
      <c r="M4559" s="1" t="s">
        <v>1166</v>
      </c>
      <c r="N4559" s="1" t="s">
        <v>739</v>
      </c>
      <c r="P4559" s="1" t="s">
        <v>1836</v>
      </c>
      <c r="Q4559" s="3">
        <v>0</v>
      </c>
      <c r="R4559" s="22" t="s">
        <v>2768</v>
      </c>
      <c r="S4559" s="22" t="s">
        <v>5099</v>
      </c>
      <c r="T4559" s="51">
        <v>25</v>
      </c>
      <c r="U4559" s="3" t="s">
        <v>6240</v>
      </c>
      <c r="V4559" s="41" t="str">
        <f>HYPERLINK("http://ictvonline.org/taxonomy/p/taxonomy-history?taxnode_id=20184942","ICTVonline=20184942")</f>
        <v>ICTVonline=20184942</v>
      </c>
    </row>
    <row r="4560" spans="1:22">
      <c r="A4560" s="3">
        <v>4559</v>
      </c>
      <c r="L4560" s="1" t="s">
        <v>1775</v>
      </c>
      <c r="M4560" s="1" t="s">
        <v>1166</v>
      </c>
      <c r="N4560" s="1" t="s">
        <v>739</v>
      </c>
      <c r="P4560" s="1" t="s">
        <v>1599</v>
      </c>
      <c r="Q4560" s="3">
        <v>0</v>
      </c>
      <c r="R4560" s="22" t="s">
        <v>2768</v>
      </c>
      <c r="S4560" s="22" t="s">
        <v>5099</v>
      </c>
      <c r="T4560" s="51">
        <v>25</v>
      </c>
      <c r="U4560" s="3" t="s">
        <v>6240</v>
      </c>
      <c r="V4560" s="41" t="str">
        <f>HYPERLINK("http://ictvonline.org/taxonomy/p/taxonomy-history?taxnode_id=20184943","ICTVonline=20184943")</f>
        <v>ICTVonline=20184943</v>
      </c>
    </row>
    <row r="4561" spans="1:22">
      <c r="A4561" s="3">
        <v>4560</v>
      </c>
      <c r="L4561" s="1" t="s">
        <v>1775</v>
      </c>
      <c r="M4561" s="1" t="s">
        <v>1166</v>
      </c>
      <c r="N4561" s="1" t="s">
        <v>739</v>
      </c>
      <c r="P4561" s="1" t="s">
        <v>1600</v>
      </c>
      <c r="Q4561" s="3">
        <v>0</v>
      </c>
      <c r="R4561" s="22" t="s">
        <v>2768</v>
      </c>
      <c r="S4561" s="22" t="s">
        <v>5099</v>
      </c>
      <c r="T4561" s="51">
        <v>25</v>
      </c>
      <c r="U4561" s="3" t="s">
        <v>6240</v>
      </c>
      <c r="V4561" s="41" t="str">
        <f>HYPERLINK("http://ictvonline.org/taxonomy/p/taxonomy-history?taxnode_id=20184944","ICTVonline=20184944")</f>
        <v>ICTVonline=20184944</v>
      </c>
    </row>
    <row r="4562" spans="1:22">
      <c r="A4562" s="3">
        <v>4561</v>
      </c>
      <c r="L4562" s="1" t="s">
        <v>1775</v>
      </c>
      <c r="M4562" s="1" t="s">
        <v>1166</v>
      </c>
      <c r="N4562" s="1" t="s">
        <v>739</v>
      </c>
      <c r="P4562" s="1" t="s">
        <v>1601</v>
      </c>
      <c r="Q4562" s="3">
        <v>0</v>
      </c>
      <c r="R4562" s="22" t="s">
        <v>2768</v>
      </c>
      <c r="S4562" s="22" t="s">
        <v>5099</v>
      </c>
      <c r="T4562" s="51">
        <v>25</v>
      </c>
      <c r="U4562" s="3" t="s">
        <v>6240</v>
      </c>
      <c r="V4562" s="41" t="str">
        <f>HYPERLINK("http://ictvonline.org/taxonomy/p/taxonomy-history?taxnode_id=20184945","ICTVonline=20184945")</f>
        <v>ICTVonline=20184945</v>
      </c>
    </row>
    <row r="4563" spans="1:22">
      <c r="A4563" s="3">
        <v>4562</v>
      </c>
      <c r="L4563" s="1" t="s">
        <v>1775</v>
      </c>
      <c r="M4563" s="1" t="s">
        <v>1166</v>
      </c>
      <c r="N4563" s="1" t="s">
        <v>739</v>
      </c>
      <c r="P4563" s="1" t="s">
        <v>1602</v>
      </c>
      <c r="Q4563" s="3">
        <v>0</v>
      </c>
      <c r="R4563" s="22" t="s">
        <v>2768</v>
      </c>
      <c r="S4563" s="22" t="s">
        <v>5099</v>
      </c>
      <c r="T4563" s="51">
        <v>25</v>
      </c>
      <c r="U4563" s="3" t="s">
        <v>6240</v>
      </c>
      <c r="V4563" s="41" t="str">
        <f>HYPERLINK("http://ictvonline.org/taxonomy/p/taxonomy-history?taxnode_id=20184946","ICTVonline=20184946")</f>
        <v>ICTVonline=20184946</v>
      </c>
    </row>
    <row r="4564" spans="1:22">
      <c r="A4564" s="3">
        <v>4563</v>
      </c>
      <c r="L4564" s="1" t="s">
        <v>1775</v>
      </c>
      <c r="M4564" s="1" t="s">
        <v>1166</v>
      </c>
      <c r="N4564" s="1" t="s">
        <v>1609</v>
      </c>
      <c r="P4564" s="1" t="s">
        <v>1838</v>
      </c>
      <c r="Q4564" s="3">
        <v>1</v>
      </c>
      <c r="R4564" s="22" t="s">
        <v>2768</v>
      </c>
      <c r="S4564" s="22" t="s">
        <v>5099</v>
      </c>
      <c r="T4564" s="51">
        <v>25</v>
      </c>
      <c r="U4564" s="3" t="s">
        <v>6240</v>
      </c>
      <c r="V4564" s="41" t="str">
        <f>HYPERLINK("http://ictvonline.org/taxonomy/p/taxonomy-history?taxnode_id=20184948","ICTVonline=20184948")</f>
        <v>ICTVonline=20184948</v>
      </c>
    </row>
    <row r="4565" spans="1:22">
      <c r="A4565" s="3">
        <v>4564</v>
      </c>
      <c r="L4565" s="1" t="s">
        <v>1775</v>
      </c>
      <c r="M4565" s="1" t="s">
        <v>1166</v>
      </c>
      <c r="N4565" s="1" t="s">
        <v>1839</v>
      </c>
      <c r="P4565" s="1" t="s">
        <v>1840</v>
      </c>
      <c r="Q4565" s="3">
        <v>1</v>
      </c>
      <c r="R4565" s="22" t="s">
        <v>2768</v>
      </c>
      <c r="S4565" s="22" t="s">
        <v>5099</v>
      </c>
      <c r="T4565" s="51">
        <v>25</v>
      </c>
      <c r="U4565" s="3" t="s">
        <v>6240</v>
      </c>
      <c r="V4565" s="41" t="str">
        <f>HYPERLINK("http://ictvonline.org/taxonomy/p/taxonomy-history?taxnode_id=20184950","ICTVonline=20184950")</f>
        <v>ICTVonline=20184950</v>
      </c>
    </row>
    <row r="4566" spans="1:22">
      <c r="A4566" s="3">
        <v>4565</v>
      </c>
      <c r="L4566" s="1" t="s">
        <v>1775</v>
      </c>
      <c r="M4566" s="1" t="s">
        <v>1166</v>
      </c>
      <c r="N4566" s="1" t="s">
        <v>1839</v>
      </c>
      <c r="P4566" s="1" t="s">
        <v>1841</v>
      </c>
      <c r="Q4566" s="3">
        <v>0</v>
      </c>
      <c r="R4566" s="22" t="s">
        <v>2768</v>
      </c>
      <c r="S4566" s="22" t="s">
        <v>5099</v>
      </c>
      <c r="T4566" s="51">
        <v>25</v>
      </c>
      <c r="U4566" s="3" t="s">
        <v>6240</v>
      </c>
      <c r="V4566" s="41" t="str">
        <f>HYPERLINK("http://ictvonline.org/taxonomy/p/taxonomy-history?taxnode_id=20184951","ICTVonline=20184951")</f>
        <v>ICTVonline=20184951</v>
      </c>
    </row>
    <row r="4567" spans="1:22">
      <c r="A4567" s="3">
        <v>4566</v>
      </c>
      <c r="L4567" s="1" t="s">
        <v>1775</v>
      </c>
      <c r="M4567" s="1" t="s">
        <v>1166</v>
      </c>
      <c r="N4567" s="1" t="s">
        <v>1839</v>
      </c>
      <c r="P4567" s="1" t="s">
        <v>1614</v>
      </c>
      <c r="Q4567" s="3">
        <v>0</v>
      </c>
      <c r="R4567" s="22" t="s">
        <v>2768</v>
      </c>
      <c r="S4567" s="22" t="s">
        <v>5099</v>
      </c>
      <c r="T4567" s="51">
        <v>25</v>
      </c>
      <c r="U4567" s="3" t="s">
        <v>6240</v>
      </c>
      <c r="V4567" s="41" t="str">
        <f>HYPERLINK("http://ictvonline.org/taxonomy/p/taxonomy-history?taxnode_id=20184952","ICTVonline=20184952")</f>
        <v>ICTVonline=20184952</v>
      </c>
    </row>
    <row r="4568" spans="1:22">
      <c r="A4568" s="3">
        <v>4567</v>
      </c>
      <c r="L4568" s="1" t="s">
        <v>1775</v>
      </c>
      <c r="M4568" s="1" t="s">
        <v>1166</v>
      </c>
      <c r="N4568" s="1" t="s">
        <v>1839</v>
      </c>
      <c r="P4568" s="1" t="s">
        <v>1615</v>
      </c>
      <c r="Q4568" s="3">
        <v>0</v>
      </c>
      <c r="R4568" s="22" t="s">
        <v>2768</v>
      </c>
      <c r="S4568" s="22" t="s">
        <v>5099</v>
      </c>
      <c r="T4568" s="51">
        <v>25</v>
      </c>
      <c r="U4568" s="3" t="s">
        <v>6240</v>
      </c>
      <c r="V4568" s="41" t="str">
        <f>HYPERLINK("http://ictvonline.org/taxonomy/p/taxonomy-history?taxnode_id=20184953","ICTVonline=20184953")</f>
        <v>ICTVonline=20184953</v>
      </c>
    </row>
    <row r="4569" spans="1:22">
      <c r="A4569" s="3">
        <v>4568</v>
      </c>
      <c r="L4569" s="1" t="s">
        <v>1775</v>
      </c>
      <c r="M4569" s="1" t="s">
        <v>1166</v>
      </c>
      <c r="N4569" s="1" t="s">
        <v>1839</v>
      </c>
      <c r="P4569" s="1" t="s">
        <v>1616</v>
      </c>
      <c r="Q4569" s="3">
        <v>0</v>
      </c>
      <c r="R4569" s="22" t="s">
        <v>2768</v>
      </c>
      <c r="S4569" s="22" t="s">
        <v>5099</v>
      </c>
      <c r="T4569" s="51">
        <v>25</v>
      </c>
      <c r="U4569" s="3" t="s">
        <v>6240</v>
      </c>
      <c r="V4569" s="41" t="str">
        <f>HYPERLINK("http://ictvonline.org/taxonomy/p/taxonomy-history?taxnode_id=20184954","ICTVonline=20184954")</f>
        <v>ICTVonline=20184954</v>
      </c>
    </row>
    <row r="4570" spans="1:22">
      <c r="A4570" s="3">
        <v>4569</v>
      </c>
      <c r="L4570" s="1" t="s">
        <v>1775</v>
      </c>
      <c r="M4570" s="1" t="s">
        <v>1166</v>
      </c>
      <c r="N4570" s="1" t="s">
        <v>1839</v>
      </c>
      <c r="P4570" s="1" t="s">
        <v>1528</v>
      </c>
      <c r="Q4570" s="3">
        <v>0</v>
      </c>
      <c r="R4570" s="22" t="s">
        <v>2768</v>
      </c>
      <c r="S4570" s="22" t="s">
        <v>5099</v>
      </c>
      <c r="T4570" s="51">
        <v>25</v>
      </c>
      <c r="U4570" s="3" t="s">
        <v>6240</v>
      </c>
      <c r="V4570" s="41" t="str">
        <f>HYPERLINK("http://ictvonline.org/taxonomy/p/taxonomy-history?taxnode_id=20184955","ICTVonline=20184955")</f>
        <v>ICTVonline=20184955</v>
      </c>
    </row>
    <row r="4571" spans="1:22">
      <c r="A4571" s="3">
        <v>4570</v>
      </c>
      <c r="L4571" s="1" t="s">
        <v>1775</v>
      </c>
      <c r="M4571" s="1" t="s">
        <v>1166</v>
      </c>
      <c r="N4571" s="1" t="s">
        <v>1839</v>
      </c>
      <c r="P4571" s="1" t="s">
        <v>1529</v>
      </c>
      <c r="Q4571" s="3">
        <v>0</v>
      </c>
      <c r="R4571" s="22" t="s">
        <v>2768</v>
      </c>
      <c r="S4571" s="22" t="s">
        <v>5099</v>
      </c>
      <c r="T4571" s="51">
        <v>25</v>
      </c>
      <c r="U4571" s="3" t="s">
        <v>6240</v>
      </c>
      <c r="V4571" s="41" t="str">
        <f>HYPERLINK("http://ictvonline.org/taxonomy/p/taxonomy-history?taxnode_id=20184956","ICTVonline=20184956")</f>
        <v>ICTVonline=20184956</v>
      </c>
    </row>
    <row r="4572" spans="1:22">
      <c r="A4572" s="3">
        <v>4571</v>
      </c>
      <c r="L4572" s="1" t="s">
        <v>1775</v>
      </c>
      <c r="M4572" s="1" t="s">
        <v>1166</v>
      </c>
      <c r="N4572" s="1" t="s">
        <v>1839</v>
      </c>
      <c r="P4572" s="1" t="s">
        <v>1617</v>
      </c>
      <c r="Q4572" s="3">
        <v>0</v>
      </c>
      <c r="R4572" s="22" t="s">
        <v>2768</v>
      </c>
      <c r="S4572" s="22" t="s">
        <v>5099</v>
      </c>
      <c r="T4572" s="51">
        <v>25</v>
      </c>
      <c r="U4572" s="3" t="s">
        <v>6240</v>
      </c>
      <c r="V4572" s="41" t="str">
        <f>HYPERLINK("http://ictvonline.org/taxonomy/p/taxonomy-history?taxnode_id=20184957","ICTVonline=20184957")</f>
        <v>ICTVonline=20184957</v>
      </c>
    </row>
    <row r="4573" spans="1:22">
      <c r="A4573" s="3">
        <v>4572</v>
      </c>
      <c r="L4573" s="1" t="s">
        <v>1775</v>
      </c>
      <c r="M4573" s="1" t="s">
        <v>1166</v>
      </c>
      <c r="N4573" s="1" t="s">
        <v>1839</v>
      </c>
      <c r="P4573" s="1" t="s">
        <v>4129</v>
      </c>
      <c r="Q4573" s="3">
        <v>0</v>
      </c>
      <c r="R4573" s="22" t="s">
        <v>2768</v>
      </c>
      <c r="S4573" s="22" t="s">
        <v>5097</v>
      </c>
      <c r="T4573" s="51">
        <v>30</v>
      </c>
      <c r="U4573" s="3" t="s">
        <v>6243</v>
      </c>
      <c r="V4573" s="41" t="str">
        <f>HYPERLINK("http://ictvonline.org/taxonomy/p/taxonomy-history?taxnode_id=20184958","ICTVonline=20184958")</f>
        <v>ICTVonline=20184958</v>
      </c>
    </row>
    <row r="4574" spans="1:22">
      <c r="A4574" s="3">
        <v>4573</v>
      </c>
      <c r="L4574" s="1" t="s">
        <v>1775</v>
      </c>
      <c r="M4574" s="1" t="s">
        <v>1166</v>
      </c>
      <c r="N4574" s="1" t="s">
        <v>1618</v>
      </c>
      <c r="P4574" s="1" t="s">
        <v>1369</v>
      </c>
      <c r="Q4574" s="3">
        <v>1</v>
      </c>
      <c r="R4574" s="22" t="s">
        <v>2768</v>
      </c>
      <c r="S4574" s="22" t="s">
        <v>5099</v>
      </c>
      <c r="T4574" s="51">
        <v>25</v>
      </c>
      <c r="U4574" s="3" t="s">
        <v>6240</v>
      </c>
      <c r="V4574" s="41" t="str">
        <f>HYPERLINK("http://ictvonline.org/taxonomy/p/taxonomy-history?taxnode_id=20184960","ICTVonline=20184960")</f>
        <v>ICTVonline=20184960</v>
      </c>
    </row>
    <row r="4575" spans="1:22">
      <c r="A4575" s="3">
        <v>4574</v>
      </c>
      <c r="L4575" s="1" t="s">
        <v>1775</v>
      </c>
      <c r="M4575" s="1" t="s">
        <v>1166</v>
      </c>
      <c r="N4575" s="1" t="s">
        <v>1618</v>
      </c>
      <c r="P4575" s="1" t="s">
        <v>1370</v>
      </c>
      <c r="Q4575" s="3">
        <v>0</v>
      </c>
      <c r="R4575" s="22" t="s">
        <v>2768</v>
      </c>
      <c r="S4575" s="22" t="s">
        <v>5099</v>
      </c>
      <c r="T4575" s="51">
        <v>25</v>
      </c>
      <c r="U4575" s="3" t="s">
        <v>6240</v>
      </c>
      <c r="V4575" s="41" t="str">
        <f>HYPERLINK("http://ictvonline.org/taxonomy/p/taxonomy-history?taxnode_id=20184961","ICTVonline=20184961")</f>
        <v>ICTVonline=20184961</v>
      </c>
    </row>
    <row r="4576" spans="1:22">
      <c r="A4576" s="3">
        <v>4575</v>
      </c>
      <c r="L4576" s="1" t="s">
        <v>1775</v>
      </c>
      <c r="M4576" s="1" t="s">
        <v>1166</v>
      </c>
      <c r="N4576" s="1" t="s">
        <v>1618</v>
      </c>
      <c r="P4576" s="1" t="s">
        <v>1371</v>
      </c>
      <c r="Q4576" s="3">
        <v>0</v>
      </c>
      <c r="R4576" s="22" t="s">
        <v>2768</v>
      </c>
      <c r="S4576" s="22" t="s">
        <v>5099</v>
      </c>
      <c r="T4576" s="51">
        <v>25</v>
      </c>
      <c r="U4576" s="3" t="s">
        <v>6240</v>
      </c>
      <c r="V4576" s="41" t="str">
        <f>HYPERLINK("http://ictvonline.org/taxonomy/p/taxonomy-history?taxnode_id=20184962","ICTVonline=20184962")</f>
        <v>ICTVonline=20184962</v>
      </c>
    </row>
    <row r="4577" spans="1:22">
      <c r="A4577" s="3">
        <v>4576</v>
      </c>
      <c r="L4577" s="1" t="s">
        <v>1775</v>
      </c>
      <c r="M4577" s="1" t="s">
        <v>1166</v>
      </c>
      <c r="N4577" s="1" t="s">
        <v>1618</v>
      </c>
      <c r="P4577" s="1" t="s">
        <v>1372</v>
      </c>
      <c r="Q4577" s="3">
        <v>0</v>
      </c>
      <c r="R4577" s="22" t="s">
        <v>2768</v>
      </c>
      <c r="S4577" s="22" t="s">
        <v>5099</v>
      </c>
      <c r="T4577" s="51">
        <v>25</v>
      </c>
      <c r="U4577" s="3" t="s">
        <v>6240</v>
      </c>
      <c r="V4577" s="41" t="str">
        <f>HYPERLINK("http://ictvonline.org/taxonomy/p/taxonomy-history?taxnode_id=20184963","ICTVonline=20184963")</f>
        <v>ICTVonline=20184963</v>
      </c>
    </row>
    <row r="4578" spans="1:22">
      <c r="A4578" s="3">
        <v>4577</v>
      </c>
      <c r="L4578" s="1" t="s">
        <v>1775</v>
      </c>
      <c r="M4578" s="1" t="s">
        <v>1166</v>
      </c>
      <c r="N4578" s="1" t="s">
        <v>1618</v>
      </c>
      <c r="P4578" s="1" t="s">
        <v>1373</v>
      </c>
      <c r="Q4578" s="3">
        <v>0</v>
      </c>
      <c r="R4578" s="22" t="s">
        <v>2768</v>
      </c>
      <c r="S4578" s="22" t="s">
        <v>5099</v>
      </c>
      <c r="T4578" s="51">
        <v>25</v>
      </c>
      <c r="U4578" s="3" t="s">
        <v>6240</v>
      </c>
      <c r="V4578" s="41" t="str">
        <f>HYPERLINK("http://ictvonline.org/taxonomy/p/taxonomy-history?taxnode_id=20184964","ICTVonline=20184964")</f>
        <v>ICTVonline=20184964</v>
      </c>
    </row>
    <row r="4579" spans="1:22">
      <c r="A4579" s="3">
        <v>4578</v>
      </c>
      <c r="L4579" s="1" t="s">
        <v>1775</v>
      </c>
      <c r="M4579" s="1" t="s">
        <v>1166</v>
      </c>
      <c r="N4579" s="1" t="s">
        <v>1935</v>
      </c>
      <c r="P4579" s="1" t="s">
        <v>1936</v>
      </c>
      <c r="Q4579" s="3">
        <v>1</v>
      </c>
      <c r="R4579" s="22" t="s">
        <v>2768</v>
      </c>
      <c r="S4579" s="22" t="s">
        <v>5099</v>
      </c>
      <c r="T4579" s="51">
        <v>25</v>
      </c>
      <c r="U4579" s="3" t="s">
        <v>6240</v>
      </c>
      <c r="V4579" s="41" t="str">
        <f>HYPERLINK("http://ictvonline.org/taxonomy/p/taxonomy-history?taxnode_id=20184966","ICTVonline=20184966")</f>
        <v>ICTVonline=20184966</v>
      </c>
    </row>
    <row r="4580" spans="1:22">
      <c r="A4580" s="3">
        <v>4579</v>
      </c>
      <c r="L4580" s="1" t="s">
        <v>1775</v>
      </c>
      <c r="M4580" s="1" t="s">
        <v>1166</v>
      </c>
      <c r="N4580" s="1" t="s">
        <v>1935</v>
      </c>
      <c r="P4580" s="1" t="s">
        <v>1937</v>
      </c>
      <c r="Q4580" s="3">
        <v>0</v>
      </c>
      <c r="R4580" s="22" t="s">
        <v>2768</v>
      </c>
      <c r="S4580" s="22" t="s">
        <v>5099</v>
      </c>
      <c r="T4580" s="51">
        <v>25</v>
      </c>
      <c r="U4580" s="3" t="s">
        <v>6240</v>
      </c>
      <c r="V4580" s="41" t="str">
        <f>HYPERLINK("http://ictvonline.org/taxonomy/p/taxonomy-history?taxnode_id=20184967","ICTVonline=20184967")</f>
        <v>ICTVonline=20184967</v>
      </c>
    </row>
    <row r="4581" spans="1:22">
      <c r="A4581" s="3">
        <v>4580</v>
      </c>
      <c r="L4581" s="1" t="s">
        <v>1775</v>
      </c>
      <c r="M4581" s="1" t="s">
        <v>1166</v>
      </c>
      <c r="N4581" s="1" t="s">
        <v>1935</v>
      </c>
      <c r="P4581" s="1" t="s">
        <v>1938</v>
      </c>
      <c r="Q4581" s="3">
        <v>0</v>
      </c>
      <c r="R4581" s="22" t="s">
        <v>2768</v>
      </c>
      <c r="S4581" s="22" t="s">
        <v>5099</v>
      </c>
      <c r="T4581" s="51">
        <v>25</v>
      </c>
      <c r="U4581" s="3" t="s">
        <v>6240</v>
      </c>
      <c r="V4581" s="41" t="str">
        <f>HYPERLINK("http://ictvonline.org/taxonomy/p/taxonomy-history?taxnode_id=20184968","ICTVonline=20184968")</f>
        <v>ICTVonline=20184968</v>
      </c>
    </row>
    <row r="4582" spans="1:22">
      <c r="A4582" s="3">
        <v>4581</v>
      </c>
      <c r="L4582" s="1" t="s">
        <v>1775</v>
      </c>
      <c r="M4582" s="1" t="s">
        <v>1166</v>
      </c>
      <c r="N4582" s="1" t="s">
        <v>1315</v>
      </c>
      <c r="P4582" s="1" t="s">
        <v>1316</v>
      </c>
      <c r="Q4582" s="3">
        <v>0</v>
      </c>
      <c r="R4582" s="22" t="s">
        <v>2768</v>
      </c>
      <c r="S4582" s="22" t="s">
        <v>5099</v>
      </c>
      <c r="T4582" s="51">
        <v>25</v>
      </c>
      <c r="U4582" s="3" t="s">
        <v>6240</v>
      </c>
      <c r="V4582" s="41" t="str">
        <f>HYPERLINK("http://ictvonline.org/taxonomy/p/taxonomy-history?taxnode_id=20184970","ICTVonline=20184970")</f>
        <v>ICTVonline=20184970</v>
      </c>
    </row>
    <row r="4583" spans="1:22">
      <c r="A4583" s="3">
        <v>4582</v>
      </c>
      <c r="L4583" s="1" t="s">
        <v>1775</v>
      </c>
      <c r="M4583" s="1" t="s">
        <v>1166</v>
      </c>
      <c r="N4583" s="1" t="s">
        <v>1315</v>
      </c>
      <c r="P4583" s="1" t="s">
        <v>1317</v>
      </c>
      <c r="Q4583" s="3">
        <v>0</v>
      </c>
      <c r="R4583" s="22" t="s">
        <v>2768</v>
      </c>
      <c r="S4583" s="22" t="s">
        <v>5099</v>
      </c>
      <c r="T4583" s="51">
        <v>25</v>
      </c>
      <c r="U4583" s="3" t="s">
        <v>6240</v>
      </c>
      <c r="V4583" s="41" t="str">
        <f>HYPERLINK("http://ictvonline.org/taxonomy/p/taxonomy-history?taxnode_id=20184971","ICTVonline=20184971")</f>
        <v>ICTVonline=20184971</v>
      </c>
    </row>
    <row r="4584" spans="1:22">
      <c r="A4584" s="3">
        <v>4583</v>
      </c>
      <c r="L4584" s="1" t="s">
        <v>1775</v>
      </c>
      <c r="M4584" s="1" t="s">
        <v>1166</v>
      </c>
      <c r="N4584" s="1" t="s">
        <v>1315</v>
      </c>
      <c r="P4584" s="1" t="s">
        <v>6244</v>
      </c>
      <c r="Q4584" s="3">
        <v>0</v>
      </c>
      <c r="R4584" s="22" t="s">
        <v>2768</v>
      </c>
      <c r="S4584" s="22" t="s">
        <v>5097</v>
      </c>
      <c r="T4584" s="51">
        <v>32</v>
      </c>
      <c r="U4584" s="3" t="s">
        <v>6245</v>
      </c>
      <c r="V4584" s="41" t="str">
        <f>HYPERLINK("http://ictvonline.org/taxonomy/p/taxonomy-history?taxnode_id=20185927","ICTVonline=20185927")</f>
        <v>ICTVonline=20185927</v>
      </c>
    </row>
    <row r="4585" spans="1:22">
      <c r="A4585" s="3">
        <v>4584</v>
      </c>
      <c r="L4585" s="1" t="s">
        <v>1775</v>
      </c>
      <c r="M4585" s="1" t="s">
        <v>1166</v>
      </c>
      <c r="N4585" s="1" t="s">
        <v>1315</v>
      </c>
      <c r="P4585" s="1" t="s">
        <v>1318</v>
      </c>
      <c r="Q4585" s="3">
        <v>1</v>
      </c>
      <c r="R4585" s="22" t="s">
        <v>2768</v>
      </c>
      <c r="S4585" s="22" t="s">
        <v>5099</v>
      </c>
      <c r="T4585" s="51">
        <v>25</v>
      </c>
      <c r="U4585" s="3" t="s">
        <v>6240</v>
      </c>
      <c r="V4585" s="41" t="str">
        <f>HYPERLINK("http://ictvonline.org/taxonomy/p/taxonomy-history?taxnode_id=20184972","ICTVonline=20184972")</f>
        <v>ICTVonline=20184972</v>
      </c>
    </row>
    <row r="4586" spans="1:22">
      <c r="A4586" s="3">
        <v>4585</v>
      </c>
      <c r="L4586" s="1" t="s">
        <v>1775</v>
      </c>
      <c r="M4586" s="1" t="s">
        <v>1166</v>
      </c>
      <c r="N4586" s="1" t="s">
        <v>1315</v>
      </c>
      <c r="P4586" s="1" t="s">
        <v>1319</v>
      </c>
      <c r="Q4586" s="3">
        <v>0</v>
      </c>
      <c r="R4586" s="22" t="s">
        <v>2768</v>
      </c>
      <c r="S4586" s="22" t="s">
        <v>5099</v>
      </c>
      <c r="T4586" s="51">
        <v>25</v>
      </c>
      <c r="U4586" s="3" t="s">
        <v>6240</v>
      </c>
      <c r="V4586" s="41" t="str">
        <f>HYPERLINK("http://ictvonline.org/taxonomy/p/taxonomy-history?taxnode_id=20184973","ICTVonline=20184973")</f>
        <v>ICTVonline=20184973</v>
      </c>
    </row>
    <row r="4587" spans="1:22">
      <c r="A4587" s="3">
        <v>4586</v>
      </c>
      <c r="L4587" s="1" t="s">
        <v>1775</v>
      </c>
      <c r="M4587" s="1" t="s">
        <v>1166</v>
      </c>
      <c r="N4587" s="1" t="s">
        <v>1315</v>
      </c>
      <c r="P4587" s="1" t="s">
        <v>4130</v>
      </c>
      <c r="Q4587" s="3">
        <v>0</v>
      </c>
      <c r="R4587" s="22" t="s">
        <v>2768</v>
      </c>
      <c r="S4587" s="22" t="s">
        <v>5097</v>
      </c>
      <c r="T4587" s="51">
        <v>30</v>
      </c>
      <c r="U4587" s="3" t="s">
        <v>6246</v>
      </c>
      <c r="V4587" s="41" t="str">
        <f>HYPERLINK("http://ictvonline.org/taxonomy/p/taxonomy-history?taxnode_id=20184974","ICTVonline=20184974")</f>
        <v>ICTVonline=20184974</v>
      </c>
    </row>
    <row r="4588" spans="1:22">
      <c r="A4588" s="3">
        <v>4587</v>
      </c>
      <c r="L4588" s="1" t="s">
        <v>1775</v>
      </c>
      <c r="M4588" s="1" t="s">
        <v>1166</v>
      </c>
      <c r="N4588" s="1" t="s">
        <v>1315</v>
      </c>
      <c r="P4588" s="1" t="s">
        <v>1320</v>
      </c>
      <c r="Q4588" s="3">
        <v>0</v>
      </c>
      <c r="R4588" s="22" t="s">
        <v>2768</v>
      </c>
      <c r="S4588" s="22" t="s">
        <v>5099</v>
      </c>
      <c r="T4588" s="51">
        <v>25</v>
      </c>
      <c r="U4588" s="3" t="s">
        <v>6240</v>
      </c>
      <c r="V4588" s="41" t="str">
        <f>HYPERLINK("http://ictvonline.org/taxonomy/p/taxonomy-history?taxnode_id=20184975","ICTVonline=20184975")</f>
        <v>ICTVonline=20184975</v>
      </c>
    </row>
    <row r="4589" spans="1:22">
      <c r="A4589" s="3">
        <v>4588</v>
      </c>
      <c r="L4589" s="1" t="s">
        <v>1775</v>
      </c>
      <c r="M4589" s="1" t="s">
        <v>1166</v>
      </c>
      <c r="N4589" s="1" t="s">
        <v>1321</v>
      </c>
      <c r="P4589" s="1" t="s">
        <v>1322</v>
      </c>
      <c r="Q4589" s="3">
        <v>0</v>
      </c>
      <c r="R4589" s="22" t="s">
        <v>2768</v>
      </c>
      <c r="S4589" s="22" t="s">
        <v>5099</v>
      </c>
      <c r="T4589" s="51">
        <v>25</v>
      </c>
      <c r="U4589" s="3" t="s">
        <v>6240</v>
      </c>
      <c r="V4589" s="41" t="str">
        <f>HYPERLINK("http://ictvonline.org/taxonomy/p/taxonomy-history?taxnode_id=20184977","ICTVonline=20184977")</f>
        <v>ICTVonline=20184977</v>
      </c>
    </row>
    <row r="4590" spans="1:22">
      <c r="A4590" s="3">
        <v>4589</v>
      </c>
      <c r="L4590" s="1" t="s">
        <v>1775</v>
      </c>
      <c r="M4590" s="1" t="s">
        <v>1166</v>
      </c>
      <c r="N4590" s="1" t="s">
        <v>1321</v>
      </c>
      <c r="P4590" s="1" t="s">
        <v>239</v>
      </c>
      <c r="Q4590" s="3">
        <v>1</v>
      </c>
      <c r="R4590" s="22" t="s">
        <v>2768</v>
      </c>
      <c r="S4590" s="22" t="s">
        <v>5099</v>
      </c>
      <c r="T4590" s="51">
        <v>25</v>
      </c>
      <c r="U4590" s="3" t="s">
        <v>6240</v>
      </c>
      <c r="V4590" s="41" t="str">
        <f>HYPERLINK("http://ictvonline.org/taxonomy/p/taxonomy-history?taxnode_id=20184978","ICTVonline=20184978")</f>
        <v>ICTVonline=20184978</v>
      </c>
    </row>
    <row r="4591" spans="1:22">
      <c r="A4591" s="3">
        <v>4590</v>
      </c>
      <c r="L4591" s="1" t="s">
        <v>4131</v>
      </c>
      <c r="N4591" s="1" t="s">
        <v>4132</v>
      </c>
      <c r="P4591" s="1" t="s">
        <v>4133</v>
      </c>
      <c r="Q4591" s="3">
        <v>1</v>
      </c>
      <c r="R4591" s="22" t="s">
        <v>2766</v>
      </c>
      <c r="S4591" s="22" t="s">
        <v>5097</v>
      </c>
      <c r="T4591" s="51">
        <v>30</v>
      </c>
      <c r="U4591" s="3" t="s">
        <v>6247</v>
      </c>
      <c r="V4591" s="41" t="str">
        <f>HYPERLINK("http://ictvonline.org/taxonomy/p/taxonomy-history?taxnode_id=20185047","ICTVonline=20185047")</f>
        <v>ICTVonline=20185047</v>
      </c>
    </row>
    <row r="4592" spans="1:22">
      <c r="A4592" s="3">
        <v>4591</v>
      </c>
      <c r="L4592" s="1" t="s">
        <v>6248</v>
      </c>
      <c r="N4592" s="1" t="s">
        <v>6249</v>
      </c>
      <c r="P4592" s="1" t="s">
        <v>6250</v>
      </c>
      <c r="Q4592" s="3">
        <v>1</v>
      </c>
      <c r="R4592" s="22" t="s">
        <v>2767</v>
      </c>
      <c r="S4592" s="22" t="s">
        <v>5097</v>
      </c>
      <c r="T4592" s="51">
        <v>32</v>
      </c>
      <c r="U4592" s="3" t="s">
        <v>6251</v>
      </c>
      <c r="V4592" s="41" t="str">
        <f>HYPERLINK("http://ictvonline.org/taxonomy/p/taxonomy-history?taxnode_id=20185945","ICTVonline=20185945")</f>
        <v>ICTVonline=20185945</v>
      </c>
    </row>
    <row r="4593" spans="1:22">
      <c r="A4593" s="3">
        <v>4592</v>
      </c>
      <c r="L4593" s="1" t="s">
        <v>6248</v>
      </c>
      <c r="N4593" s="1" t="s">
        <v>6249</v>
      </c>
      <c r="P4593" s="1" t="s">
        <v>6252</v>
      </c>
      <c r="Q4593" s="3">
        <v>0</v>
      </c>
      <c r="R4593" s="22" t="s">
        <v>2767</v>
      </c>
      <c r="S4593" s="22" t="s">
        <v>5097</v>
      </c>
      <c r="T4593" s="51">
        <v>32</v>
      </c>
      <c r="U4593" s="3" t="s">
        <v>6251</v>
      </c>
      <c r="V4593" s="41" t="str">
        <f>HYPERLINK("http://ictvonline.org/taxonomy/p/taxonomy-history?taxnode_id=20185946","ICTVonline=20185946")</f>
        <v>ICTVonline=20185946</v>
      </c>
    </row>
    <row r="4594" spans="1:22">
      <c r="A4594" s="3">
        <v>4593</v>
      </c>
      <c r="L4594" s="1" t="s">
        <v>6248</v>
      </c>
      <c r="N4594" s="1" t="s">
        <v>6249</v>
      </c>
      <c r="P4594" s="1" t="s">
        <v>6253</v>
      </c>
      <c r="Q4594" s="3">
        <v>0</v>
      </c>
      <c r="R4594" s="22" t="s">
        <v>2767</v>
      </c>
      <c r="S4594" s="22" t="s">
        <v>5097</v>
      </c>
      <c r="T4594" s="51">
        <v>32</v>
      </c>
      <c r="U4594" s="3" t="s">
        <v>6251</v>
      </c>
      <c r="V4594" s="41" t="str">
        <f>HYPERLINK("http://ictvonline.org/taxonomy/p/taxonomy-history?taxnode_id=20185947","ICTVonline=20185947")</f>
        <v>ICTVonline=20185947</v>
      </c>
    </row>
    <row r="4595" spans="1:22">
      <c r="A4595" s="3">
        <v>4594</v>
      </c>
      <c r="L4595" s="1" t="s">
        <v>6248</v>
      </c>
      <c r="N4595" s="1" t="s">
        <v>6254</v>
      </c>
      <c r="P4595" s="1" t="s">
        <v>6255</v>
      </c>
      <c r="Q4595" s="3">
        <v>1</v>
      </c>
      <c r="R4595" s="22" t="s">
        <v>2767</v>
      </c>
      <c r="S4595" s="22" t="s">
        <v>5097</v>
      </c>
      <c r="T4595" s="51">
        <v>32</v>
      </c>
      <c r="U4595" s="3" t="s">
        <v>6251</v>
      </c>
      <c r="V4595" s="41" t="str">
        <f>HYPERLINK("http://ictvonline.org/taxonomy/p/taxonomy-history?taxnode_id=20185949","ICTVonline=20185949")</f>
        <v>ICTVonline=20185949</v>
      </c>
    </row>
    <row r="4596" spans="1:22">
      <c r="A4596" s="3">
        <v>4595</v>
      </c>
      <c r="L4596" s="1" t="s">
        <v>6248</v>
      </c>
      <c r="N4596" s="1" t="s">
        <v>6256</v>
      </c>
      <c r="P4596" s="1" t="s">
        <v>6257</v>
      </c>
      <c r="Q4596" s="3">
        <v>1</v>
      </c>
      <c r="R4596" s="22" t="s">
        <v>2767</v>
      </c>
      <c r="S4596" s="22" t="s">
        <v>5097</v>
      </c>
      <c r="T4596" s="51">
        <v>32</v>
      </c>
      <c r="U4596" s="3" t="s">
        <v>6251</v>
      </c>
      <c r="V4596" s="41" t="str">
        <f>HYPERLINK("http://ictvonline.org/taxonomy/p/taxonomy-history?taxnode_id=20185951","ICTVonline=20185951")</f>
        <v>ICTVonline=20185951</v>
      </c>
    </row>
    <row r="4597" spans="1:22">
      <c r="A4597" s="3">
        <v>4596</v>
      </c>
      <c r="L4597" s="1" t="s">
        <v>6248</v>
      </c>
      <c r="N4597" s="1" t="s">
        <v>6258</v>
      </c>
      <c r="P4597" s="1" t="s">
        <v>6259</v>
      </c>
      <c r="Q4597" s="3">
        <v>0</v>
      </c>
      <c r="R4597" s="22" t="s">
        <v>2767</v>
      </c>
      <c r="S4597" s="22" t="s">
        <v>5097</v>
      </c>
      <c r="T4597" s="51">
        <v>32</v>
      </c>
      <c r="U4597" s="3" t="s">
        <v>6251</v>
      </c>
      <c r="V4597" s="41" t="str">
        <f>HYPERLINK("http://ictvonline.org/taxonomy/p/taxonomy-history?taxnode_id=20185953","ICTVonline=20185953")</f>
        <v>ICTVonline=20185953</v>
      </c>
    </row>
    <row r="4598" spans="1:22">
      <c r="A4598" s="3">
        <v>4597</v>
      </c>
      <c r="L4598" s="1" t="s">
        <v>6248</v>
      </c>
      <c r="N4598" s="1" t="s">
        <v>6258</v>
      </c>
      <c r="P4598" s="1" t="s">
        <v>6260</v>
      </c>
      <c r="Q4598" s="3">
        <v>1</v>
      </c>
      <c r="R4598" s="22" t="s">
        <v>2767</v>
      </c>
      <c r="S4598" s="22" t="s">
        <v>5097</v>
      </c>
      <c r="T4598" s="51">
        <v>32</v>
      </c>
      <c r="U4598" s="3" t="s">
        <v>6251</v>
      </c>
      <c r="V4598" s="41" t="str">
        <f>HYPERLINK("http://ictvonline.org/taxonomy/p/taxonomy-history?taxnode_id=20185954","ICTVonline=20185954")</f>
        <v>ICTVonline=20185954</v>
      </c>
    </row>
    <row r="4599" spans="1:22">
      <c r="A4599" s="3">
        <v>4598</v>
      </c>
      <c r="L4599" s="1" t="s">
        <v>6248</v>
      </c>
      <c r="N4599" s="1" t="s">
        <v>6258</v>
      </c>
      <c r="P4599" s="1" t="s">
        <v>6261</v>
      </c>
      <c r="Q4599" s="3">
        <v>0</v>
      </c>
      <c r="R4599" s="22" t="s">
        <v>2767</v>
      </c>
      <c r="S4599" s="22" t="s">
        <v>5097</v>
      </c>
      <c r="T4599" s="51">
        <v>32</v>
      </c>
      <c r="U4599" s="3" t="s">
        <v>6251</v>
      </c>
      <c r="V4599" s="41" t="str">
        <f>HYPERLINK("http://ictvonline.org/taxonomy/p/taxonomy-history?taxnode_id=20185955","ICTVonline=20185955")</f>
        <v>ICTVonline=20185955</v>
      </c>
    </row>
    <row r="4600" spans="1:22">
      <c r="A4600" s="3">
        <v>4599</v>
      </c>
      <c r="L4600" s="1" t="s">
        <v>6248</v>
      </c>
      <c r="N4600" s="1" t="s">
        <v>6262</v>
      </c>
      <c r="P4600" s="1" t="s">
        <v>6263</v>
      </c>
      <c r="Q4600" s="3">
        <v>0</v>
      </c>
      <c r="R4600" s="22" t="s">
        <v>2767</v>
      </c>
      <c r="S4600" s="22" t="s">
        <v>5097</v>
      </c>
      <c r="T4600" s="51">
        <v>32</v>
      </c>
      <c r="U4600" s="3" t="s">
        <v>6251</v>
      </c>
      <c r="V4600" s="41" t="str">
        <f>HYPERLINK("http://ictvonline.org/taxonomy/p/taxonomy-history?taxnode_id=20185957","ICTVonline=20185957")</f>
        <v>ICTVonline=20185957</v>
      </c>
    </row>
    <row r="4601" spans="1:22">
      <c r="A4601" s="3">
        <v>4600</v>
      </c>
      <c r="L4601" s="1" t="s">
        <v>6248</v>
      </c>
      <c r="N4601" s="1" t="s">
        <v>6262</v>
      </c>
      <c r="P4601" s="1" t="s">
        <v>6264</v>
      </c>
      <c r="Q4601" s="3">
        <v>0</v>
      </c>
      <c r="R4601" s="22" t="s">
        <v>2767</v>
      </c>
      <c r="S4601" s="22" t="s">
        <v>5097</v>
      </c>
      <c r="T4601" s="51">
        <v>32</v>
      </c>
      <c r="U4601" s="3" t="s">
        <v>6251</v>
      </c>
      <c r="V4601" s="41" t="str">
        <f>HYPERLINK("http://ictvonline.org/taxonomy/p/taxonomy-history?taxnode_id=20185958","ICTVonline=20185958")</f>
        <v>ICTVonline=20185958</v>
      </c>
    </row>
    <row r="4602" spans="1:22">
      <c r="A4602" s="3">
        <v>4601</v>
      </c>
      <c r="L4602" s="1" t="s">
        <v>6248</v>
      </c>
      <c r="N4602" s="1" t="s">
        <v>6262</v>
      </c>
      <c r="P4602" s="1" t="s">
        <v>6265</v>
      </c>
      <c r="Q4602" s="3">
        <v>0</v>
      </c>
      <c r="R4602" s="22" t="s">
        <v>2767</v>
      </c>
      <c r="S4602" s="22" t="s">
        <v>5097</v>
      </c>
      <c r="T4602" s="51">
        <v>32</v>
      </c>
      <c r="U4602" s="3" t="s">
        <v>6251</v>
      </c>
      <c r="V4602" s="41" t="str">
        <f>HYPERLINK("http://ictvonline.org/taxonomy/p/taxonomy-history?taxnode_id=20185959","ICTVonline=20185959")</f>
        <v>ICTVonline=20185959</v>
      </c>
    </row>
    <row r="4603" spans="1:22">
      <c r="A4603" s="3">
        <v>4602</v>
      </c>
      <c r="L4603" s="1" t="s">
        <v>6248</v>
      </c>
      <c r="N4603" s="1" t="s">
        <v>6262</v>
      </c>
      <c r="P4603" s="1" t="s">
        <v>6266</v>
      </c>
      <c r="Q4603" s="3">
        <v>0</v>
      </c>
      <c r="R4603" s="22" t="s">
        <v>2767</v>
      </c>
      <c r="S4603" s="22" t="s">
        <v>5097</v>
      </c>
      <c r="T4603" s="51">
        <v>32</v>
      </c>
      <c r="U4603" s="3" t="s">
        <v>6251</v>
      </c>
      <c r="V4603" s="41" t="str">
        <f>HYPERLINK("http://ictvonline.org/taxonomy/p/taxonomy-history?taxnode_id=20185960","ICTVonline=20185960")</f>
        <v>ICTVonline=20185960</v>
      </c>
    </row>
    <row r="4604" spans="1:22">
      <c r="A4604" s="3">
        <v>4603</v>
      </c>
      <c r="L4604" s="1" t="s">
        <v>6248</v>
      </c>
      <c r="N4604" s="1" t="s">
        <v>6262</v>
      </c>
      <c r="P4604" s="1" t="s">
        <v>6267</v>
      </c>
      <c r="Q4604" s="3">
        <v>1</v>
      </c>
      <c r="R4604" s="22" t="s">
        <v>2767</v>
      </c>
      <c r="S4604" s="22" t="s">
        <v>5097</v>
      </c>
      <c r="T4604" s="51">
        <v>32</v>
      </c>
      <c r="U4604" s="3" t="s">
        <v>6251</v>
      </c>
      <c r="V4604" s="41" t="str">
        <f>HYPERLINK("http://ictvonline.org/taxonomy/p/taxonomy-history?taxnode_id=20185961","ICTVonline=20185961")</f>
        <v>ICTVonline=20185961</v>
      </c>
    </row>
    <row r="4605" spans="1:22">
      <c r="A4605" s="3">
        <v>4604</v>
      </c>
      <c r="L4605" s="1" t="s">
        <v>6248</v>
      </c>
      <c r="N4605" s="1" t="s">
        <v>6262</v>
      </c>
      <c r="P4605" s="1" t="s">
        <v>6268</v>
      </c>
      <c r="Q4605" s="3">
        <v>0</v>
      </c>
      <c r="R4605" s="22" t="s">
        <v>2767</v>
      </c>
      <c r="S4605" s="22" t="s">
        <v>5097</v>
      </c>
      <c r="T4605" s="51">
        <v>32</v>
      </c>
      <c r="U4605" s="3" t="s">
        <v>6251</v>
      </c>
      <c r="V4605" s="41" t="str">
        <f>HYPERLINK("http://ictvonline.org/taxonomy/p/taxonomy-history?taxnode_id=20185962","ICTVonline=20185962")</f>
        <v>ICTVonline=20185962</v>
      </c>
    </row>
    <row r="4606" spans="1:22">
      <c r="A4606" s="3">
        <v>4605</v>
      </c>
      <c r="L4606" s="1" t="s">
        <v>6248</v>
      </c>
      <c r="N4606" s="1" t="s">
        <v>6262</v>
      </c>
      <c r="P4606" s="1" t="s">
        <v>6269</v>
      </c>
      <c r="Q4606" s="3">
        <v>0</v>
      </c>
      <c r="R4606" s="22" t="s">
        <v>2767</v>
      </c>
      <c r="S4606" s="22" t="s">
        <v>5097</v>
      </c>
      <c r="T4606" s="51">
        <v>32</v>
      </c>
      <c r="U4606" s="3" t="s">
        <v>6251</v>
      </c>
      <c r="V4606" s="41" t="str">
        <f>HYPERLINK("http://ictvonline.org/taxonomy/p/taxonomy-history?taxnode_id=20185963","ICTVonline=20185963")</f>
        <v>ICTVonline=20185963</v>
      </c>
    </row>
    <row r="4607" spans="1:22">
      <c r="A4607" s="3">
        <v>4606</v>
      </c>
      <c r="L4607" s="1" t="s">
        <v>6248</v>
      </c>
      <c r="N4607" s="1" t="s">
        <v>6270</v>
      </c>
      <c r="P4607" s="1" t="s">
        <v>6271</v>
      </c>
      <c r="Q4607" s="3">
        <v>0</v>
      </c>
      <c r="R4607" s="22" t="s">
        <v>2767</v>
      </c>
      <c r="S4607" s="22" t="s">
        <v>5097</v>
      </c>
      <c r="T4607" s="51">
        <v>32</v>
      </c>
      <c r="U4607" s="3" t="s">
        <v>6251</v>
      </c>
      <c r="V4607" s="41" t="str">
        <f>HYPERLINK("http://ictvonline.org/taxonomy/p/taxonomy-history?taxnode_id=20185965","ICTVonline=20185965")</f>
        <v>ICTVonline=20185965</v>
      </c>
    </row>
    <row r="4608" spans="1:22">
      <c r="A4608" s="3">
        <v>4607</v>
      </c>
      <c r="L4608" s="1" t="s">
        <v>6248</v>
      </c>
      <c r="N4608" s="1" t="s">
        <v>6270</v>
      </c>
      <c r="P4608" s="1" t="s">
        <v>6272</v>
      </c>
      <c r="Q4608" s="3">
        <v>0</v>
      </c>
      <c r="R4608" s="22" t="s">
        <v>2767</v>
      </c>
      <c r="S4608" s="22" t="s">
        <v>5097</v>
      </c>
      <c r="T4608" s="51">
        <v>32</v>
      </c>
      <c r="U4608" s="3" t="s">
        <v>6251</v>
      </c>
      <c r="V4608" s="41" t="str">
        <f>HYPERLINK("http://ictvonline.org/taxonomy/p/taxonomy-history?taxnode_id=20185966","ICTVonline=20185966")</f>
        <v>ICTVonline=20185966</v>
      </c>
    </row>
    <row r="4609" spans="1:22">
      <c r="A4609" s="3">
        <v>4608</v>
      </c>
      <c r="L4609" s="1" t="s">
        <v>6248</v>
      </c>
      <c r="N4609" s="1" t="s">
        <v>6270</v>
      </c>
      <c r="P4609" s="1" t="s">
        <v>6273</v>
      </c>
      <c r="Q4609" s="3">
        <v>0</v>
      </c>
      <c r="R4609" s="22" t="s">
        <v>2767</v>
      </c>
      <c r="S4609" s="22" t="s">
        <v>5097</v>
      </c>
      <c r="T4609" s="51">
        <v>32</v>
      </c>
      <c r="U4609" s="3" t="s">
        <v>6251</v>
      </c>
      <c r="V4609" s="41" t="str">
        <f>HYPERLINK("http://ictvonline.org/taxonomy/p/taxonomy-history?taxnode_id=20185967","ICTVonline=20185967")</f>
        <v>ICTVonline=20185967</v>
      </c>
    </row>
    <row r="4610" spans="1:22">
      <c r="A4610" s="3">
        <v>4609</v>
      </c>
      <c r="L4610" s="1" t="s">
        <v>6248</v>
      </c>
      <c r="N4610" s="1" t="s">
        <v>6270</v>
      </c>
      <c r="P4610" s="1" t="s">
        <v>6274</v>
      </c>
      <c r="Q4610" s="3">
        <v>0</v>
      </c>
      <c r="R4610" s="22" t="s">
        <v>2767</v>
      </c>
      <c r="S4610" s="22" t="s">
        <v>5097</v>
      </c>
      <c r="T4610" s="51">
        <v>32</v>
      </c>
      <c r="U4610" s="3" t="s">
        <v>6251</v>
      </c>
      <c r="V4610" s="41" t="str">
        <f>HYPERLINK("http://ictvonline.org/taxonomy/p/taxonomy-history?taxnode_id=20185968","ICTVonline=20185968")</f>
        <v>ICTVonline=20185968</v>
      </c>
    </row>
    <row r="4611" spans="1:22">
      <c r="A4611" s="3">
        <v>4610</v>
      </c>
      <c r="L4611" s="1" t="s">
        <v>6248</v>
      </c>
      <c r="N4611" s="1" t="s">
        <v>6270</v>
      </c>
      <c r="P4611" s="1" t="s">
        <v>6275</v>
      </c>
      <c r="Q4611" s="3">
        <v>0</v>
      </c>
      <c r="R4611" s="22" t="s">
        <v>2767</v>
      </c>
      <c r="S4611" s="22" t="s">
        <v>5097</v>
      </c>
      <c r="T4611" s="51">
        <v>32</v>
      </c>
      <c r="U4611" s="3" t="s">
        <v>6251</v>
      </c>
      <c r="V4611" s="41" t="str">
        <f>HYPERLINK("http://ictvonline.org/taxonomy/p/taxonomy-history?taxnode_id=20185969","ICTVonline=20185969")</f>
        <v>ICTVonline=20185969</v>
      </c>
    </row>
    <row r="4612" spans="1:22">
      <c r="A4612" s="3">
        <v>4611</v>
      </c>
      <c r="L4612" s="1" t="s">
        <v>6248</v>
      </c>
      <c r="N4612" s="1" t="s">
        <v>6270</v>
      </c>
      <c r="P4612" s="1" t="s">
        <v>6276</v>
      </c>
      <c r="Q4612" s="3">
        <v>1</v>
      </c>
      <c r="R4612" s="22" t="s">
        <v>2767</v>
      </c>
      <c r="S4612" s="22" t="s">
        <v>5097</v>
      </c>
      <c r="T4612" s="51">
        <v>32</v>
      </c>
      <c r="U4612" s="3" t="s">
        <v>6251</v>
      </c>
      <c r="V4612" s="41" t="str">
        <f>HYPERLINK("http://ictvonline.org/taxonomy/p/taxonomy-history?taxnode_id=20185970","ICTVonline=20185970")</f>
        <v>ICTVonline=20185970</v>
      </c>
    </row>
    <row r="4613" spans="1:22">
      <c r="A4613" s="3">
        <v>4612</v>
      </c>
      <c r="L4613" s="1" t="s">
        <v>6248</v>
      </c>
      <c r="N4613" s="1" t="s">
        <v>6270</v>
      </c>
      <c r="P4613" s="1" t="s">
        <v>6277</v>
      </c>
      <c r="Q4613" s="3">
        <v>0</v>
      </c>
      <c r="R4613" s="22" t="s">
        <v>2767</v>
      </c>
      <c r="S4613" s="22" t="s">
        <v>5097</v>
      </c>
      <c r="T4613" s="51">
        <v>32</v>
      </c>
      <c r="U4613" s="3" t="s">
        <v>6251</v>
      </c>
      <c r="V4613" s="41" t="str">
        <f>HYPERLINK("http://ictvonline.org/taxonomy/p/taxonomy-history?taxnode_id=20185971","ICTVonline=20185971")</f>
        <v>ICTVonline=20185971</v>
      </c>
    </row>
    <row r="4614" spans="1:22">
      <c r="A4614" s="3">
        <v>4613</v>
      </c>
      <c r="L4614" s="1" t="s">
        <v>6248</v>
      </c>
      <c r="N4614" s="1" t="s">
        <v>6270</v>
      </c>
      <c r="P4614" s="1" t="s">
        <v>6278</v>
      </c>
      <c r="Q4614" s="3">
        <v>0</v>
      </c>
      <c r="R4614" s="22" t="s">
        <v>2767</v>
      </c>
      <c r="S4614" s="22" t="s">
        <v>5097</v>
      </c>
      <c r="T4614" s="51">
        <v>32</v>
      </c>
      <c r="U4614" s="3" t="s">
        <v>6251</v>
      </c>
      <c r="V4614" s="41" t="str">
        <f>HYPERLINK("http://ictvonline.org/taxonomy/p/taxonomy-history?taxnode_id=20185972","ICTVonline=20185972")</f>
        <v>ICTVonline=20185972</v>
      </c>
    </row>
    <row r="4615" spans="1:22">
      <c r="A4615" s="3">
        <v>4614</v>
      </c>
      <c r="L4615" s="1" t="s">
        <v>6248</v>
      </c>
      <c r="N4615" s="1" t="s">
        <v>6270</v>
      </c>
      <c r="P4615" s="1" t="s">
        <v>6279</v>
      </c>
      <c r="Q4615" s="3">
        <v>0</v>
      </c>
      <c r="R4615" s="22" t="s">
        <v>2767</v>
      </c>
      <c r="S4615" s="22" t="s">
        <v>5097</v>
      </c>
      <c r="T4615" s="51">
        <v>32</v>
      </c>
      <c r="U4615" s="3" t="s">
        <v>6251</v>
      </c>
      <c r="V4615" s="41" t="str">
        <f>HYPERLINK("http://ictvonline.org/taxonomy/p/taxonomy-history?taxnode_id=20185973","ICTVonline=20185973")</f>
        <v>ICTVonline=20185973</v>
      </c>
    </row>
    <row r="4616" spans="1:22">
      <c r="A4616" s="3">
        <v>4615</v>
      </c>
      <c r="L4616" s="1" t="s">
        <v>6248</v>
      </c>
      <c r="N4616" s="1" t="s">
        <v>6270</v>
      </c>
      <c r="P4616" s="1" t="s">
        <v>6280</v>
      </c>
      <c r="Q4616" s="3">
        <v>0</v>
      </c>
      <c r="R4616" s="22" t="s">
        <v>2767</v>
      </c>
      <c r="S4616" s="22" t="s">
        <v>5097</v>
      </c>
      <c r="T4616" s="51">
        <v>32</v>
      </c>
      <c r="U4616" s="3" t="s">
        <v>6251</v>
      </c>
      <c r="V4616" s="41" t="str">
        <f>HYPERLINK("http://ictvonline.org/taxonomy/p/taxonomy-history?taxnode_id=20185974","ICTVonline=20185974")</f>
        <v>ICTVonline=20185974</v>
      </c>
    </row>
    <row r="4617" spans="1:22">
      <c r="A4617" s="3">
        <v>4616</v>
      </c>
      <c r="L4617" s="1" t="s">
        <v>6248</v>
      </c>
      <c r="N4617" s="1" t="s">
        <v>6270</v>
      </c>
      <c r="P4617" s="1" t="s">
        <v>6281</v>
      </c>
      <c r="Q4617" s="3">
        <v>0</v>
      </c>
      <c r="R4617" s="22" t="s">
        <v>2767</v>
      </c>
      <c r="S4617" s="22" t="s">
        <v>5097</v>
      </c>
      <c r="T4617" s="51">
        <v>32</v>
      </c>
      <c r="U4617" s="3" t="s">
        <v>6251</v>
      </c>
      <c r="V4617" s="41" t="str">
        <f>HYPERLINK("http://ictvonline.org/taxonomy/p/taxonomy-history?taxnode_id=20185975","ICTVonline=20185975")</f>
        <v>ICTVonline=20185975</v>
      </c>
    </row>
    <row r="4618" spans="1:22">
      <c r="A4618" s="3">
        <v>4617</v>
      </c>
      <c r="L4618" s="1" t="s">
        <v>6248</v>
      </c>
      <c r="N4618" s="1" t="s">
        <v>6270</v>
      </c>
      <c r="P4618" s="1" t="s">
        <v>6282</v>
      </c>
      <c r="Q4618" s="3">
        <v>0</v>
      </c>
      <c r="R4618" s="22" t="s">
        <v>2767</v>
      </c>
      <c r="S4618" s="22" t="s">
        <v>5097</v>
      </c>
      <c r="T4618" s="51">
        <v>32</v>
      </c>
      <c r="U4618" s="3" t="s">
        <v>6251</v>
      </c>
      <c r="V4618" s="41" t="str">
        <f>HYPERLINK("http://ictvonline.org/taxonomy/p/taxonomy-history?taxnode_id=20185976","ICTVonline=20185976")</f>
        <v>ICTVonline=20185976</v>
      </c>
    </row>
    <row r="4619" spans="1:22">
      <c r="A4619" s="3">
        <v>4618</v>
      </c>
      <c r="L4619" s="1" t="s">
        <v>6248</v>
      </c>
      <c r="N4619" s="1" t="s">
        <v>6270</v>
      </c>
      <c r="P4619" s="1" t="s">
        <v>6283</v>
      </c>
      <c r="Q4619" s="3">
        <v>0</v>
      </c>
      <c r="R4619" s="22" t="s">
        <v>2767</v>
      </c>
      <c r="S4619" s="22" t="s">
        <v>5097</v>
      </c>
      <c r="T4619" s="51">
        <v>32</v>
      </c>
      <c r="U4619" s="3" t="s">
        <v>6251</v>
      </c>
      <c r="V4619" s="41" t="str">
        <f>HYPERLINK("http://ictvonline.org/taxonomy/p/taxonomy-history?taxnode_id=20185977","ICTVonline=20185977")</f>
        <v>ICTVonline=20185977</v>
      </c>
    </row>
    <row r="4620" spans="1:22">
      <c r="A4620" s="3">
        <v>4619</v>
      </c>
      <c r="L4620" s="1" t="s">
        <v>6248</v>
      </c>
      <c r="N4620" s="1" t="s">
        <v>6270</v>
      </c>
      <c r="P4620" s="1" t="s">
        <v>6284</v>
      </c>
      <c r="Q4620" s="3">
        <v>0</v>
      </c>
      <c r="R4620" s="22" t="s">
        <v>2767</v>
      </c>
      <c r="S4620" s="22" t="s">
        <v>5097</v>
      </c>
      <c r="T4620" s="51">
        <v>32</v>
      </c>
      <c r="U4620" s="3" t="s">
        <v>6251</v>
      </c>
      <c r="V4620" s="41" t="str">
        <f>HYPERLINK("http://ictvonline.org/taxonomy/p/taxonomy-history?taxnode_id=20185979","ICTVonline=20185979")</f>
        <v>ICTVonline=20185979</v>
      </c>
    </row>
    <row r="4621" spans="1:22">
      <c r="A4621" s="3">
        <v>4620</v>
      </c>
      <c r="L4621" s="1" t="s">
        <v>6248</v>
      </c>
      <c r="N4621" s="1" t="s">
        <v>6270</v>
      </c>
      <c r="P4621" s="1" t="s">
        <v>6285</v>
      </c>
      <c r="Q4621" s="3">
        <v>0</v>
      </c>
      <c r="R4621" s="22" t="s">
        <v>2767</v>
      </c>
      <c r="S4621" s="22" t="s">
        <v>5097</v>
      </c>
      <c r="T4621" s="51">
        <v>32</v>
      </c>
      <c r="U4621" s="3" t="s">
        <v>6251</v>
      </c>
      <c r="V4621" s="41" t="str">
        <f>HYPERLINK("http://ictvonline.org/taxonomy/p/taxonomy-history?taxnode_id=20185980","ICTVonline=20185980")</f>
        <v>ICTVonline=20185980</v>
      </c>
    </row>
    <row r="4622" spans="1:22">
      <c r="A4622" s="3">
        <v>4621</v>
      </c>
      <c r="L4622" s="1" t="s">
        <v>6248</v>
      </c>
      <c r="N4622" s="1" t="s">
        <v>6270</v>
      </c>
      <c r="P4622" s="1" t="s">
        <v>6286</v>
      </c>
      <c r="Q4622" s="3">
        <v>0</v>
      </c>
      <c r="R4622" s="22" t="s">
        <v>2767</v>
      </c>
      <c r="S4622" s="22" t="s">
        <v>5097</v>
      </c>
      <c r="T4622" s="51">
        <v>32</v>
      </c>
      <c r="U4622" s="3" t="s">
        <v>6251</v>
      </c>
      <c r="V4622" s="41" t="str">
        <f>HYPERLINK("http://ictvonline.org/taxonomy/p/taxonomy-history?taxnode_id=20185981","ICTVonline=20185981")</f>
        <v>ICTVonline=20185981</v>
      </c>
    </row>
    <row r="4623" spans="1:22">
      <c r="A4623" s="3">
        <v>4622</v>
      </c>
      <c r="L4623" s="1" t="s">
        <v>6248</v>
      </c>
      <c r="N4623" s="1" t="s">
        <v>6270</v>
      </c>
      <c r="P4623" s="1" t="s">
        <v>6287</v>
      </c>
      <c r="Q4623" s="3">
        <v>0</v>
      </c>
      <c r="R4623" s="22" t="s">
        <v>2767</v>
      </c>
      <c r="S4623" s="22" t="s">
        <v>5097</v>
      </c>
      <c r="T4623" s="51">
        <v>32</v>
      </c>
      <c r="U4623" s="3" t="s">
        <v>6251</v>
      </c>
      <c r="V4623" s="41" t="str">
        <f>HYPERLINK("http://ictvonline.org/taxonomy/p/taxonomy-history?taxnode_id=20185982","ICTVonline=20185982")</f>
        <v>ICTVonline=20185982</v>
      </c>
    </row>
    <row r="4624" spans="1:22">
      <c r="A4624" s="3">
        <v>4623</v>
      </c>
      <c r="L4624" s="1" t="s">
        <v>6248</v>
      </c>
      <c r="N4624" s="1" t="s">
        <v>6270</v>
      </c>
      <c r="P4624" s="1" t="s">
        <v>6288</v>
      </c>
      <c r="Q4624" s="3">
        <v>0</v>
      </c>
      <c r="R4624" s="22" t="s">
        <v>2767</v>
      </c>
      <c r="S4624" s="22" t="s">
        <v>5097</v>
      </c>
      <c r="T4624" s="51">
        <v>32</v>
      </c>
      <c r="U4624" s="3" t="s">
        <v>6251</v>
      </c>
      <c r="V4624" s="41" t="str">
        <f>HYPERLINK("http://ictvonline.org/taxonomy/p/taxonomy-history?taxnode_id=20185983","ICTVonline=20185983")</f>
        <v>ICTVonline=20185983</v>
      </c>
    </row>
    <row r="4625" spans="1:22">
      <c r="A4625" s="3">
        <v>4624</v>
      </c>
      <c r="L4625" s="1" t="s">
        <v>6248</v>
      </c>
      <c r="N4625" s="1" t="s">
        <v>6270</v>
      </c>
      <c r="P4625" s="1" t="s">
        <v>6289</v>
      </c>
      <c r="Q4625" s="3">
        <v>0</v>
      </c>
      <c r="R4625" s="22" t="s">
        <v>2767</v>
      </c>
      <c r="S4625" s="22" t="s">
        <v>5097</v>
      </c>
      <c r="T4625" s="51">
        <v>32</v>
      </c>
      <c r="U4625" s="3" t="s">
        <v>6251</v>
      </c>
      <c r="V4625" s="41" t="str">
        <f>HYPERLINK("http://ictvonline.org/taxonomy/p/taxonomy-history?taxnode_id=20185984","ICTVonline=20185984")</f>
        <v>ICTVonline=20185984</v>
      </c>
    </row>
    <row r="4626" spans="1:22">
      <c r="A4626" s="3">
        <v>4625</v>
      </c>
      <c r="L4626" s="1" t="s">
        <v>6248</v>
      </c>
      <c r="N4626" s="1" t="s">
        <v>6270</v>
      </c>
      <c r="P4626" s="1" t="s">
        <v>6290</v>
      </c>
      <c r="Q4626" s="3">
        <v>0</v>
      </c>
      <c r="R4626" s="22" t="s">
        <v>2767</v>
      </c>
      <c r="S4626" s="22" t="s">
        <v>5097</v>
      </c>
      <c r="T4626" s="51">
        <v>32</v>
      </c>
      <c r="U4626" s="3" t="s">
        <v>6251</v>
      </c>
      <c r="V4626" s="41" t="str">
        <f>HYPERLINK("http://ictvonline.org/taxonomy/p/taxonomy-history?taxnode_id=20185985","ICTVonline=20185985")</f>
        <v>ICTVonline=20185985</v>
      </c>
    </row>
    <row r="4627" spans="1:22">
      <c r="A4627" s="3">
        <v>4626</v>
      </c>
      <c r="L4627" s="1" t="s">
        <v>6248</v>
      </c>
      <c r="N4627" s="1" t="s">
        <v>6270</v>
      </c>
      <c r="P4627" s="1" t="s">
        <v>6291</v>
      </c>
      <c r="Q4627" s="3">
        <v>0</v>
      </c>
      <c r="R4627" s="22" t="s">
        <v>2767</v>
      </c>
      <c r="S4627" s="22" t="s">
        <v>5097</v>
      </c>
      <c r="T4627" s="51">
        <v>32</v>
      </c>
      <c r="U4627" s="3" t="s">
        <v>6251</v>
      </c>
      <c r="V4627" s="41" t="str">
        <f>HYPERLINK("http://ictvonline.org/taxonomy/p/taxonomy-history?taxnode_id=20185986","ICTVonline=20185986")</f>
        <v>ICTVonline=20185986</v>
      </c>
    </row>
    <row r="4628" spans="1:22">
      <c r="A4628" s="3">
        <v>4627</v>
      </c>
      <c r="L4628" s="1" t="s">
        <v>6248</v>
      </c>
      <c r="N4628" s="1" t="s">
        <v>6270</v>
      </c>
      <c r="P4628" s="1" t="s">
        <v>6292</v>
      </c>
      <c r="Q4628" s="3">
        <v>0</v>
      </c>
      <c r="R4628" s="22" t="s">
        <v>2767</v>
      </c>
      <c r="S4628" s="22" t="s">
        <v>5097</v>
      </c>
      <c r="T4628" s="51">
        <v>32</v>
      </c>
      <c r="U4628" s="3" t="s">
        <v>6251</v>
      </c>
      <c r="V4628" s="41" t="str">
        <f>HYPERLINK("http://ictvonline.org/taxonomy/p/taxonomy-history?taxnode_id=20185978","ICTVonline=20185978")</f>
        <v>ICTVonline=20185978</v>
      </c>
    </row>
    <row r="4629" spans="1:22">
      <c r="A4629" s="3">
        <v>4628</v>
      </c>
      <c r="L4629" s="1" t="s">
        <v>6248</v>
      </c>
      <c r="N4629" s="1" t="s">
        <v>6270</v>
      </c>
      <c r="P4629" s="1" t="s">
        <v>6293</v>
      </c>
      <c r="Q4629" s="3">
        <v>0</v>
      </c>
      <c r="R4629" s="22" t="s">
        <v>2767</v>
      </c>
      <c r="S4629" s="22" t="s">
        <v>5097</v>
      </c>
      <c r="T4629" s="51">
        <v>32</v>
      </c>
      <c r="U4629" s="3" t="s">
        <v>6251</v>
      </c>
      <c r="V4629" s="41" t="str">
        <f>HYPERLINK("http://ictvonline.org/taxonomy/p/taxonomy-history?taxnode_id=20185987","ICTVonline=20185987")</f>
        <v>ICTVonline=20185987</v>
      </c>
    </row>
    <row r="4630" spans="1:22">
      <c r="A4630" s="3">
        <v>4629</v>
      </c>
      <c r="L4630" s="1" t="s">
        <v>6248</v>
      </c>
      <c r="N4630" s="1" t="s">
        <v>6270</v>
      </c>
      <c r="P4630" s="1" t="s">
        <v>6294</v>
      </c>
      <c r="Q4630" s="3">
        <v>0</v>
      </c>
      <c r="R4630" s="22" t="s">
        <v>2767</v>
      </c>
      <c r="S4630" s="22" t="s">
        <v>5097</v>
      </c>
      <c r="T4630" s="51">
        <v>32</v>
      </c>
      <c r="U4630" s="3" t="s">
        <v>6251</v>
      </c>
      <c r="V4630" s="41" t="str">
        <f>HYPERLINK("http://ictvonline.org/taxonomy/p/taxonomy-history?taxnode_id=20185988","ICTVonline=20185988")</f>
        <v>ICTVonline=20185988</v>
      </c>
    </row>
    <row r="4631" spans="1:22">
      <c r="A4631" s="3">
        <v>4630</v>
      </c>
      <c r="L4631" s="1" t="s">
        <v>6248</v>
      </c>
      <c r="N4631" s="1" t="s">
        <v>6270</v>
      </c>
      <c r="P4631" s="1" t="s">
        <v>6295</v>
      </c>
      <c r="Q4631" s="3">
        <v>0</v>
      </c>
      <c r="R4631" s="22" t="s">
        <v>2767</v>
      </c>
      <c r="S4631" s="22" t="s">
        <v>5097</v>
      </c>
      <c r="T4631" s="51">
        <v>32</v>
      </c>
      <c r="U4631" s="3" t="s">
        <v>6251</v>
      </c>
      <c r="V4631" s="41" t="str">
        <f>HYPERLINK("http://ictvonline.org/taxonomy/p/taxonomy-history?taxnode_id=20185989","ICTVonline=20185989")</f>
        <v>ICTVonline=20185989</v>
      </c>
    </row>
    <row r="4632" spans="1:22">
      <c r="A4632" s="3">
        <v>4631</v>
      </c>
      <c r="L4632" s="1" t="s">
        <v>6248</v>
      </c>
      <c r="N4632" s="1" t="s">
        <v>6270</v>
      </c>
      <c r="P4632" s="1" t="s">
        <v>6296</v>
      </c>
      <c r="Q4632" s="3">
        <v>0</v>
      </c>
      <c r="R4632" s="22" t="s">
        <v>2767</v>
      </c>
      <c r="S4632" s="22" t="s">
        <v>5097</v>
      </c>
      <c r="T4632" s="51">
        <v>32</v>
      </c>
      <c r="U4632" s="3" t="s">
        <v>6251</v>
      </c>
      <c r="V4632" s="41" t="str">
        <f>HYPERLINK("http://ictvonline.org/taxonomy/p/taxonomy-history?taxnode_id=20185990","ICTVonline=20185990")</f>
        <v>ICTVonline=20185990</v>
      </c>
    </row>
    <row r="4633" spans="1:22">
      <c r="A4633" s="3">
        <v>4632</v>
      </c>
      <c r="L4633" s="1" t="s">
        <v>6248</v>
      </c>
      <c r="N4633" s="1" t="s">
        <v>6270</v>
      </c>
      <c r="P4633" s="1" t="s">
        <v>6297</v>
      </c>
      <c r="Q4633" s="3">
        <v>0</v>
      </c>
      <c r="R4633" s="22" t="s">
        <v>2767</v>
      </c>
      <c r="S4633" s="22" t="s">
        <v>5097</v>
      </c>
      <c r="T4633" s="51">
        <v>32</v>
      </c>
      <c r="U4633" s="3" t="s">
        <v>6251</v>
      </c>
      <c r="V4633" s="41" t="str">
        <f>HYPERLINK("http://ictvonline.org/taxonomy/p/taxonomy-history?taxnode_id=20185991","ICTVonline=20185991")</f>
        <v>ICTVonline=20185991</v>
      </c>
    </row>
    <row r="4634" spans="1:22">
      <c r="A4634" s="3">
        <v>4633</v>
      </c>
      <c r="L4634" s="1" t="s">
        <v>6298</v>
      </c>
      <c r="N4634" s="1" t="s">
        <v>398</v>
      </c>
      <c r="P4634" s="1" t="s">
        <v>399</v>
      </c>
      <c r="Q4634" s="3">
        <v>1</v>
      </c>
      <c r="R4634" s="22" t="s">
        <v>2766</v>
      </c>
      <c r="S4634" s="22" t="s">
        <v>5097</v>
      </c>
      <c r="T4634" s="51">
        <v>32</v>
      </c>
      <c r="U4634" s="3" t="s">
        <v>6299</v>
      </c>
      <c r="V4634" s="41" t="str">
        <f>HYPERLINK("http://ictvonline.org/taxonomy/p/taxonomy-history?taxnode_id=20185362","ICTVonline=20185362")</f>
        <v>ICTVonline=20185362</v>
      </c>
    </row>
    <row r="4635" spans="1:22">
      <c r="A4635" s="3">
        <v>4634</v>
      </c>
      <c r="L4635" s="1" t="s">
        <v>6298</v>
      </c>
      <c r="N4635" s="1" t="s">
        <v>1011</v>
      </c>
      <c r="P4635" s="1" t="s">
        <v>4156</v>
      </c>
      <c r="Q4635" s="3">
        <v>0</v>
      </c>
      <c r="R4635" s="22" t="s">
        <v>2766</v>
      </c>
      <c r="S4635" s="22" t="s">
        <v>5097</v>
      </c>
      <c r="T4635" s="51">
        <v>32</v>
      </c>
      <c r="U4635" s="3" t="s">
        <v>6299</v>
      </c>
      <c r="V4635" s="41" t="str">
        <f>HYPERLINK("http://ictvonline.org/taxonomy/p/taxonomy-history?taxnode_id=20185371","ICTVonline=20185371")</f>
        <v>ICTVonline=20185371</v>
      </c>
    </row>
    <row r="4636" spans="1:22">
      <c r="A4636" s="3">
        <v>4635</v>
      </c>
      <c r="L4636" s="1" t="s">
        <v>6298</v>
      </c>
      <c r="N4636" s="1" t="s">
        <v>1011</v>
      </c>
      <c r="P4636" s="1" t="s">
        <v>1012</v>
      </c>
      <c r="Q4636" s="3">
        <v>0</v>
      </c>
      <c r="R4636" s="22" t="s">
        <v>2766</v>
      </c>
      <c r="S4636" s="22" t="s">
        <v>5097</v>
      </c>
      <c r="T4636" s="51">
        <v>32</v>
      </c>
      <c r="U4636" s="3" t="s">
        <v>6299</v>
      </c>
      <c r="V4636" s="41" t="str">
        <f>HYPERLINK("http://ictvonline.org/taxonomy/p/taxonomy-history?taxnode_id=20185372","ICTVonline=20185372")</f>
        <v>ICTVonline=20185372</v>
      </c>
    </row>
    <row r="4637" spans="1:22">
      <c r="A4637" s="3">
        <v>4636</v>
      </c>
      <c r="L4637" s="1" t="s">
        <v>6298</v>
      </c>
      <c r="N4637" s="1" t="s">
        <v>1011</v>
      </c>
      <c r="P4637" s="1" t="s">
        <v>1013</v>
      </c>
      <c r="Q4637" s="3">
        <v>0</v>
      </c>
      <c r="R4637" s="22" t="s">
        <v>2766</v>
      </c>
      <c r="S4637" s="22" t="s">
        <v>5097</v>
      </c>
      <c r="T4637" s="51">
        <v>32</v>
      </c>
      <c r="U4637" s="3" t="s">
        <v>6299</v>
      </c>
      <c r="V4637" s="41" t="str">
        <f>HYPERLINK("http://ictvonline.org/taxonomy/p/taxonomy-history?taxnode_id=20185373","ICTVonline=20185373")</f>
        <v>ICTVonline=20185373</v>
      </c>
    </row>
    <row r="4638" spans="1:22">
      <c r="A4638" s="3">
        <v>4637</v>
      </c>
      <c r="L4638" s="1" t="s">
        <v>6298</v>
      </c>
      <c r="N4638" s="1" t="s">
        <v>1011</v>
      </c>
      <c r="P4638" s="1" t="s">
        <v>4157</v>
      </c>
      <c r="Q4638" s="3">
        <v>0</v>
      </c>
      <c r="R4638" s="22" t="s">
        <v>2766</v>
      </c>
      <c r="S4638" s="22" t="s">
        <v>5097</v>
      </c>
      <c r="T4638" s="51">
        <v>32</v>
      </c>
      <c r="U4638" s="3" t="s">
        <v>6299</v>
      </c>
      <c r="V4638" s="41" t="str">
        <f>HYPERLINK("http://ictvonline.org/taxonomy/p/taxonomy-history?taxnode_id=20185374","ICTVonline=20185374")</f>
        <v>ICTVonline=20185374</v>
      </c>
    </row>
    <row r="4639" spans="1:22">
      <c r="A4639" s="3">
        <v>4638</v>
      </c>
      <c r="L4639" s="1" t="s">
        <v>6298</v>
      </c>
      <c r="N4639" s="1" t="s">
        <v>1011</v>
      </c>
      <c r="P4639" s="1" t="s">
        <v>215</v>
      </c>
      <c r="Q4639" s="3">
        <v>0</v>
      </c>
      <c r="R4639" s="22" t="s">
        <v>2766</v>
      </c>
      <c r="S4639" s="22" t="s">
        <v>5097</v>
      </c>
      <c r="T4639" s="51">
        <v>32</v>
      </c>
      <c r="U4639" s="3" t="s">
        <v>6299</v>
      </c>
      <c r="V4639" s="41" t="str">
        <f>HYPERLINK("http://ictvonline.org/taxonomy/p/taxonomy-history?taxnode_id=20185375","ICTVonline=20185375")</f>
        <v>ICTVonline=20185375</v>
      </c>
    </row>
    <row r="4640" spans="1:22">
      <c r="A4640" s="3">
        <v>4639</v>
      </c>
      <c r="L4640" s="1" t="s">
        <v>6298</v>
      </c>
      <c r="N4640" s="1" t="s">
        <v>1011</v>
      </c>
      <c r="P4640" s="1" t="s">
        <v>1014</v>
      </c>
      <c r="Q4640" s="3">
        <v>0</v>
      </c>
      <c r="R4640" s="22" t="s">
        <v>2766</v>
      </c>
      <c r="S4640" s="22" t="s">
        <v>5097</v>
      </c>
      <c r="T4640" s="51">
        <v>32</v>
      </c>
      <c r="U4640" s="3" t="s">
        <v>6299</v>
      </c>
      <c r="V4640" s="41" t="str">
        <f>HYPERLINK("http://ictvonline.org/taxonomy/p/taxonomy-history?taxnode_id=20185376","ICTVonline=20185376")</f>
        <v>ICTVonline=20185376</v>
      </c>
    </row>
    <row r="4641" spans="1:22">
      <c r="A4641" s="3">
        <v>4640</v>
      </c>
      <c r="L4641" s="1" t="s">
        <v>6298</v>
      </c>
      <c r="N4641" s="1" t="s">
        <v>1011</v>
      </c>
      <c r="P4641" s="1" t="s">
        <v>4158</v>
      </c>
      <c r="Q4641" s="3">
        <v>0</v>
      </c>
      <c r="R4641" s="22" t="s">
        <v>2766</v>
      </c>
      <c r="S4641" s="22" t="s">
        <v>5097</v>
      </c>
      <c r="T4641" s="51">
        <v>32</v>
      </c>
      <c r="U4641" s="3" t="s">
        <v>6299</v>
      </c>
      <c r="V4641" s="41" t="str">
        <f>HYPERLINK("http://ictvonline.org/taxonomy/p/taxonomy-history?taxnode_id=20185377","ICTVonline=20185377")</f>
        <v>ICTVonline=20185377</v>
      </c>
    </row>
    <row r="4642" spans="1:22">
      <c r="A4642" s="3">
        <v>4641</v>
      </c>
      <c r="L4642" s="1" t="s">
        <v>6298</v>
      </c>
      <c r="N4642" s="1" t="s">
        <v>1011</v>
      </c>
      <c r="P4642" s="1" t="s">
        <v>1015</v>
      </c>
      <c r="Q4642" s="3">
        <v>0</v>
      </c>
      <c r="R4642" s="22" t="s">
        <v>2766</v>
      </c>
      <c r="S4642" s="22" t="s">
        <v>5097</v>
      </c>
      <c r="T4642" s="51">
        <v>32</v>
      </c>
      <c r="U4642" s="3" t="s">
        <v>6299</v>
      </c>
      <c r="V4642" s="41" t="str">
        <f>HYPERLINK("http://ictvonline.org/taxonomy/p/taxonomy-history?taxnode_id=20185378","ICTVonline=20185378")</f>
        <v>ICTVonline=20185378</v>
      </c>
    </row>
    <row r="4643" spans="1:22">
      <c r="A4643" s="3">
        <v>4642</v>
      </c>
      <c r="L4643" s="1" t="s">
        <v>6298</v>
      </c>
      <c r="N4643" s="1" t="s">
        <v>1011</v>
      </c>
      <c r="P4643" s="1" t="s">
        <v>4159</v>
      </c>
      <c r="Q4643" s="3">
        <v>0</v>
      </c>
      <c r="R4643" s="22" t="s">
        <v>2766</v>
      </c>
      <c r="S4643" s="22" t="s">
        <v>5097</v>
      </c>
      <c r="T4643" s="51">
        <v>32</v>
      </c>
      <c r="U4643" s="3" t="s">
        <v>6299</v>
      </c>
      <c r="V4643" s="41" t="str">
        <f>HYPERLINK("http://ictvonline.org/taxonomy/p/taxonomy-history?taxnode_id=20185379","ICTVonline=20185379")</f>
        <v>ICTVonline=20185379</v>
      </c>
    </row>
    <row r="4644" spans="1:22">
      <c r="A4644" s="3">
        <v>4643</v>
      </c>
      <c r="L4644" s="1" t="s">
        <v>6298</v>
      </c>
      <c r="N4644" s="1" t="s">
        <v>1011</v>
      </c>
      <c r="P4644" s="1" t="s">
        <v>1016</v>
      </c>
      <c r="Q4644" s="3">
        <v>0</v>
      </c>
      <c r="R4644" s="22" t="s">
        <v>2766</v>
      </c>
      <c r="S4644" s="22" t="s">
        <v>5097</v>
      </c>
      <c r="T4644" s="51">
        <v>32</v>
      </c>
      <c r="U4644" s="3" t="s">
        <v>6299</v>
      </c>
      <c r="V4644" s="41" t="str">
        <f>HYPERLINK("http://ictvonline.org/taxonomy/p/taxonomy-history?taxnode_id=20185380","ICTVonline=20185380")</f>
        <v>ICTVonline=20185380</v>
      </c>
    </row>
    <row r="4645" spans="1:22">
      <c r="A4645" s="3">
        <v>4644</v>
      </c>
      <c r="L4645" s="1" t="s">
        <v>6298</v>
      </c>
      <c r="N4645" s="1" t="s">
        <v>1011</v>
      </c>
      <c r="P4645" s="1" t="s">
        <v>1419</v>
      </c>
      <c r="Q4645" s="3">
        <v>0</v>
      </c>
      <c r="R4645" s="22" t="s">
        <v>2766</v>
      </c>
      <c r="S4645" s="22" t="s">
        <v>5097</v>
      </c>
      <c r="T4645" s="51">
        <v>32</v>
      </c>
      <c r="U4645" s="3" t="s">
        <v>6299</v>
      </c>
      <c r="V4645" s="41" t="str">
        <f>HYPERLINK("http://ictvonline.org/taxonomy/p/taxonomy-history?taxnode_id=20185381","ICTVonline=20185381")</f>
        <v>ICTVonline=20185381</v>
      </c>
    </row>
    <row r="4646" spans="1:22">
      <c r="A4646" s="3">
        <v>4645</v>
      </c>
      <c r="L4646" s="1" t="s">
        <v>6298</v>
      </c>
      <c r="N4646" s="1" t="s">
        <v>1011</v>
      </c>
      <c r="P4646" s="1" t="s">
        <v>1420</v>
      </c>
      <c r="Q4646" s="3">
        <v>0</v>
      </c>
      <c r="R4646" s="22" t="s">
        <v>2766</v>
      </c>
      <c r="S4646" s="22" t="s">
        <v>5097</v>
      </c>
      <c r="T4646" s="51">
        <v>32</v>
      </c>
      <c r="U4646" s="3" t="s">
        <v>6299</v>
      </c>
      <c r="V4646" s="41" t="str">
        <f>HYPERLINK("http://ictvonline.org/taxonomy/p/taxonomy-history?taxnode_id=20185382","ICTVonline=20185382")</f>
        <v>ICTVonline=20185382</v>
      </c>
    </row>
    <row r="4647" spans="1:22">
      <c r="A4647" s="3">
        <v>4646</v>
      </c>
      <c r="L4647" s="1" t="s">
        <v>6298</v>
      </c>
      <c r="N4647" s="1" t="s">
        <v>1011</v>
      </c>
      <c r="P4647" s="1" t="s">
        <v>1421</v>
      </c>
      <c r="Q4647" s="3">
        <v>1</v>
      </c>
      <c r="R4647" s="22" t="s">
        <v>2766</v>
      </c>
      <c r="S4647" s="22" t="s">
        <v>5097</v>
      </c>
      <c r="T4647" s="51">
        <v>32</v>
      </c>
      <c r="U4647" s="3" t="s">
        <v>6299</v>
      </c>
      <c r="V4647" s="41" t="str">
        <f>HYPERLINK("http://ictvonline.org/taxonomy/p/taxonomy-history?taxnode_id=20185383","ICTVonline=20185383")</f>
        <v>ICTVonline=20185383</v>
      </c>
    </row>
    <row r="4648" spans="1:22">
      <c r="A4648" s="3">
        <v>4647</v>
      </c>
      <c r="L4648" s="1" t="s">
        <v>6298</v>
      </c>
      <c r="N4648" s="1" t="s">
        <v>1011</v>
      </c>
      <c r="P4648" s="1" t="s">
        <v>1422</v>
      </c>
      <c r="Q4648" s="3">
        <v>0</v>
      </c>
      <c r="R4648" s="22" t="s">
        <v>2766</v>
      </c>
      <c r="S4648" s="22" t="s">
        <v>5097</v>
      </c>
      <c r="T4648" s="51">
        <v>32</v>
      </c>
      <c r="U4648" s="3" t="s">
        <v>6299</v>
      </c>
      <c r="V4648" s="41" t="str">
        <f>HYPERLINK("http://ictvonline.org/taxonomy/p/taxonomy-history?taxnode_id=20185384","ICTVonline=20185384")</f>
        <v>ICTVonline=20185384</v>
      </c>
    </row>
    <row r="4649" spans="1:22">
      <c r="A4649" s="3">
        <v>4648</v>
      </c>
      <c r="L4649" s="1" t="s">
        <v>6298</v>
      </c>
      <c r="N4649" s="1" t="s">
        <v>1011</v>
      </c>
      <c r="P4649" s="1" t="s">
        <v>1086</v>
      </c>
      <c r="Q4649" s="3">
        <v>0</v>
      </c>
      <c r="R4649" s="22" t="s">
        <v>2766</v>
      </c>
      <c r="S4649" s="22" t="s">
        <v>5097</v>
      </c>
      <c r="T4649" s="51">
        <v>32</v>
      </c>
      <c r="U4649" s="3" t="s">
        <v>6299</v>
      </c>
      <c r="V4649" s="41" t="str">
        <f>HYPERLINK("http://ictvonline.org/taxonomy/p/taxonomy-history?taxnode_id=20185385","ICTVonline=20185385")</f>
        <v>ICTVonline=20185385</v>
      </c>
    </row>
    <row r="4650" spans="1:22">
      <c r="A4650" s="3">
        <v>4649</v>
      </c>
      <c r="L4650" s="1" t="s">
        <v>6298</v>
      </c>
      <c r="N4650" s="1" t="s">
        <v>1011</v>
      </c>
      <c r="P4650" s="1" t="s">
        <v>4160</v>
      </c>
      <c r="Q4650" s="3">
        <v>0</v>
      </c>
      <c r="R4650" s="22" t="s">
        <v>2766</v>
      </c>
      <c r="S4650" s="22" t="s">
        <v>5097</v>
      </c>
      <c r="T4650" s="51">
        <v>32</v>
      </c>
      <c r="U4650" s="3" t="s">
        <v>6299</v>
      </c>
      <c r="V4650" s="41" t="str">
        <f>HYPERLINK("http://ictvonline.org/taxonomy/p/taxonomy-history?taxnode_id=20185386","ICTVonline=20185386")</f>
        <v>ICTVonline=20185386</v>
      </c>
    </row>
    <row r="4651" spans="1:22">
      <c r="A4651" s="3">
        <v>4650</v>
      </c>
      <c r="L4651" s="1" t="s">
        <v>6298</v>
      </c>
      <c r="N4651" s="1" t="s">
        <v>1011</v>
      </c>
      <c r="P4651" s="1" t="s">
        <v>1087</v>
      </c>
      <c r="Q4651" s="3">
        <v>0</v>
      </c>
      <c r="R4651" s="22" t="s">
        <v>2766</v>
      </c>
      <c r="S4651" s="22" t="s">
        <v>5097</v>
      </c>
      <c r="T4651" s="51">
        <v>32</v>
      </c>
      <c r="U4651" s="3" t="s">
        <v>6299</v>
      </c>
      <c r="V4651" s="41" t="str">
        <f>HYPERLINK("http://ictvonline.org/taxonomy/p/taxonomy-history?taxnode_id=20185387","ICTVonline=20185387")</f>
        <v>ICTVonline=20185387</v>
      </c>
    </row>
    <row r="4652" spans="1:22">
      <c r="A4652" s="3">
        <v>4651</v>
      </c>
      <c r="L4652" s="1" t="s">
        <v>6298</v>
      </c>
      <c r="N4652" s="1" t="s">
        <v>1011</v>
      </c>
      <c r="P4652" s="1" t="s">
        <v>1088</v>
      </c>
      <c r="Q4652" s="3">
        <v>0</v>
      </c>
      <c r="R4652" s="22" t="s">
        <v>2766</v>
      </c>
      <c r="S4652" s="22" t="s">
        <v>5097</v>
      </c>
      <c r="T4652" s="51">
        <v>32</v>
      </c>
      <c r="U4652" s="3" t="s">
        <v>6299</v>
      </c>
      <c r="V4652" s="41" t="str">
        <f>HYPERLINK("http://ictvonline.org/taxonomy/p/taxonomy-history?taxnode_id=20185388","ICTVonline=20185388")</f>
        <v>ICTVonline=20185388</v>
      </c>
    </row>
    <row r="4653" spans="1:22">
      <c r="A4653" s="3">
        <v>4652</v>
      </c>
      <c r="L4653" s="1" t="s">
        <v>6298</v>
      </c>
      <c r="N4653" s="1" t="s">
        <v>1011</v>
      </c>
      <c r="P4653" s="1" t="s">
        <v>1089</v>
      </c>
      <c r="Q4653" s="3">
        <v>0</v>
      </c>
      <c r="R4653" s="22" t="s">
        <v>2766</v>
      </c>
      <c r="S4653" s="22" t="s">
        <v>5097</v>
      </c>
      <c r="T4653" s="51">
        <v>32</v>
      </c>
      <c r="U4653" s="3" t="s">
        <v>6299</v>
      </c>
      <c r="V4653" s="41" t="str">
        <f>HYPERLINK("http://ictvonline.org/taxonomy/p/taxonomy-history?taxnode_id=20185389","ICTVonline=20185389")</f>
        <v>ICTVonline=20185389</v>
      </c>
    </row>
    <row r="4654" spans="1:22">
      <c r="A4654" s="3">
        <v>4653</v>
      </c>
      <c r="L4654" s="1" t="s">
        <v>5005</v>
      </c>
      <c r="N4654" s="1" t="s">
        <v>5006</v>
      </c>
      <c r="P4654" s="1" t="s">
        <v>5007</v>
      </c>
      <c r="Q4654" s="3">
        <v>1</v>
      </c>
      <c r="R4654" s="22" t="s">
        <v>2766</v>
      </c>
      <c r="S4654" s="22" t="s">
        <v>5097</v>
      </c>
      <c r="T4654" s="51">
        <v>31</v>
      </c>
      <c r="U4654" s="3" t="s">
        <v>6300</v>
      </c>
      <c r="V4654" s="41" t="str">
        <f>HYPERLINK("http://ictvonline.org/taxonomy/p/taxonomy-history?taxnode_id=20185051","ICTVonline=20185051")</f>
        <v>ICTVonline=20185051</v>
      </c>
    </row>
    <row r="4655" spans="1:22">
      <c r="A4655" s="3">
        <v>4654</v>
      </c>
      <c r="L4655" s="1" t="s">
        <v>5005</v>
      </c>
      <c r="N4655" s="1" t="s">
        <v>5008</v>
      </c>
      <c r="P4655" s="1" t="s">
        <v>5009</v>
      </c>
      <c r="Q4655" s="3">
        <v>1</v>
      </c>
      <c r="R4655" s="22" t="s">
        <v>2766</v>
      </c>
      <c r="S4655" s="22" t="s">
        <v>5097</v>
      </c>
      <c r="T4655" s="51">
        <v>31</v>
      </c>
      <c r="U4655" s="3" t="s">
        <v>6300</v>
      </c>
      <c r="V4655" s="41" t="str">
        <f>HYPERLINK("http://ictvonline.org/taxonomy/p/taxonomy-history?taxnode_id=20185053","ICTVonline=20185053")</f>
        <v>ICTVonline=20185053</v>
      </c>
    </row>
    <row r="4656" spans="1:22">
      <c r="A4656" s="3">
        <v>4655</v>
      </c>
      <c r="L4656" s="1" t="s">
        <v>2748</v>
      </c>
      <c r="N4656" s="1" t="s">
        <v>2749</v>
      </c>
      <c r="P4656" s="1" t="s">
        <v>2750</v>
      </c>
      <c r="Q4656" s="3">
        <v>0</v>
      </c>
      <c r="R4656" s="22" t="s">
        <v>2764</v>
      </c>
      <c r="S4656" s="22" t="s">
        <v>5097</v>
      </c>
      <c r="T4656" s="51">
        <v>29</v>
      </c>
      <c r="U4656" s="3" t="s">
        <v>6301</v>
      </c>
      <c r="V4656" s="41" t="str">
        <f>HYPERLINK("http://ictvonline.org/taxonomy/p/taxonomy-history?taxnode_id=20185057","ICTVonline=20185057")</f>
        <v>ICTVonline=20185057</v>
      </c>
    </row>
    <row r="4657" spans="1:22">
      <c r="A4657" s="3">
        <v>4656</v>
      </c>
      <c r="L4657" s="1" t="s">
        <v>2748</v>
      </c>
      <c r="N4657" s="1" t="s">
        <v>2749</v>
      </c>
      <c r="P4657" s="1" t="s">
        <v>2761</v>
      </c>
      <c r="Q4657" s="3">
        <v>0</v>
      </c>
      <c r="R4657" s="22" t="s">
        <v>2764</v>
      </c>
      <c r="S4657" s="22" t="s">
        <v>5097</v>
      </c>
      <c r="T4657" s="51">
        <v>29</v>
      </c>
      <c r="U4657" s="3" t="s">
        <v>6301</v>
      </c>
      <c r="V4657" s="41" t="str">
        <f>HYPERLINK("http://ictvonline.org/taxonomy/p/taxonomy-history?taxnode_id=20185058","ICTVonline=20185058")</f>
        <v>ICTVonline=20185058</v>
      </c>
    </row>
    <row r="4658" spans="1:22">
      <c r="A4658" s="3">
        <v>4657</v>
      </c>
      <c r="L4658" s="1" t="s">
        <v>2748</v>
      </c>
      <c r="N4658" s="1" t="s">
        <v>2749</v>
      </c>
      <c r="P4658" s="1" t="s">
        <v>2762</v>
      </c>
      <c r="Q4658" s="3">
        <v>1</v>
      </c>
      <c r="R4658" s="22" t="s">
        <v>2764</v>
      </c>
      <c r="S4658" s="22" t="s">
        <v>5097</v>
      </c>
      <c r="T4658" s="51">
        <v>29</v>
      </c>
      <c r="U4658" s="3" t="s">
        <v>6301</v>
      </c>
      <c r="V4658" s="41" t="str">
        <f>HYPERLINK("http://ictvonline.org/taxonomy/p/taxonomy-history?taxnode_id=20185059","ICTVonline=20185059")</f>
        <v>ICTVonline=20185059</v>
      </c>
    </row>
    <row r="4659" spans="1:22">
      <c r="A4659" s="3">
        <v>4658</v>
      </c>
      <c r="L4659" s="1" t="s">
        <v>2748</v>
      </c>
      <c r="N4659" s="1" t="s">
        <v>2749</v>
      </c>
      <c r="P4659" s="1" t="s">
        <v>5010</v>
      </c>
      <c r="Q4659" s="3">
        <v>0</v>
      </c>
      <c r="R4659" s="22" t="s">
        <v>2764</v>
      </c>
      <c r="S4659" s="22" t="s">
        <v>5097</v>
      </c>
      <c r="T4659" s="51">
        <v>31</v>
      </c>
      <c r="U4659" s="3" t="s">
        <v>6302</v>
      </c>
      <c r="V4659" s="41" t="str">
        <f>HYPERLINK("http://ictvonline.org/taxonomy/p/taxonomy-history?taxnode_id=20185060","ICTVonline=20185060")</f>
        <v>ICTVonline=20185060</v>
      </c>
    </row>
    <row r="4660" spans="1:22">
      <c r="A4660" s="3">
        <v>4659</v>
      </c>
      <c r="L4660" s="1" t="s">
        <v>2748</v>
      </c>
      <c r="N4660" s="1" t="s">
        <v>2751</v>
      </c>
      <c r="P4660" s="1" t="s">
        <v>2763</v>
      </c>
      <c r="Q4660" s="3">
        <v>1</v>
      </c>
      <c r="R4660" s="22" t="s">
        <v>2764</v>
      </c>
      <c r="S4660" s="22" t="s">
        <v>5097</v>
      </c>
      <c r="T4660" s="51">
        <v>29</v>
      </c>
      <c r="U4660" s="3" t="s">
        <v>6301</v>
      </c>
      <c r="V4660" s="41" t="str">
        <f>HYPERLINK("http://ictvonline.org/taxonomy/p/taxonomy-history?taxnode_id=20185062","ICTVonline=20185062")</f>
        <v>ICTVonline=20185062</v>
      </c>
    </row>
    <row r="4661" spans="1:22">
      <c r="A4661" s="3">
        <v>4660</v>
      </c>
      <c r="L4661" s="1" t="s">
        <v>2748</v>
      </c>
      <c r="N4661" s="1" t="s">
        <v>2752</v>
      </c>
      <c r="P4661" s="1" t="s">
        <v>4134</v>
      </c>
      <c r="Q4661" s="3">
        <v>0</v>
      </c>
      <c r="R4661" s="22" t="s">
        <v>2764</v>
      </c>
      <c r="S4661" s="22" t="s">
        <v>5100</v>
      </c>
      <c r="T4661" s="51">
        <v>30</v>
      </c>
      <c r="U4661" s="3" t="s">
        <v>6301</v>
      </c>
      <c r="V4661" s="41" t="str">
        <f>HYPERLINK("http://ictvonline.org/taxonomy/p/taxonomy-history?taxnode_id=20185064","ICTVonline=20185064")</f>
        <v>ICTVonline=20185064</v>
      </c>
    </row>
    <row r="4662" spans="1:22">
      <c r="A4662" s="3">
        <v>4661</v>
      </c>
      <c r="L4662" s="1" t="s">
        <v>2748</v>
      </c>
      <c r="N4662" s="1" t="s">
        <v>2752</v>
      </c>
      <c r="P4662" s="1" t="s">
        <v>4135</v>
      </c>
      <c r="Q4662" s="3">
        <v>1</v>
      </c>
      <c r="R4662" s="22" t="s">
        <v>2764</v>
      </c>
      <c r="S4662" s="22" t="s">
        <v>5100</v>
      </c>
      <c r="T4662" s="51">
        <v>30</v>
      </c>
      <c r="U4662" s="3" t="s">
        <v>6301</v>
      </c>
      <c r="V4662" s="41" t="str">
        <f>HYPERLINK("http://ictvonline.org/taxonomy/p/taxonomy-history?taxnode_id=20185065","ICTVonline=20185065")</f>
        <v>ICTVonline=20185065</v>
      </c>
    </row>
    <row r="4663" spans="1:22">
      <c r="A4663" s="3">
        <v>4662</v>
      </c>
      <c r="L4663" s="1" t="s">
        <v>2620</v>
      </c>
      <c r="N4663" s="1" t="s">
        <v>2621</v>
      </c>
      <c r="P4663" s="1" t="s">
        <v>2622</v>
      </c>
      <c r="Q4663" s="3">
        <v>1</v>
      </c>
      <c r="R4663" s="22" t="s">
        <v>3952</v>
      </c>
      <c r="S4663" s="22" t="s">
        <v>5097</v>
      </c>
      <c r="T4663" s="51">
        <v>28</v>
      </c>
      <c r="U4663" s="3" t="s">
        <v>6303</v>
      </c>
      <c r="V4663" s="41" t="str">
        <f>HYPERLINK("http://ictvonline.org/taxonomy/p/taxonomy-history?taxnode_id=20185069","ICTVonline=20185069")</f>
        <v>ICTVonline=20185069</v>
      </c>
    </row>
    <row r="4664" spans="1:22">
      <c r="A4664" s="3">
        <v>4663</v>
      </c>
      <c r="L4664" s="1" t="s">
        <v>1596</v>
      </c>
      <c r="N4664" s="1" t="s">
        <v>6304</v>
      </c>
      <c r="P4664" s="1" t="s">
        <v>6305</v>
      </c>
      <c r="Q4664" s="3">
        <v>0</v>
      </c>
      <c r="R4664" s="22" t="s">
        <v>2764</v>
      </c>
      <c r="S4664" s="22" t="s">
        <v>5097</v>
      </c>
      <c r="T4664" s="51">
        <v>32</v>
      </c>
      <c r="U4664" s="3" t="s">
        <v>6306</v>
      </c>
      <c r="V4664" s="41" t="str">
        <f>HYPERLINK("http://ictvonline.org/taxonomy/p/taxonomy-history?taxnode_id=20185994","ICTVonline=20185994")</f>
        <v>ICTVonline=20185994</v>
      </c>
    </row>
    <row r="4665" spans="1:22">
      <c r="A4665" s="3">
        <v>4664</v>
      </c>
      <c r="L4665" s="1" t="s">
        <v>1596</v>
      </c>
      <c r="N4665" s="1" t="s">
        <v>6304</v>
      </c>
      <c r="P4665" s="1" t="s">
        <v>6307</v>
      </c>
      <c r="Q4665" s="3">
        <v>1</v>
      </c>
      <c r="R4665" s="22" t="s">
        <v>2764</v>
      </c>
      <c r="S4665" s="22" t="s">
        <v>6706</v>
      </c>
      <c r="T4665" s="51">
        <v>32</v>
      </c>
      <c r="U4665" s="3" t="s">
        <v>6306</v>
      </c>
      <c r="V4665" s="41" t="str">
        <f>HYPERLINK("http://ictvonline.org/taxonomy/p/taxonomy-history?taxnode_id=20185076","ICTVonline=20185076")</f>
        <v>ICTVonline=20185076</v>
      </c>
    </row>
    <row r="4666" spans="1:22">
      <c r="A4666" s="3">
        <v>4665</v>
      </c>
      <c r="L4666" s="1" t="s">
        <v>1596</v>
      </c>
      <c r="N4666" s="1" t="s">
        <v>6308</v>
      </c>
      <c r="P4666" s="1" t="s">
        <v>4136</v>
      </c>
      <c r="Q4666" s="3">
        <v>0</v>
      </c>
      <c r="R4666" s="22" t="s">
        <v>2764</v>
      </c>
      <c r="S4666" s="22" t="s">
        <v>6706</v>
      </c>
      <c r="T4666" s="51">
        <v>32</v>
      </c>
      <c r="U4666" s="3" t="s">
        <v>6306</v>
      </c>
      <c r="V4666" s="41" t="str">
        <f>HYPERLINK("http://ictvonline.org/taxonomy/p/taxonomy-history?taxnode_id=20185074","ICTVonline=20185074")</f>
        <v>ICTVonline=20185074</v>
      </c>
    </row>
    <row r="4667" spans="1:22">
      <c r="A4667" s="3">
        <v>4666</v>
      </c>
      <c r="L4667" s="1" t="s">
        <v>1596</v>
      </c>
      <c r="N4667" s="1" t="s">
        <v>6308</v>
      </c>
      <c r="P4667" s="1" t="s">
        <v>4137</v>
      </c>
      <c r="Q4667" s="3">
        <v>1</v>
      </c>
      <c r="R4667" s="22" t="s">
        <v>2764</v>
      </c>
      <c r="S4667" s="22" t="s">
        <v>6706</v>
      </c>
      <c r="T4667" s="51">
        <v>32</v>
      </c>
      <c r="U4667" s="3" t="s">
        <v>6306</v>
      </c>
      <c r="V4667" s="41" t="str">
        <f>HYPERLINK("http://ictvonline.org/taxonomy/p/taxonomy-history?taxnode_id=20185075","ICTVonline=20185075")</f>
        <v>ICTVonline=20185075</v>
      </c>
    </row>
    <row r="4668" spans="1:22">
      <c r="A4668" s="3">
        <v>4667</v>
      </c>
      <c r="L4668" s="1" t="s">
        <v>1596</v>
      </c>
      <c r="N4668" s="1" t="s">
        <v>6308</v>
      </c>
      <c r="P4668" s="1" t="s">
        <v>6309</v>
      </c>
      <c r="Q4668" s="3">
        <v>0</v>
      </c>
      <c r="R4668" s="22" t="s">
        <v>2764</v>
      </c>
      <c r="S4668" s="22" t="s">
        <v>5097</v>
      </c>
      <c r="T4668" s="51">
        <v>32</v>
      </c>
      <c r="U4668" s="3" t="s">
        <v>6306</v>
      </c>
      <c r="V4668" s="41" t="str">
        <f>HYPERLINK("http://ictvonline.org/taxonomy/p/taxonomy-history?taxnode_id=20185995","ICTVonline=20185995")</f>
        <v>ICTVonline=20185995</v>
      </c>
    </row>
    <row r="4669" spans="1:22">
      <c r="A4669" s="3">
        <v>4668</v>
      </c>
      <c r="L4669" s="1" t="s">
        <v>1596</v>
      </c>
      <c r="N4669" s="1" t="s">
        <v>6308</v>
      </c>
      <c r="P4669" s="1" t="s">
        <v>6310</v>
      </c>
      <c r="Q4669" s="3">
        <v>0</v>
      </c>
      <c r="R4669" s="22" t="s">
        <v>2764</v>
      </c>
      <c r="S4669" s="22" t="s">
        <v>5097</v>
      </c>
      <c r="T4669" s="51">
        <v>32</v>
      </c>
      <c r="U4669" s="3" t="s">
        <v>6306</v>
      </c>
      <c r="V4669" s="41" t="str">
        <f>HYPERLINK("http://ictvonline.org/taxonomy/p/taxonomy-history?taxnode_id=20185996","ICTVonline=20185996")</f>
        <v>ICTVonline=20185996</v>
      </c>
    </row>
    <row r="4670" spans="1:22">
      <c r="A4670" s="3">
        <v>4669</v>
      </c>
      <c r="L4670" s="1" t="s">
        <v>848</v>
      </c>
      <c r="N4670" s="1" t="s">
        <v>849</v>
      </c>
      <c r="P4670" s="1" t="s">
        <v>850</v>
      </c>
      <c r="Q4670" s="3">
        <v>0</v>
      </c>
      <c r="R4670" s="22" t="s">
        <v>2766</v>
      </c>
      <c r="S4670" s="22" t="s">
        <v>5099</v>
      </c>
      <c r="T4670" s="51">
        <v>2</v>
      </c>
      <c r="U4670" s="3" t="s">
        <v>6311</v>
      </c>
      <c r="V4670" s="41" t="str">
        <f>HYPERLINK("http://ictvonline.org/taxonomy/p/taxonomy-history?taxnode_id=20185083","ICTVonline=20185083")</f>
        <v>ICTVonline=20185083</v>
      </c>
    </row>
    <row r="4671" spans="1:22">
      <c r="A4671" s="3">
        <v>4670</v>
      </c>
      <c r="L4671" s="1" t="s">
        <v>848</v>
      </c>
      <c r="N4671" s="1" t="s">
        <v>849</v>
      </c>
      <c r="P4671" s="1" t="s">
        <v>851</v>
      </c>
      <c r="Q4671" s="3">
        <v>0</v>
      </c>
      <c r="R4671" s="22" t="s">
        <v>2766</v>
      </c>
      <c r="S4671" s="22" t="s">
        <v>5099</v>
      </c>
      <c r="T4671" s="51">
        <v>12</v>
      </c>
      <c r="U4671" s="3" t="s">
        <v>5932</v>
      </c>
      <c r="V4671" s="41" t="str">
        <f>HYPERLINK("http://ictvonline.org/taxonomy/p/taxonomy-history?taxnode_id=20185084","ICTVonline=20185084")</f>
        <v>ICTVonline=20185084</v>
      </c>
    </row>
    <row r="4672" spans="1:22">
      <c r="A4672" s="3">
        <v>4671</v>
      </c>
      <c r="L4672" s="1" t="s">
        <v>848</v>
      </c>
      <c r="N4672" s="1" t="s">
        <v>849</v>
      </c>
      <c r="P4672" s="1" t="s">
        <v>852</v>
      </c>
      <c r="Q4672" s="3">
        <v>0</v>
      </c>
      <c r="R4672" s="22" t="s">
        <v>2766</v>
      </c>
      <c r="S4672" s="22" t="s">
        <v>5097</v>
      </c>
      <c r="T4672" s="51">
        <v>4</v>
      </c>
      <c r="U4672" s="3" t="s">
        <v>6312</v>
      </c>
      <c r="V4672" s="41" t="str">
        <f>HYPERLINK("http://ictvonline.org/taxonomy/p/taxonomy-history?taxnode_id=20185085","ICTVonline=20185085")</f>
        <v>ICTVonline=20185085</v>
      </c>
    </row>
    <row r="4673" spans="1:22">
      <c r="A4673" s="3">
        <v>4672</v>
      </c>
      <c r="L4673" s="1" t="s">
        <v>848</v>
      </c>
      <c r="N4673" s="1" t="s">
        <v>849</v>
      </c>
      <c r="P4673" s="1" t="s">
        <v>853</v>
      </c>
      <c r="Q4673" s="3">
        <v>0</v>
      </c>
      <c r="R4673" s="22" t="s">
        <v>2766</v>
      </c>
      <c r="S4673" s="22" t="s">
        <v>5097</v>
      </c>
      <c r="T4673" s="51">
        <v>18</v>
      </c>
      <c r="U4673" s="3" t="s">
        <v>5486</v>
      </c>
      <c r="V4673" s="41" t="str">
        <f>HYPERLINK("http://ictvonline.org/taxonomy/p/taxonomy-history?taxnode_id=20185086","ICTVonline=20185086")</f>
        <v>ICTVonline=20185086</v>
      </c>
    </row>
    <row r="4674" spans="1:22">
      <c r="A4674" s="3">
        <v>4673</v>
      </c>
      <c r="L4674" s="1" t="s">
        <v>848</v>
      </c>
      <c r="N4674" s="1" t="s">
        <v>849</v>
      </c>
      <c r="P4674" s="1" t="s">
        <v>854</v>
      </c>
      <c r="Q4674" s="3">
        <v>0</v>
      </c>
      <c r="R4674" s="22" t="s">
        <v>2766</v>
      </c>
      <c r="S4674" s="22" t="s">
        <v>5099</v>
      </c>
      <c r="T4674" s="51">
        <v>2</v>
      </c>
      <c r="U4674" s="3" t="s">
        <v>6311</v>
      </c>
      <c r="V4674" s="41" t="str">
        <f>HYPERLINK("http://ictvonline.org/taxonomy/p/taxonomy-history?taxnode_id=20185087","ICTVonline=20185087")</f>
        <v>ICTVonline=20185087</v>
      </c>
    </row>
    <row r="4675" spans="1:22">
      <c r="A4675" s="3">
        <v>4674</v>
      </c>
      <c r="L4675" s="1" t="s">
        <v>848</v>
      </c>
      <c r="N4675" s="1" t="s">
        <v>849</v>
      </c>
      <c r="P4675" s="1" t="s">
        <v>855</v>
      </c>
      <c r="Q4675" s="3">
        <v>0</v>
      </c>
      <c r="R4675" s="22" t="s">
        <v>2766</v>
      </c>
      <c r="S4675" s="22" t="s">
        <v>5099</v>
      </c>
      <c r="T4675" s="51">
        <v>2</v>
      </c>
      <c r="U4675" s="3" t="s">
        <v>6311</v>
      </c>
      <c r="V4675" s="41" t="str">
        <f>HYPERLINK("http://ictvonline.org/taxonomy/p/taxonomy-history?taxnode_id=20185088","ICTVonline=20185088")</f>
        <v>ICTVonline=20185088</v>
      </c>
    </row>
    <row r="4676" spans="1:22">
      <c r="A4676" s="3">
        <v>4675</v>
      </c>
      <c r="L4676" s="1" t="s">
        <v>848</v>
      </c>
      <c r="N4676" s="1" t="s">
        <v>849</v>
      </c>
      <c r="P4676" s="1" t="s">
        <v>2623</v>
      </c>
      <c r="Q4676" s="3">
        <v>0</v>
      </c>
      <c r="R4676" s="22" t="s">
        <v>2766</v>
      </c>
      <c r="S4676" s="22" t="s">
        <v>5097</v>
      </c>
      <c r="T4676" s="51">
        <v>28</v>
      </c>
      <c r="U4676" s="3" t="s">
        <v>6313</v>
      </c>
      <c r="V4676" s="41" t="str">
        <f>HYPERLINK("http://ictvonline.org/taxonomy/p/taxonomy-history?taxnode_id=20185089","ICTVonline=20185089")</f>
        <v>ICTVonline=20185089</v>
      </c>
    </row>
    <row r="4677" spans="1:22">
      <c r="A4677" s="3">
        <v>4676</v>
      </c>
      <c r="L4677" s="1" t="s">
        <v>848</v>
      </c>
      <c r="N4677" s="1" t="s">
        <v>849</v>
      </c>
      <c r="P4677" s="1" t="s">
        <v>856</v>
      </c>
      <c r="Q4677" s="3">
        <v>0</v>
      </c>
      <c r="R4677" s="22" t="s">
        <v>2766</v>
      </c>
      <c r="S4677" s="22" t="s">
        <v>5097</v>
      </c>
      <c r="T4677" s="51">
        <v>4</v>
      </c>
      <c r="U4677" s="3" t="s">
        <v>6312</v>
      </c>
      <c r="V4677" s="41" t="str">
        <f>HYPERLINK("http://ictvonline.org/taxonomy/p/taxonomy-history?taxnode_id=20185090","ICTVonline=20185090")</f>
        <v>ICTVonline=20185090</v>
      </c>
    </row>
    <row r="4678" spans="1:22">
      <c r="A4678" s="3">
        <v>4677</v>
      </c>
      <c r="L4678" s="1" t="s">
        <v>848</v>
      </c>
      <c r="N4678" s="1" t="s">
        <v>849</v>
      </c>
      <c r="P4678" s="1" t="s">
        <v>857</v>
      </c>
      <c r="Q4678" s="3">
        <v>0</v>
      </c>
      <c r="R4678" s="22" t="s">
        <v>2766</v>
      </c>
      <c r="S4678" s="22" t="s">
        <v>5105</v>
      </c>
      <c r="T4678" s="51">
        <v>18</v>
      </c>
      <c r="U4678" s="3" t="s">
        <v>5486</v>
      </c>
      <c r="V4678" s="41" t="str">
        <f>HYPERLINK("http://ictvonline.org/taxonomy/p/taxonomy-history?taxnode_id=20185091","ICTVonline=20185091")</f>
        <v>ICTVonline=20185091</v>
      </c>
    </row>
    <row r="4679" spans="1:22">
      <c r="A4679" s="3">
        <v>4678</v>
      </c>
      <c r="L4679" s="1" t="s">
        <v>848</v>
      </c>
      <c r="N4679" s="1" t="s">
        <v>849</v>
      </c>
      <c r="P4679" s="1" t="s">
        <v>858</v>
      </c>
      <c r="Q4679" s="3">
        <v>0</v>
      </c>
      <c r="R4679" s="22" t="s">
        <v>2766</v>
      </c>
      <c r="S4679" s="22" t="s">
        <v>5099</v>
      </c>
      <c r="T4679" s="51">
        <v>2</v>
      </c>
      <c r="U4679" s="3" t="s">
        <v>6311</v>
      </c>
      <c r="V4679" s="41" t="str">
        <f>HYPERLINK("http://ictvonline.org/taxonomy/p/taxonomy-history?taxnode_id=20185092","ICTVonline=20185092")</f>
        <v>ICTVonline=20185092</v>
      </c>
    </row>
    <row r="4680" spans="1:22">
      <c r="A4680" s="3">
        <v>4679</v>
      </c>
      <c r="L4680" s="1" t="s">
        <v>848</v>
      </c>
      <c r="N4680" s="1" t="s">
        <v>849</v>
      </c>
      <c r="P4680" s="1" t="s">
        <v>859</v>
      </c>
      <c r="Q4680" s="3">
        <v>0</v>
      </c>
      <c r="R4680" s="22" t="s">
        <v>2766</v>
      </c>
      <c r="S4680" s="22" t="s">
        <v>5097</v>
      </c>
      <c r="T4680" s="51">
        <v>12</v>
      </c>
      <c r="U4680" s="3" t="s">
        <v>5932</v>
      </c>
      <c r="V4680" s="41" t="str">
        <f>HYPERLINK("http://ictvonline.org/taxonomy/p/taxonomy-history?taxnode_id=20185093","ICTVonline=20185093")</f>
        <v>ICTVonline=20185093</v>
      </c>
    </row>
    <row r="4681" spans="1:22">
      <c r="A4681" s="3">
        <v>4680</v>
      </c>
      <c r="L4681" s="1" t="s">
        <v>848</v>
      </c>
      <c r="N4681" s="1" t="s">
        <v>849</v>
      </c>
      <c r="P4681" s="1" t="s">
        <v>2287</v>
      </c>
      <c r="Q4681" s="3">
        <v>0</v>
      </c>
      <c r="R4681" s="22" t="s">
        <v>2766</v>
      </c>
      <c r="S4681" s="22" t="s">
        <v>5097</v>
      </c>
      <c r="T4681" s="51">
        <v>27</v>
      </c>
      <c r="U4681" s="3" t="s">
        <v>6314</v>
      </c>
      <c r="V4681" s="41" t="str">
        <f>HYPERLINK("http://ictvonline.org/taxonomy/p/taxonomy-history?taxnode_id=20185094","ICTVonline=20185094")</f>
        <v>ICTVonline=20185094</v>
      </c>
    </row>
    <row r="4682" spans="1:22">
      <c r="A4682" s="3">
        <v>4681</v>
      </c>
      <c r="L4682" s="1" t="s">
        <v>848</v>
      </c>
      <c r="N4682" s="1" t="s">
        <v>849</v>
      </c>
      <c r="P4682" s="1" t="s">
        <v>860</v>
      </c>
      <c r="Q4682" s="3">
        <v>0</v>
      </c>
      <c r="R4682" s="22" t="s">
        <v>2766</v>
      </c>
      <c r="S4682" s="22" t="s">
        <v>5099</v>
      </c>
      <c r="T4682" s="51">
        <v>2</v>
      </c>
      <c r="U4682" s="3" t="s">
        <v>6311</v>
      </c>
      <c r="V4682" s="41" t="str">
        <f>HYPERLINK("http://ictvonline.org/taxonomy/p/taxonomy-history?taxnode_id=20185095","ICTVonline=20185095")</f>
        <v>ICTVonline=20185095</v>
      </c>
    </row>
    <row r="4683" spans="1:22">
      <c r="A4683" s="3">
        <v>4682</v>
      </c>
      <c r="L4683" s="1" t="s">
        <v>848</v>
      </c>
      <c r="N4683" s="1" t="s">
        <v>849</v>
      </c>
      <c r="P4683" s="1" t="s">
        <v>861</v>
      </c>
      <c r="Q4683" s="3">
        <v>0</v>
      </c>
      <c r="R4683" s="22" t="s">
        <v>2766</v>
      </c>
      <c r="S4683" s="22" t="s">
        <v>5100</v>
      </c>
      <c r="T4683" s="51">
        <v>6</v>
      </c>
      <c r="U4683" s="3" t="s">
        <v>6233</v>
      </c>
      <c r="V4683" s="41" t="str">
        <f>HYPERLINK("http://ictvonline.org/taxonomy/p/taxonomy-history?taxnode_id=20185096","ICTVonline=20185096")</f>
        <v>ICTVonline=20185096</v>
      </c>
    </row>
    <row r="4684" spans="1:22">
      <c r="A4684" s="3">
        <v>4683</v>
      </c>
      <c r="L4684" s="1" t="s">
        <v>848</v>
      </c>
      <c r="N4684" s="1" t="s">
        <v>849</v>
      </c>
      <c r="P4684" s="1" t="s">
        <v>2770</v>
      </c>
      <c r="Q4684" s="3">
        <v>0</v>
      </c>
      <c r="R4684" s="22" t="s">
        <v>2766</v>
      </c>
      <c r="S4684" s="22" t="s">
        <v>5097</v>
      </c>
      <c r="T4684" s="51">
        <v>23</v>
      </c>
      <c r="U4684" s="3" t="s">
        <v>5872</v>
      </c>
      <c r="V4684" s="41" t="str">
        <f>HYPERLINK("http://ictvonline.org/taxonomy/p/taxonomy-history?taxnode_id=20185097","ICTVonline=20185097")</f>
        <v>ICTVonline=20185097</v>
      </c>
    </row>
    <row r="4685" spans="1:22">
      <c r="A4685" s="3">
        <v>4684</v>
      </c>
      <c r="L4685" s="1" t="s">
        <v>848</v>
      </c>
      <c r="N4685" s="1" t="s">
        <v>849</v>
      </c>
      <c r="P4685" s="1" t="s">
        <v>862</v>
      </c>
      <c r="Q4685" s="3">
        <v>0</v>
      </c>
      <c r="R4685" s="22" t="s">
        <v>2766</v>
      </c>
      <c r="S4685" s="22" t="s">
        <v>5099</v>
      </c>
      <c r="T4685" s="51">
        <v>2</v>
      </c>
      <c r="U4685" s="3" t="s">
        <v>6311</v>
      </c>
      <c r="V4685" s="41" t="str">
        <f>HYPERLINK("http://ictvonline.org/taxonomy/p/taxonomy-history?taxnode_id=20185098","ICTVonline=20185098")</f>
        <v>ICTVonline=20185098</v>
      </c>
    </row>
    <row r="4686" spans="1:22">
      <c r="A4686" s="3">
        <v>4685</v>
      </c>
      <c r="L4686" s="1" t="s">
        <v>848</v>
      </c>
      <c r="N4686" s="1" t="s">
        <v>849</v>
      </c>
      <c r="P4686" s="1" t="s">
        <v>863</v>
      </c>
      <c r="Q4686" s="3">
        <v>0</v>
      </c>
      <c r="R4686" s="22" t="s">
        <v>2766</v>
      </c>
      <c r="S4686" s="22" t="s">
        <v>5097</v>
      </c>
      <c r="T4686" s="51">
        <v>4</v>
      </c>
      <c r="U4686" s="3" t="s">
        <v>6312</v>
      </c>
      <c r="V4686" s="41" t="str">
        <f>HYPERLINK("http://ictvonline.org/taxonomy/p/taxonomy-history?taxnode_id=20185099","ICTVonline=20185099")</f>
        <v>ICTVonline=20185099</v>
      </c>
    </row>
    <row r="4687" spans="1:22">
      <c r="A4687" s="3">
        <v>4686</v>
      </c>
      <c r="L4687" s="1" t="s">
        <v>848</v>
      </c>
      <c r="N4687" s="1" t="s">
        <v>849</v>
      </c>
      <c r="P4687" s="1" t="s">
        <v>6315</v>
      </c>
      <c r="Q4687" s="3">
        <v>0</v>
      </c>
      <c r="R4687" s="22" t="s">
        <v>2766</v>
      </c>
      <c r="S4687" s="22" t="s">
        <v>5099</v>
      </c>
      <c r="T4687" s="51">
        <v>2</v>
      </c>
      <c r="U4687" s="3" t="s">
        <v>6311</v>
      </c>
      <c r="V4687" s="41" t="str">
        <f>HYPERLINK("http://ictvonline.org/taxonomy/p/taxonomy-history?taxnode_id=20185100","ICTVonline=20185100")</f>
        <v>ICTVonline=20185100</v>
      </c>
    </row>
    <row r="4688" spans="1:22">
      <c r="A4688" s="3">
        <v>4687</v>
      </c>
      <c r="L4688" s="1" t="s">
        <v>848</v>
      </c>
      <c r="N4688" s="1" t="s">
        <v>849</v>
      </c>
      <c r="P4688" s="1" t="s">
        <v>864</v>
      </c>
      <c r="Q4688" s="3">
        <v>0</v>
      </c>
      <c r="R4688" s="22" t="s">
        <v>2766</v>
      </c>
      <c r="S4688" s="22" t="s">
        <v>5099</v>
      </c>
      <c r="T4688" s="51">
        <v>2</v>
      </c>
      <c r="U4688" s="3" t="s">
        <v>6311</v>
      </c>
      <c r="V4688" s="41" t="str">
        <f>HYPERLINK("http://ictvonline.org/taxonomy/p/taxonomy-history?taxnode_id=20185101","ICTVonline=20185101")</f>
        <v>ICTVonline=20185101</v>
      </c>
    </row>
    <row r="4689" spans="1:22">
      <c r="A4689" s="3">
        <v>4688</v>
      </c>
      <c r="L4689" s="1" t="s">
        <v>848</v>
      </c>
      <c r="N4689" s="1" t="s">
        <v>849</v>
      </c>
      <c r="P4689" s="1" t="s">
        <v>1323</v>
      </c>
      <c r="Q4689" s="3">
        <v>0</v>
      </c>
      <c r="R4689" s="22" t="s">
        <v>2766</v>
      </c>
      <c r="S4689" s="22" t="s">
        <v>5100</v>
      </c>
      <c r="T4689" s="51">
        <v>23</v>
      </c>
      <c r="U4689" s="3" t="s">
        <v>5872</v>
      </c>
      <c r="V4689" s="41" t="str">
        <f>HYPERLINK("http://ictvonline.org/taxonomy/p/taxonomy-history?taxnode_id=20185102","ICTVonline=20185102")</f>
        <v>ICTVonline=20185102</v>
      </c>
    </row>
    <row r="4690" spans="1:22">
      <c r="A4690" s="3">
        <v>4689</v>
      </c>
      <c r="L4690" s="1" t="s">
        <v>848</v>
      </c>
      <c r="N4690" s="1" t="s">
        <v>849</v>
      </c>
      <c r="P4690" s="1" t="s">
        <v>1324</v>
      </c>
      <c r="Q4690" s="3">
        <v>0</v>
      </c>
      <c r="R4690" s="22" t="s">
        <v>2766</v>
      </c>
      <c r="S4690" s="22" t="s">
        <v>5105</v>
      </c>
      <c r="T4690" s="51">
        <v>18</v>
      </c>
      <c r="U4690" s="3" t="s">
        <v>5486</v>
      </c>
      <c r="V4690" s="41" t="str">
        <f>HYPERLINK("http://ictvonline.org/taxonomy/p/taxonomy-history?taxnode_id=20185103","ICTVonline=20185103")</f>
        <v>ICTVonline=20185103</v>
      </c>
    </row>
    <row r="4691" spans="1:22">
      <c r="A4691" s="3">
        <v>4690</v>
      </c>
      <c r="L4691" s="1" t="s">
        <v>848</v>
      </c>
      <c r="N4691" s="1" t="s">
        <v>849</v>
      </c>
      <c r="P4691" s="1" t="s">
        <v>1325</v>
      </c>
      <c r="Q4691" s="3">
        <v>0</v>
      </c>
      <c r="R4691" s="22" t="s">
        <v>2766</v>
      </c>
      <c r="S4691" s="22" t="s">
        <v>5097</v>
      </c>
      <c r="T4691" s="51">
        <v>20</v>
      </c>
      <c r="U4691" s="3" t="s">
        <v>5490</v>
      </c>
      <c r="V4691" s="41" t="str">
        <f>HYPERLINK("http://ictvonline.org/taxonomy/p/taxonomy-history?taxnode_id=20185104","ICTVonline=20185104")</f>
        <v>ICTVonline=20185104</v>
      </c>
    </row>
    <row r="4692" spans="1:22">
      <c r="A4692" s="3">
        <v>4691</v>
      </c>
      <c r="L4692" s="1" t="s">
        <v>848</v>
      </c>
      <c r="N4692" s="1" t="s">
        <v>849</v>
      </c>
      <c r="P4692" s="1" t="s">
        <v>1326</v>
      </c>
      <c r="Q4692" s="3">
        <v>0</v>
      </c>
      <c r="R4692" s="22" t="s">
        <v>2766</v>
      </c>
      <c r="S4692" s="22" t="s">
        <v>5099</v>
      </c>
      <c r="T4692" s="51">
        <v>2</v>
      </c>
      <c r="U4692" s="3" t="s">
        <v>6311</v>
      </c>
      <c r="V4692" s="41" t="str">
        <f>HYPERLINK("http://ictvonline.org/taxonomy/p/taxonomy-history?taxnode_id=20185105","ICTVonline=20185105")</f>
        <v>ICTVonline=20185105</v>
      </c>
    </row>
    <row r="4693" spans="1:22">
      <c r="A4693" s="3">
        <v>4692</v>
      </c>
      <c r="L4693" s="1" t="s">
        <v>848</v>
      </c>
      <c r="N4693" s="1" t="s">
        <v>849</v>
      </c>
      <c r="P4693" s="1" t="s">
        <v>1327</v>
      </c>
      <c r="Q4693" s="3">
        <v>1</v>
      </c>
      <c r="R4693" s="22" t="s">
        <v>2766</v>
      </c>
      <c r="S4693" s="22" t="s">
        <v>5109</v>
      </c>
      <c r="T4693" s="51">
        <v>18</v>
      </c>
      <c r="U4693" s="3" t="s">
        <v>5486</v>
      </c>
      <c r="V4693" s="41" t="str">
        <f>HYPERLINK("http://ictvonline.org/taxonomy/p/taxonomy-history?taxnode_id=20185106","ICTVonline=20185106")</f>
        <v>ICTVonline=20185106</v>
      </c>
    </row>
    <row r="4694" spans="1:22">
      <c r="A4694" s="3">
        <v>4693</v>
      </c>
      <c r="L4694" s="1" t="s">
        <v>848</v>
      </c>
      <c r="N4694" s="1" t="s">
        <v>849</v>
      </c>
      <c r="P4694" s="1" t="s">
        <v>1328</v>
      </c>
      <c r="Q4694" s="3">
        <v>0</v>
      </c>
      <c r="R4694" s="22" t="s">
        <v>2766</v>
      </c>
      <c r="S4694" s="22" t="s">
        <v>5097</v>
      </c>
      <c r="T4694" s="51">
        <v>23</v>
      </c>
      <c r="U4694" s="3" t="s">
        <v>5872</v>
      </c>
      <c r="V4694" s="41" t="str">
        <f>HYPERLINK("http://ictvonline.org/taxonomy/p/taxonomy-history?taxnode_id=20185107","ICTVonline=20185107")</f>
        <v>ICTVonline=20185107</v>
      </c>
    </row>
    <row r="4695" spans="1:22">
      <c r="A4695" s="3">
        <v>4694</v>
      </c>
      <c r="L4695" s="1" t="s">
        <v>848</v>
      </c>
      <c r="N4695" s="1" t="s">
        <v>849</v>
      </c>
      <c r="P4695" s="1" t="s">
        <v>776</v>
      </c>
      <c r="Q4695" s="3">
        <v>0</v>
      </c>
      <c r="R4695" s="22" t="s">
        <v>2766</v>
      </c>
      <c r="S4695" s="22" t="s">
        <v>5097</v>
      </c>
      <c r="T4695" s="51">
        <v>23</v>
      </c>
      <c r="U4695" s="3" t="s">
        <v>5872</v>
      </c>
      <c r="V4695" s="41" t="str">
        <f>HYPERLINK("http://ictvonline.org/taxonomy/p/taxonomy-history?taxnode_id=20185108","ICTVonline=20185108")</f>
        <v>ICTVonline=20185108</v>
      </c>
    </row>
    <row r="4696" spans="1:22">
      <c r="A4696" s="3">
        <v>4695</v>
      </c>
      <c r="L4696" s="1" t="s">
        <v>848</v>
      </c>
      <c r="N4696" s="1" t="s">
        <v>849</v>
      </c>
      <c r="P4696" s="1" t="s">
        <v>777</v>
      </c>
      <c r="Q4696" s="3">
        <v>0</v>
      </c>
      <c r="R4696" s="22" t="s">
        <v>2766</v>
      </c>
      <c r="S4696" s="22" t="s">
        <v>5097</v>
      </c>
      <c r="T4696" s="51">
        <v>20</v>
      </c>
      <c r="U4696" s="3" t="s">
        <v>5490</v>
      </c>
      <c r="V4696" s="41" t="str">
        <f>HYPERLINK("http://ictvonline.org/taxonomy/p/taxonomy-history?taxnode_id=20185109","ICTVonline=20185109")</f>
        <v>ICTVonline=20185109</v>
      </c>
    </row>
    <row r="4697" spans="1:22">
      <c r="A4697" s="3">
        <v>4696</v>
      </c>
      <c r="L4697" s="1" t="s">
        <v>848</v>
      </c>
      <c r="N4697" s="1" t="s">
        <v>849</v>
      </c>
      <c r="P4697" s="1" t="s">
        <v>778</v>
      </c>
      <c r="Q4697" s="3">
        <v>0</v>
      </c>
      <c r="R4697" s="22" t="s">
        <v>2766</v>
      </c>
      <c r="S4697" s="22" t="s">
        <v>5099</v>
      </c>
      <c r="T4697" s="51">
        <v>2</v>
      </c>
      <c r="U4697" s="3" t="s">
        <v>6311</v>
      </c>
      <c r="V4697" s="41" t="str">
        <f>HYPERLINK("http://ictvonline.org/taxonomy/p/taxonomy-history?taxnode_id=20185110","ICTVonline=20185110")</f>
        <v>ICTVonline=20185110</v>
      </c>
    </row>
    <row r="4698" spans="1:22">
      <c r="A4698" s="3">
        <v>4697</v>
      </c>
      <c r="L4698" s="1" t="s">
        <v>848</v>
      </c>
      <c r="N4698" s="1" t="s">
        <v>849</v>
      </c>
      <c r="P4698" s="1" t="s">
        <v>1819</v>
      </c>
      <c r="Q4698" s="3">
        <v>0</v>
      </c>
      <c r="R4698" s="22" t="s">
        <v>2766</v>
      </c>
      <c r="S4698" s="22" t="s">
        <v>5099</v>
      </c>
      <c r="T4698" s="51">
        <v>2</v>
      </c>
      <c r="U4698" s="3" t="s">
        <v>6311</v>
      </c>
      <c r="V4698" s="41" t="str">
        <f>HYPERLINK("http://ictvonline.org/taxonomy/p/taxonomy-history?taxnode_id=20185111","ICTVonline=20185111")</f>
        <v>ICTVonline=20185111</v>
      </c>
    </row>
    <row r="4699" spans="1:22">
      <c r="A4699" s="3">
        <v>4698</v>
      </c>
      <c r="L4699" s="1" t="s">
        <v>848</v>
      </c>
      <c r="N4699" s="1" t="s">
        <v>849</v>
      </c>
      <c r="P4699" s="1" t="s">
        <v>1820</v>
      </c>
      <c r="Q4699" s="3">
        <v>0</v>
      </c>
      <c r="R4699" s="22" t="s">
        <v>2766</v>
      </c>
      <c r="S4699" s="22" t="s">
        <v>5099</v>
      </c>
      <c r="T4699" s="51">
        <v>2</v>
      </c>
      <c r="U4699" s="3" t="s">
        <v>6311</v>
      </c>
      <c r="V4699" s="41" t="str">
        <f>HYPERLINK("http://ictvonline.org/taxonomy/p/taxonomy-history?taxnode_id=20185112","ICTVonline=20185112")</f>
        <v>ICTVonline=20185112</v>
      </c>
    </row>
    <row r="4700" spans="1:22">
      <c r="A4700" s="3">
        <v>4699</v>
      </c>
      <c r="L4700" s="1" t="s">
        <v>848</v>
      </c>
      <c r="N4700" s="1" t="s">
        <v>849</v>
      </c>
      <c r="P4700" s="1" t="s">
        <v>1821</v>
      </c>
      <c r="Q4700" s="3">
        <v>0</v>
      </c>
      <c r="R4700" s="22" t="s">
        <v>2766</v>
      </c>
      <c r="S4700" s="22" t="s">
        <v>5099</v>
      </c>
      <c r="T4700" s="51">
        <v>2</v>
      </c>
      <c r="U4700" s="3" t="s">
        <v>6311</v>
      </c>
      <c r="V4700" s="41" t="str">
        <f>HYPERLINK("http://ictvonline.org/taxonomy/p/taxonomy-history?taxnode_id=20185113","ICTVonline=20185113")</f>
        <v>ICTVonline=20185113</v>
      </c>
    </row>
    <row r="4701" spans="1:22">
      <c r="A4701" s="3">
        <v>4700</v>
      </c>
      <c r="L4701" s="1" t="s">
        <v>848</v>
      </c>
      <c r="N4701" s="1" t="s">
        <v>1822</v>
      </c>
      <c r="P4701" s="1" t="s">
        <v>1823</v>
      </c>
      <c r="Q4701" s="3">
        <v>1</v>
      </c>
      <c r="R4701" s="22" t="s">
        <v>2766</v>
      </c>
      <c r="S4701" s="22" t="s">
        <v>5102</v>
      </c>
      <c r="T4701" s="51">
        <v>3</v>
      </c>
      <c r="U4701" s="3" t="s">
        <v>6316</v>
      </c>
      <c r="V4701" s="41" t="str">
        <f>HYPERLINK("http://ictvonline.org/taxonomy/p/taxonomy-history?taxnode_id=20185115","ICTVonline=20185115")</f>
        <v>ICTVonline=20185115</v>
      </c>
    </row>
    <row r="4702" spans="1:22">
      <c r="A4702" s="3">
        <v>4701</v>
      </c>
      <c r="L4702" s="1" t="s">
        <v>5011</v>
      </c>
      <c r="N4702" s="1" t="s">
        <v>5012</v>
      </c>
      <c r="P4702" s="1" t="s">
        <v>5013</v>
      </c>
      <c r="Q4702" s="3">
        <v>0</v>
      </c>
      <c r="R4702" s="22" t="s">
        <v>2767</v>
      </c>
      <c r="S4702" s="22" t="s">
        <v>5097</v>
      </c>
      <c r="T4702" s="51">
        <v>31</v>
      </c>
      <c r="U4702" s="3" t="s">
        <v>6317</v>
      </c>
      <c r="V4702" s="41" t="str">
        <f>HYPERLINK("http://ictvonline.org/taxonomy/p/taxonomy-history?taxnode_id=20185119","ICTVonline=20185119")</f>
        <v>ICTVonline=20185119</v>
      </c>
    </row>
    <row r="4703" spans="1:22">
      <c r="A4703" s="3">
        <v>4702</v>
      </c>
      <c r="L4703" s="1" t="s">
        <v>5011</v>
      </c>
      <c r="N4703" s="1" t="s">
        <v>5012</v>
      </c>
      <c r="P4703" s="1" t="s">
        <v>5014</v>
      </c>
      <c r="Q4703" s="3">
        <v>0</v>
      </c>
      <c r="R4703" s="22" t="s">
        <v>2767</v>
      </c>
      <c r="S4703" s="22" t="s">
        <v>5097</v>
      </c>
      <c r="T4703" s="51">
        <v>31</v>
      </c>
      <c r="U4703" s="3" t="s">
        <v>6317</v>
      </c>
      <c r="V4703" s="41" t="str">
        <f>HYPERLINK("http://ictvonline.org/taxonomy/p/taxonomy-history?taxnode_id=20185120","ICTVonline=20185120")</f>
        <v>ICTVonline=20185120</v>
      </c>
    </row>
    <row r="4704" spans="1:22">
      <c r="A4704" s="3">
        <v>4703</v>
      </c>
      <c r="L4704" s="1" t="s">
        <v>5011</v>
      </c>
      <c r="N4704" s="1" t="s">
        <v>5012</v>
      </c>
      <c r="P4704" s="1" t="s">
        <v>5015</v>
      </c>
      <c r="Q4704" s="3">
        <v>0</v>
      </c>
      <c r="R4704" s="22" t="s">
        <v>2767</v>
      </c>
      <c r="S4704" s="22" t="s">
        <v>5097</v>
      </c>
      <c r="T4704" s="51">
        <v>31</v>
      </c>
      <c r="U4704" s="3" t="s">
        <v>6317</v>
      </c>
      <c r="V4704" s="41" t="str">
        <f>HYPERLINK("http://ictvonline.org/taxonomy/p/taxonomy-history?taxnode_id=20185121","ICTVonline=20185121")</f>
        <v>ICTVonline=20185121</v>
      </c>
    </row>
    <row r="4705" spans="1:22">
      <c r="A4705" s="3">
        <v>4704</v>
      </c>
      <c r="L4705" s="1" t="s">
        <v>5011</v>
      </c>
      <c r="N4705" s="1" t="s">
        <v>5012</v>
      </c>
      <c r="P4705" s="1" t="s">
        <v>5016</v>
      </c>
      <c r="Q4705" s="3">
        <v>1</v>
      </c>
      <c r="R4705" s="22" t="s">
        <v>2767</v>
      </c>
      <c r="S4705" s="22" t="s">
        <v>5097</v>
      </c>
      <c r="T4705" s="51">
        <v>31</v>
      </c>
      <c r="U4705" s="3" t="s">
        <v>6317</v>
      </c>
      <c r="V4705" s="41" t="str">
        <f>HYPERLINK("http://ictvonline.org/taxonomy/p/taxonomy-history?taxnode_id=20185122","ICTVonline=20185122")</f>
        <v>ICTVonline=20185122</v>
      </c>
    </row>
    <row r="4706" spans="1:22">
      <c r="A4706" s="3">
        <v>4705</v>
      </c>
      <c r="L4706" s="1" t="s">
        <v>5011</v>
      </c>
      <c r="N4706" s="1" t="s">
        <v>5012</v>
      </c>
      <c r="P4706" s="1" t="s">
        <v>5017</v>
      </c>
      <c r="Q4706" s="3">
        <v>0</v>
      </c>
      <c r="R4706" s="22" t="s">
        <v>2767</v>
      </c>
      <c r="S4706" s="22" t="s">
        <v>5097</v>
      </c>
      <c r="T4706" s="51">
        <v>31</v>
      </c>
      <c r="U4706" s="3" t="s">
        <v>6317</v>
      </c>
      <c r="V4706" s="41" t="str">
        <f>HYPERLINK("http://ictvonline.org/taxonomy/p/taxonomy-history?taxnode_id=20185123","ICTVonline=20185123")</f>
        <v>ICTVonline=20185123</v>
      </c>
    </row>
    <row r="4707" spans="1:22">
      <c r="A4707" s="3">
        <v>4706</v>
      </c>
      <c r="L4707" s="1" t="s">
        <v>5011</v>
      </c>
      <c r="N4707" s="1" t="s">
        <v>5012</v>
      </c>
      <c r="P4707" s="1" t="s">
        <v>5018</v>
      </c>
      <c r="Q4707" s="3">
        <v>0</v>
      </c>
      <c r="R4707" s="22" t="s">
        <v>2767</v>
      </c>
      <c r="S4707" s="22" t="s">
        <v>5097</v>
      </c>
      <c r="T4707" s="51">
        <v>31</v>
      </c>
      <c r="U4707" s="3" t="s">
        <v>6317</v>
      </c>
      <c r="V4707" s="41" t="str">
        <f>HYPERLINK("http://ictvonline.org/taxonomy/p/taxonomy-history?taxnode_id=20185124","ICTVonline=20185124")</f>
        <v>ICTVonline=20185124</v>
      </c>
    </row>
    <row r="4708" spans="1:22">
      <c r="A4708" s="3">
        <v>4707</v>
      </c>
      <c r="L4708" s="1" t="s">
        <v>5011</v>
      </c>
      <c r="N4708" s="1" t="s">
        <v>5012</v>
      </c>
      <c r="P4708" s="1" t="s">
        <v>5019</v>
      </c>
      <c r="Q4708" s="3">
        <v>0</v>
      </c>
      <c r="R4708" s="22" t="s">
        <v>2767</v>
      </c>
      <c r="S4708" s="22" t="s">
        <v>5097</v>
      </c>
      <c r="T4708" s="51">
        <v>31</v>
      </c>
      <c r="U4708" s="3" t="s">
        <v>6317</v>
      </c>
      <c r="V4708" s="41" t="str">
        <f>HYPERLINK("http://ictvonline.org/taxonomy/p/taxonomy-history?taxnode_id=20185125","ICTVonline=20185125")</f>
        <v>ICTVonline=20185125</v>
      </c>
    </row>
    <row r="4709" spans="1:22">
      <c r="A4709" s="3">
        <v>4708</v>
      </c>
      <c r="L4709" s="1" t="s">
        <v>5011</v>
      </c>
      <c r="N4709" s="1" t="s">
        <v>5012</v>
      </c>
      <c r="P4709" s="1" t="s">
        <v>5020</v>
      </c>
      <c r="Q4709" s="3">
        <v>0</v>
      </c>
      <c r="R4709" s="22" t="s">
        <v>2767</v>
      </c>
      <c r="S4709" s="22" t="s">
        <v>5097</v>
      </c>
      <c r="T4709" s="51">
        <v>31</v>
      </c>
      <c r="U4709" s="3" t="s">
        <v>6317</v>
      </c>
      <c r="V4709" s="41" t="str">
        <f>HYPERLINK("http://ictvonline.org/taxonomy/p/taxonomy-history?taxnode_id=20185126","ICTVonline=20185126")</f>
        <v>ICTVonline=20185126</v>
      </c>
    </row>
    <row r="4710" spans="1:22">
      <c r="A4710" s="3">
        <v>4709</v>
      </c>
      <c r="L4710" s="1" t="s">
        <v>5011</v>
      </c>
      <c r="N4710" s="1" t="s">
        <v>5012</v>
      </c>
      <c r="P4710" s="1" t="s">
        <v>5021</v>
      </c>
      <c r="Q4710" s="3">
        <v>0</v>
      </c>
      <c r="R4710" s="22" t="s">
        <v>2767</v>
      </c>
      <c r="S4710" s="22" t="s">
        <v>5097</v>
      </c>
      <c r="T4710" s="51">
        <v>31</v>
      </c>
      <c r="U4710" s="3" t="s">
        <v>6317</v>
      </c>
      <c r="V4710" s="41" t="str">
        <f>HYPERLINK("http://ictvonline.org/taxonomy/p/taxonomy-history?taxnode_id=20185127","ICTVonline=20185127")</f>
        <v>ICTVonline=20185127</v>
      </c>
    </row>
    <row r="4711" spans="1:22">
      <c r="A4711" s="3">
        <v>4710</v>
      </c>
      <c r="L4711" s="1" t="s">
        <v>5011</v>
      </c>
      <c r="N4711" s="1" t="s">
        <v>5012</v>
      </c>
      <c r="P4711" s="1" t="s">
        <v>5022</v>
      </c>
      <c r="Q4711" s="3">
        <v>0</v>
      </c>
      <c r="R4711" s="22" t="s">
        <v>2767</v>
      </c>
      <c r="S4711" s="22" t="s">
        <v>5097</v>
      </c>
      <c r="T4711" s="51">
        <v>31</v>
      </c>
      <c r="U4711" s="3" t="s">
        <v>6317</v>
      </c>
      <c r="V4711" s="41" t="str">
        <f>HYPERLINK("http://ictvonline.org/taxonomy/p/taxonomy-history?taxnode_id=20185128","ICTVonline=20185128")</f>
        <v>ICTVonline=20185128</v>
      </c>
    </row>
    <row r="4712" spans="1:22">
      <c r="A4712" s="3">
        <v>4711</v>
      </c>
      <c r="L4712" s="1" t="s">
        <v>5011</v>
      </c>
      <c r="N4712" s="1" t="s">
        <v>5012</v>
      </c>
      <c r="P4712" s="1" t="s">
        <v>5023</v>
      </c>
      <c r="Q4712" s="3">
        <v>0</v>
      </c>
      <c r="R4712" s="22" t="s">
        <v>2767</v>
      </c>
      <c r="S4712" s="22" t="s">
        <v>5097</v>
      </c>
      <c r="T4712" s="51">
        <v>31</v>
      </c>
      <c r="U4712" s="3" t="s">
        <v>6317</v>
      </c>
      <c r="V4712" s="41" t="str">
        <f>HYPERLINK("http://ictvonline.org/taxonomy/p/taxonomy-history?taxnode_id=20185129","ICTVonline=20185129")</f>
        <v>ICTVonline=20185129</v>
      </c>
    </row>
    <row r="4713" spans="1:22">
      <c r="A4713" s="3">
        <v>4712</v>
      </c>
      <c r="L4713" s="1" t="s">
        <v>5011</v>
      </c>
      <c r="N4713" s="1" t="s">
        <v>5012</v>
      </c>
      <c r="P4713" s="1" t="s">
        <v>5024</v>
      </c>
      <c r="Q4713" s="3">
        <v>0</v>
      </c>
      <c r="R4713" s="22" t="s">
        <v>2767</v>
      </c>
      <c r="S4713" s="22" t="s">
        <v>5097</v>
      </c>
      <c r="T4713" s="51">
        <v>31</v>
      </c>
      <c r="U4713" s="3" t="s">
        <v>6317</v>
      </c>
      <c r="V4713" s="41" t="str">
        <f>HYPERLINK("http://ictvonline.org/taxonomy/p/taxonomy-history?taxnode_id=20185130","ICTVonline=20185130")</f>
        <v>ICTVonline=20185130</v>
      </c>
    </row>
    <row r="4714" spans="1:22">
      <c r="A4714" s="3">
        <v>4713</v>
      </c>
      <c r="L4714" s="1" t="s">
        <v>5011</v>
      </c>
      <c r="N4714" s="1" t="s">
        <v>5012</v>
      </c>
      <c r="P4714" s="1" t="s">
        <v>5025</v>
      </c>
      <c r="Q4714" s="3">
        <v>0</v>
      </c>
      <c r="R4714" s="22" t="s">
        <v>2767</v>
      </c>
      <c r="S4714" s="22" t="s">
        <v>5097</v>
      </c>
      <c r="T4714" s="51">
        <v>31</v>
      </c>
      <c r="U4714" s="3" t="s">
        <v>6317</v>
      </c>
      <c r="V4714" s="41" t="str">
        <f>HYPERLINK("http://ictvonline.org/taxonomy/p/taxonomy-history?taxnode_id=20185131","ICTVonline=20185131")</f>
        <v>ICTVonline=20185131</v>
      </c>
    </row>
    <row r="4715" spans="1:22">
      <c r="A4715" s="3">
        <v>4714</v>
      </c>
      <c r="L4715" s="1" t="s">
        <v>5011</v>
      </c>
      <c r="N4715" s="1" t="s">
        <v>5012</v>
      </c>
      <c r="P4715" s="1" t="s">
        <v>5026</v>
      </c>
      <c r="Q4715" s="3">
        <v>0</v>
      </c>
      <c r="R4715" s="22" t="s">
        <v>2767</v>
      </c>
      <c r="S4715" s="22" t="s">
        <v>5097</v>
      </c>
      <c r="T4715" s="51">
        <v>31</v>
      </c>
      <c r="U4715" s="3" t="s">
        <v>6317</v>
      </c>
      <c r="V4715" s="41" t="str">
        <f>HYPERLINK("http://ictvonline.org/taxonomy/p/taxonomy-history?taxnode_id=20185132","ICTVonline=20185132")</f>
        <v>ICTVonline=20185132</v>
      </c>
    </row>
    <row r="4716" spans="1:22">
      <c r="A4716" s="3">
        <v>4715</v>
      </c>
      <c r="L4716" s="1" t="s">
        <v>5011</v>
      </c>
      <c r="N4716" s="1" t="s">
        <v>5012</v>
      </c>
      <c r="P4716" s="1" t="s">
        <v>5027</v>
      </c>
      <c r="Q4716" s="3">
        <v>0</v>
      </c>
      <c r="R4716" s="22" t="s">
        <v>2767</v>
      </c>
      <c r="S4716" s="22" t="s">
        <v>5097</v>
      </c>
      <c r="T4716" s="51">
        <v>31</v>
      </c>
      <c r="U4716" s="3" t="s">
        <v>6317</v>
      </c>
      <c r="V4716" s="41" t="str">
        <f>HYPERLINK("http://ictvonline.org/taxonomy/p/taxonomy-history?taxnode_id=20185133","ICTVonline=20185133")</f>
        <v>ICTVonline=20185133</v>
      </c>
    </row>
    <row r="4717" spans="1:22">
      <c r="A4717" s="3">
        <v>4716</v>
      </c>
      <c r="L4717" s="1" t="s">
        <v>5011</v>
      </c>
      <c r="N4717" s="1" t="s">
        <v>5012</v>
      </c>
      <c r="P4717" s="1" t="s">
        <v>5028</v>
      </c>
      <c r="Q4717" s="3">
        <v>0</v>
      </c>
      <c r="R4717" s="22" t="s">
        <v>2767</v>
      </c>
      <c r="S4717" s="22" t="s">
        <v>5097</v>
      </c>
      <c r="T4717" s="51">
        <v>31</v>
      </c>
      <c r="U4717" s="3" t="s">
        <v>6317</v>
      </c>
      <c r="V4717" s="41" t="str">
        <f>HYPERLINK("http://ictvonline.org/taxonomy/p/taxonomy-history?taxnode_id=20185134","ICTVonline=20185134")</f>
        <v>ICTVonline=20185134</v>
      </c>
    </row>
    <row r="4718" spans="1:22">
      <c r="A4718" s="3">
        <v>4717</v>
      </c>
      <c r="L4718" s="1" t="s">
        <v>5011</v>
      </c>
      <c r="N4718" s="1" t="s">
        <v>5012</v>
      </c>
      <c r="P4718" s="1" t="s">
        <v>5029</v>
      </c>
      <c r="Q4718" s="3">
        <v>0</v>
      </c>
      <c r="R4718" s="22" t="s">
        <v>2767</v>
      </c>
      <c r="S4718" s="22" t="s">
        <v>5097</v>
      </c>
      <c r="T4718" s="51">
        <v>31</v>
      </c>
      <c r="U4718" s="3" t="s">
        <v>6317</v>
      </c>
      <c r="V4718" s="41" t="str">
        <f>HYPERLINK("http://ictvonline.org/taxonomy/p/taxonomy-history?taxnode_id=20185135","ICTVonline=20185135")</f>
        <v>ICTVonline=20185135</v>
      </c>
    </row>
    <row r="4719" spans="1:22">
      <c r="A4719" s="3">
        <v>4718</v>
      </c>
      <c r="L4719" s="1" t="s">
        <v>5011</v>
      </c>
      <c r="N4719" s="1" t="s">
        <v>5012</v>
      </c>
      <c r="P4719" s="1" t="s">
        <v>5030</v>
      </c>
      <c r="Q4719" s="3">
        <v>0</v>
      </c>
      <c r="R4719" s="22" t="s">
        <v>2767</v>
      </c>
      <c r="S4719" s="22" t="s">
        <v>5097</v>
      </c>
      <c r="T4719" s="51">
        <v>31</v>
      </c>
      <c r="U4719" s="3" t="s">
        <v>6317</v>
      </c>
      <c r="V4719" s="41" t="str">
        <f>HYPERLINK("http://ictvonline.org/taxonomy/p/taxonomy-history?taxnode_id=20185136","ICTVonline=20185136")</f>
        <v>ICTVonline=20185136</v>
      </c>
    </row>
    <row r="4720" spans="1:22">
      <c r="A4720" s="3">
        <v>4719</v>
      </c>
      <c r="L4720" s="1" t="s">
        <v>5011</v>
      </c>
      <c r="N4720" s="1" t="s">
        <v>5012</v>
      </c>
      <c r="P4720" s="1" t="s">
        <v>5031</v>
      </c>
      <c r="Q4720" s="3">
        <v>0</v>
      </c>
      <c r="R4720" s="22" t="s">
        <v>2767</v>
      </c>
      <c r="S4720" s="22" t="s">
        <v>5097</v>
      </c>
      <c r="T4720" s="51">
        <v>31</v>
      </c>
      <c r="U4720" s="3" t="s">
        <v>6317</v>
      </c>
      <c r="V4720" s="41" t="str">
        <f>HYPERLINK("http://ictvonline.org/taxonomy/p/taxonomy-history?taxnode_id=20185137","ICTVonline=20185137")</f>
        <v>ICTVonline=20185137</v>
      </c>
    </row>
    <row r="4721" spans="1:22">
      <c r="A4721" s="3">
        <v>4720</v>
      </c>
      <c r="L4721" s="1" t="s">
        <v>5011</v>
      </c>
      <c r="N4721" s="1" t="s">
        <v>5012</v>
      </c>
      <c r="P4721" s="1" t="s">
        <v>5032</v>
      </c>
      <c r="Q4721" s="3">
        <v>0</v>
      </c>
      <c r="R4721" s="22" t="s">
        <v>2767</v>
      </c>
      <c r="S4721" s="22" t="s">
        <v>5097</v>
      </c>
      <c r="T4721" s="51">
        <v>31</v>
      </c>
      <c r="U4721" s="3" t="s">
        <v>6317</v>
      </c>
      <c r="V4721" s="41" t="str">
        <f>HYPERLINK("http://ictvonline.org/taxonomy/p/taxonomy-history?taxnode_id=20185138","ICTVonline=20185138")</f>
        <v>ICTVonline=20185138</v>
      </c>
    </row>
    <row r="4722" spans="1:22">
      <c r="A4722" s="3">
        <v>4721</v>
      </c>
      <c r="L4722" s="1" t="s">
        <v>5011</v>
      </c>
      <c r="N4722" s="1" t="s">
        <v>5012</v>
      </c>
      <c r="P4722" s="1" t="s">
        <v>5033</v>
      </c>
      <c r="Q4722" s="3">
        <v>0</v>
      </c>
      <c r="R4722" s="22" t="s">
        <v>2767</v>
      </c>
      <c r="S4722" s="22" t="s">
        <v>5097</v>
      </c>
      <c r="T4722" s="51">
        <v>31</v>
      </c>
      <c r="U4722" s="3" t="s">
        <v>6317</v>
      </c>
      <c r="V4722" s="41" t="str">
        <f>HYPERLINK("http://ictvonline.org/taxonomy/p/taxonomy-history?taxnode_id=20185139","ICTVonline=20185139")</f>
        <v>ICTVonline=20185139</v>
      </c>
    </row>
    <row r="4723" spans="1:22">
      <c r="A4723" s="3">
        <v>4722</v>
      </c>
      <c r="L4723" s="1" t="s">
        <v>5011</v>
      </c>
      <c r="N4723" s="1" t="s">
        <v>5012</v>
      </c>
      <c r="P4723" s="1" t="s">
        <v>5034</v>
      </c>
      <c r="Q4723" s="3">
        <v>0</v>
      </c>
      <c r="R4723" s="22" t="s">
        <v>2767</v>
      </c>
      <c r="S4723" s="22" t="s">
        <v>5097</v>
      </c>
      <c r="T4723" s="51">
        <v>31</v>
      </c>
      <c r="U4723" s="3" t="s">
        <v>6317</v>
      </c>
      <c r="V4723" s="41" t="str">
        <f>HYPERLINK("http://ictvonline.org/taxonomy/p/taxonomy-history?taxnode_id=20185140","ICTVonline=20185140")</f>
        <v>ICTVonline=20185140</v>
      </c>
    </row>
    <row r="4724" spans="1:22">
      <c r="A4724" s="3">
        <v>4723</v>
      </c>
      <c r="L4724" s="1" t="s">
        <v>5011</v>
      </c>
      <c r="N4724" s="1" t="s">
        <v>5012</v>
      </c>
      <c r="P4724" s="1" t="s">
        <v>5035</v>
      </c>
      <c r="Q4724" s="3">
        <v>0</v>
      </c>
      <c r="R4724" s="22" t="s">
        <v>2767</v>
      </c>
      <c r="S4724" s="22" t="s">
        <v>5097</v>
      </c>
      <c r="T4724" s="51">
        <v>31</v>
      </c>
      <c r="U4724" s="3" t="s">
        <v>6317</v>
      </c>
      <c r="V4724" s="41" t="str">
        <f>HYPERLINK("http://ictvonline.org/taxonomy/p/taxonomy-history?taxnode_id=20185141","ICTVonline=20185141")</f>
        <v>ICTVonline=20185141</v>
      </c>
    </row>
    <row r="4725" spans="1:22">
      <c r="A4725" s="3">
        <v>4724</v>
      </c>
      <c r="L4725" s="1" t="s">
        <v>5011</v>
      </c>
      <c r="N4725" s="1" t="s">
        <v>5012</v>
      </c>
      <c r="P4725" s="1" t="s">
        <v>5036</v>
      </c>
      <c r="Q4725" s="3">
        <v>0</v>
      </c>
      <c r="R4725" s="22" t="s">
        <v>2767</v>
      </c>
      <c r="S4725" s="22" t="s">
        <v>5097</v>
      </c>
      <c r="T4725" s="51">
        <v>31</v>
      </c>
      <c r="U4725" s="3" t="s">
        <v>6317</v>
      </c>
      <c r="V4725" s="41" t="str">
        <f>HYPERLINK("http://ictvonline.org/taxonomy/p/taxonomy-history?taxnode_id=20185142","ICTVonline=20185142")</f>
        <v>ICTVonline=20185142</v>
      </c>
    </row>
    <row r="4726" spans="1:22">
      <c r="A4726" s="3">
        <v>4725</v>
      </c>
      <c r="L4726" s="1" t="s">
        <v>5011</v>
      </c>
      <c r="N4726" s="1" t="s">
        <v>5012</v>
      </c>
      <c r="P4726" s="1" t="s">
        <v>5037</v>
      </c>
      <c r="Q4726" s="3">
        <v>0</v>
      </c>
      <c r="R4726" s="22" t="s">
        <v>2767</v>
      </c>
      <c r="S4726" s="22" t="s">
        <v>5097</v>
      </c>
      <c r="T4726" s="51">
        <v>31</v>
      </c>
      <c r="U4726" s="3" t="s">
        <v>6317</v>
      </c>
      <c r="V4726" s="41" t="str">
        <f>HYPERLINK("http://ictvonline.org/taxonomy/p/taxonomy-history?taxnode_id=20185143","ICTVonline=20185143")</f>
        <v>ICTVonline=20185143</v>
      </c>
    </row>
    <row r="4727" spans="1:22">
      <c r="A4727" s="3">
        <v>4726</v>
      </c>
      <c r="L4727" s="1" t="s">
        <v>5011</v>
      </c>
      <c r="N4727" s="1" t="s">
        <v>5012</v>
      </c>
      <c r="P4727" s="1" t="s">
        <v>5038</v>
      </c>
      <c r="Q4727" s="3">
        <v>0</v>
      </c>
      <c r="R4727" s="22" t="s">
        <v>2767</v>
      </c>
      <c r="S4727" s="22" t="s">
        <v>5097</v>
      </c>
      <c r="T4727" s="51">
        <v>31</v>
      </c>
      <c r="U4727" s="3" t="s">
        <v>6317</v>
      </c>
      <c r="V4727" s="41" t="str">
        <f>HYPERLINK("http://ictvonline.org/taxonomy/p/taxonomy-history?taxnode_id=20185144","ICTVonline=20185144")</f>
        <v>ICTVonline=20185144</v>
      </c>
    </row>
    <row r="4728" spans="1:22">
      <c r="A4728" s="3">
        <v>4727</v>
      </c>
      <c r="L4728" s="1" t="s">
        <v>5011</v>
      </c>
      <c r="N4728" s="1" t="s">
        <v>5012</v>
      </c>
      <c r="P4728" s="1" t="s">
        <v>5039</v>
      </c>
      <c r="Q4728" s="3">
        <v>0</v>
      </c>
      <c r="R4728" s="22" t="s">
        <v>2767</v>
      </c>
      <c r="S4728" s="22" t="s">
        <v>5097</v>
      </c>
      <c r="T4728" s="51">
        <v>31</v>
      </c>
      <c r="U4728" s="3" t="s">
        <v>6317</v>
      </c>
      <c r="V4728" s="41" t="str">
        <f>HYPERLINK("http://ictvonline.org/taxonomy/p/taxonomy-history?taxnode_id=20185145","ICTVonline=20185145")</f>
        <v>ICTVonline=20185145</v>
      </c>
    </row>
    <row r="4729" spans="1:22">
      <c r="A4729" s="3">
        <v>4728</v>
      </c>
      <c r="L4729" s="1" t="s">
        <v>5011</v>
      </c>
      <c r="N4729" s="1" t="s">
        <v>5012</v>
      </c>
      <c r="P4729" s="1" t="s">
        <v>5040</v>
      </c>
      <c r="Q4729" s="3">
        <v>0</v>
      </c>
      <c r="R4729" s="22" t="s">
        <v>2767</v>
      </c>
      <c r="S4729" s="22" t="s">
        <v>5097</v>
      </c>
      <c r="T4729" s="51">
        <v>31</v>
      </c>
      <c r="U4729" s="3" t="s">
        <v>6317</v>
      </c>
      <c r="V4729" s="41" t="str">
        <f>HYPERLINK("http://ictvonline.org/taxonomy/p/taxonomy-history?taxnode_id=20185146","ICTVonline=20185146")</f>
        <v>ICTVonline=20185146</v>
      </c>
    </row>
    <row r="4730" spans="1:22">
      <c r="A4730" s="3">
        <v>4729</v>
      </c>
      <c r="L4730" s="1" t="s">
        <v>5011</v>
      </c>
      <c r="N4730" s="1" t="s">
        <v>5012</v>
      </c>
      <c r="P4730" s="1" t="s">
        <v>5041</v>
      </c>
      <c r="Q4730" s="3">
        <v>0</v>
      </c>
      <c r="R4730" s="22" t="s">
        <v>2767</v>
      </c>
      <c r="S4730" s="22" t="s">
        <v>5097</v>
      </c>
      <c r="T4730" s="51">
        <v>31</v>
      </c>
      <c r="U4730" s="3" t="s">
        <v>6317</v>
      </c>
      <c r="V4730" s="41" t="str">
        <f>HYPERLINK("http://ictvonline.org/taxonomy/p/taxonomy-history?taxnode_id=20185147","ICTVonline=20185147")</f>
        <v>ICTVonline=20185147</v>
      </c>
    </row>
    <row r="4731" spans="1:22">
      <c r="A4731" s="3">
        <v>4730</v>
      </c>
      <c r="L4731" s="1" t="s">
        <v>5011</v>
      </c>
      <c r="N4731" s="1" t="s">
        <v>5012</v>
      </c>
      <c r="P4731" s="1" t="s">
        <v>5042</v>
      </c>
      <c r="Q4731" s="3">
        <v>0</v>
      </c>
      <c r="R4731" s="22" t="s">
        <v>2767</v>
      </c>
      <c r="S4731" s="22" t="s">
        <v>5097</v>
      </c>
      <c r="T4731" s="51">
        <v>31</v>
      </c>
      <c r="U4731" s="3" t="s">
        <v>6317</v>
      </c>
      <c r="V4731" s="41" t="str">
        <f>HYPERLINK("http://ictvonline.org/taxonomy/p/taxonomy-history?taxnode_id=20185148","ICTVonline=20185148")</f>
        <v>ICTVonline=20185148</v>
      </c>
    </row>
    <row r="4732" spans="1:22">
      <c r="A4732" s="3">
        <v>4731</v>
      </c>
      <c r="L4732" s="1" t="s">
        <v>5011</v>
      </c>
      <c r="N4732" s="1" t="s">
        <v>5012</v>
      </c>
      <c r="P4732" s="1" t="s">
        <v>5043</v>
      </c>
      <c r="Q4732" s="3">
        <v>0</v>
      </c>
      <c r="R4732" s="22" t="s">
        <v>2767</v>
      </c>
      <c r="S4732" s="22" t="s">
        <v>5097</v>
      </c>
      <c r="T4732" s="51">
        <v>31</v>
      </c>
      <c r="U4732" s="3" t="s">
        <v>6317</v>
      </c>
      <c r="V4732" s="41" t="str">
        <f>HYPERLINK("http://ictvonline.org/taxonomy/p/taxonomy-history?taxnode_id=20185149","ICTVonline=20185149")</f>
        <v>ICTVonline=20185149</v>
      </c>
    </row>
    <row r="4733" spans="1:22">
      <c r="A4733" s="3">
        <v>4732</v>
      </c>
      <c r="L4733" s="1" t="s">
        <v>5011</v>
      </c>
      <c r="N4733" s="1" t="s">
        <v>5012</v>
      </c>
      <c r="P4733" s="1" t="s">
        <v>5044</v>
      </c>
      <c r="Q4733" s="3">
        <v>0</v>
      </c>
      <c r="R4733" s="22" t="s">
        <v>2767</v>
      </c>
      <c r="S4733" s="22" t="s">
        <v>5097</v>
      </c>
      <c r="T4733" s="51">
        <v>31</v>
      </c>
      <c r="U4733" s="3" t="s">
        <v>6317</v>
      </c>
      <c r="V4733" s="41" t="str">
        <f>HYPERLINK("http://ictvonline.org/taxonomy/p/taxonomy-history?taxnode_id=20185150","ICTVonline=20185150")</f>
        <v>ICTVonline=20185150</v>
      </c>
    </row>
    <row r="4734" spans="1:22">
      <c r="A4734" s="3">
        <v>4733</v>
      </c>
      <c r="L4734" s="1" t="s">
        <v>5011</v>
      </c>
      <c r="N4734" s="1" t="s">
        <v>5012</v>
      </c>
      <c r="P4734" s="1" t="s">
        <v>5045</v>
      </c>
      <c r="Q4734" s="3">
        <v>0</v>
      </c>
      <c r="R4734" s="22" t="s">
        <v>2767</v>
      </c>
      <c r="S4734" s="22" t="s">
        <v>5097</v>
      </c>
      <c r="T4734" s="51">
        <v>31</v>
      </c>
      <c r="U4734" s="3" t="s">
        <v>6317</v>
      </c>
      <c r="V4734" s="41" t="str">
        <f>HYPERLINK("http://ictvonline.org/taxonomy/p/taxonomy-history?taxnode_id=20185151","ICTVonline=20185151")</f>
        <v>ICTVonline=20185151</v>
      </c>
    </row>
    <row r="4735" spans="1:22">
      <c r="A4735" s="3">
        <v>4734</v>
      </c>
      <c r="L4735" s="1" t="s">
        <v>5011</v>
      </c>
      <c r="N4735" s="1" t="s">
        <v>5012</v>
      </c>
      <c r="P4735" s="1" t="s">
        <v>5046</v>
      </c>
      <c r="Q4735" s="3">
        <v>0</v>
      </c>
      <c r="R4735" s="22" t="s">
        <v>2767</v>
      </c>
      <c r="S4735" s="22" t="s">
        <v>5097</v>
      </c>
      <c r="T4735" s="51">
        <v>31</v>
      </c>
      <c r="U4735" s="3" t="s">
        <v>6317</v>
      </c>
      <c r="V4735" s="41" t="str">
        <f>HYPERLINK("http://ictvonline.org/taxonomy/p/taxonomy-history?taxnode_id=20185152","ICTVonline=20185152")</f>
        <v>ICTVonline=20185152</v>
      </c>
    </row>
    <row r="4736" spans="1:22">
      <c r="A4736" s="3">
        <v>4735</v>
      </c>
      <c r="L4736" s="1" t="s">
        <v>5011</v>
      </c>
      <c r="N4736" s="1" t="s">
        <v>5012</v>
      </c>
      <c r="P4736" s="1" t="s">
        <v>5047</v>
      </c>
      <c r="Q4736" s="3">
        <v>0</v>
      </c>
      <c r="R4736" s="22" t="s">
        <v>2767</v>
      </c>
      <c r="S4736" s="22" t="s">
        <v>5097</v>
      </c>
      <c r="T4736" s="51">
        <v>31</v>
      </c>
      <c r="U4736" s="3" t="s">
        <v>6317</v>
      </c>
      <c r="V4736" s="41" t="str">
        <f>HYPERLINK("http://ictvonline.org/taxonomy/p/taxonomy-history?taxnode_id=20185153","ICTVonline=20185153")</f>
        <v>ICTVonline=20185153</v>
      </c>
    </row>
    <row r="4737" spans="1:22">
      <c r="A4737" s="3">
        <v>4736</v>
      </c>
      <c r="L4737" s="1" t="s">
        <v>5011</v>
      </c>
      <c r="N4737" s="1" t="s">
        <v>5012</v>
      </c>
      <c r="P4737" s="1" t="s">
        <v>5048</v>
      </c>
      <c r="Q4737" s="3">
        <v>0</v>
      </c>
      <c r="R4737" s="22" t="s">
        <v>2767</v>
      </c>
      <c r="S4737" s="22" t="s">
        <v>5097</v>
      </c>
      <c r="T4737" s="51">
        <v>31</v>
      </c>
      <c r="U4737" s="3" t="s">
        <v>6317</v>
      </c>
      <c r="V4737" s="41" t="str">
        <f>HYPERLINK("http://ictvonline.org/taxonomy/p/taxonomy-history?taxnode_id=20185154","ICTVonline=20185154")</f>
        <v>ICTVonline=20185154</v>
      </c>
    </row>
    <row r="4738" spans="1:22">
      <c r="A4738" s="3">
        <v>4737</v>
      </c>
      <c r="L4738" s="1" t="s">
        <v>5011</v>
      </c>
      <c r="N4738" s="1" t="s">
        <v>5012</v>
      </c>
      <c r="P4738" s="1" t="s">
        <v>5049</v>
      </c>
      <c r="Q4738" s="3">
        <v>0</v>
      </c>
      <c r="R4738" s="22" t="s">
        <v>2767</v>
      </c>
      <c r="S4738" s="22" t="s">
        <v>5097</v>
      </c>
      <c r="T4738" s="51">
        <v>31</v>
      </c>
      <c r="U4738" s="3" t="s">
        <v>6317</v>
      </c>
      <c r="V4738" s="41" t="str">
        <f>HYPERLINK("http://ictvonline.org/taxonomy/p/taxonomy-history?taxnode_id=20185155","ICTVonline=20185155")</f>
        <v>ICTVonline=20185155</v>
      </c>
    </row>
    <row r="4739" spans="1:22">
      <c r="A4739" s="3">
        <v>4738</v>
      </c>
      <c r="L4739" s="1" t="s">
        <v>5011</v>
      </c>
      <c r="N4739" s="1" t="s">
        <v>5012</v>
      </c>
      <c r="P4739" s="1" t="s">
        <v>5050</v>
      </c>
      <c r="Q4739" s="3">
        <v>0</v>
      </c>
      <c r="R4739" s="22" t="s">
        <v>2767</v>
      </c>
      <c r="S4739" s="22" t="s">
        <v>5097</v>
      </c>
      <c r="T4739" s="51">
        <v>31</v>
      </c>
      <c r="U4739" s="3" t="s">
        <v>6317</v>
      </c>
      <c r="V4739" s="41" t="str">
        <f>HYPERLINK("http://ictvonline.org/taxonomy/p/taxonomy-history?taxnode_id=20185156","ICTVonline=20185156")</f>
        <v>ICTVonline=20185156</v>
      </c>
    </row>
    <row r="4740" spans="1:22">
      <c r="A4740" s="3">
        <v>4739</v>
      </c>
      <c r="L4740" s="1" t="s">
        <v>5011</v>
      </c>
      <c r="N4740" s="1" t="s">
        <v>5012</v>
      </c>
      <c r="P4740" s="1" t="s">
        <v>5051</v>
      </c>
      <c r="Q4740" s="3">
        <v>0</v>
      </c>
      <c r="R4740" s="22" t="s">
        <v>2767</v>
      </c>
      <c r="S4740" s="22" t="s">
        <v>5097</v>
      </c>
      <c r="T4740" s="51">
        <v>31</v>
      </c>
      <c r="U4740" s="3" t="s">
        <v>6317</v>
      </c>
      <c r="V4740" s="41" t="str">
        <f>HYPERLINK("http://ictvonline.org/taxonomy/p/taxonomy-history?taxnode_id=20185157","ICTVonline=20185157")</f>
        <v>ICTVonline=20185157</v>
      </c>
    </row>
    <row r="4741" spans="1:22">
      <c r="A4741" s="3">
        <v>4740</v>
      </c>
      <c r="L4741" s="1" t="s">
        <v>5011</v>
      </c>
      <c r="N4741" s="1" t="s">
        <v>5012</v>
      </c>
      <c r="P4741" s="1" t="s">
        <v>5052</v>
      </c>
      <c r="Q4741" s="3">
        <v>0</v>
      </c>
      <c r="R4741" s="22" t="s">
        <v>2767</v>
      </c>
      <c r="S4741" s="22" t="s">
        <v>5097</v>
      </c>
      <c r="T4741" s="51">
        <v>31</v>
      </c>
      <c r="U4741" s="3" t="s">
        <v>6317</v>
      </c>
      <c r="V4741" s="41" t="str">
        <f>HYPERLINK("http://ictvonline.org/taxonomy/p/taxonomy-history?taxnode_id=20185158","ICTVonline=20185158")</f>
        <v>ICTVonline=20185158</v>
      </c>
    </row>
    <row r="4742" spans="1:22">
      <c r="A4742" s="3">
        <v>4741</v>
      </c>
      <c r="L4742" s="1" t="s">
        <v>5011</v>
      </c>
      <c r="N4742" s="1" t="s">
        <v>5012</v>
      </c>
      <c r="P4742" s="1" t="s">
        <v>5053</v>
      </c>
      <c r="Q4742" s="3">
        <v>0</v>
      </c>
      <c r="R4742" s="22" t="s">
        <v>2767</v>
      </c>
      <c r="S4742" s="22" t="s">
        <v>5097</v>
      </c>
      <c r="T4742" s="51">
        <v>31</v>
      </c>
      <c r="U4742" s="3" t="s">
        <v>6317</v>
      </c>
      <c r="V4742" s="41" t="str">
        <f>HYPERLINK("http://ictvonline.org/taxonomy/p/taxonomy-history?taxnode_id=20185159","ICTVonline=20185159")</f>
        <v>ICTVonline=20185159</v>
      </c>
    </row>
    <row r="4743" spans="1:22">
      <c r="A4743" s="3">
        <v>4742</v>
      </c>
      <c r="L4743" s="1" t="s">
        <v>5011</v>
      </c>
      <c r="N4743" s="1" t="s">
        <v>5012</v>
      </c>
      <c r="P4743" s="1" t="s">
        <v>5054</v>
      </c>
      <c r="Q4743" s="3">
        <v>0</v>
      </c>
      <c r="R4743" s="22" t="s">
        <v>2767</v>
      </c>
      <c r="S4743" s="22" t="s">
        <v>5097</v>
      </c>
      <c r="T4743" s="51">
        <v>31</v>
      </c>
      <c r="U4743" s="3" t="s">
        <v>6317</v>
      </c>
      <c r="V4743" s="41" t="str">
        <f>HYPERLINK("http://ictvonline.org/taxonomy/p/taxonomy-history?taxnode_id=20185160","ICTVonline=20185160")</f>
        <v>ICTVonline=20185160</v>
      </c>
    </row>
    <row r="4744" spans="1:22">
      <c r="A4744" s="3">
        <v>4743</v>
      </c>
      <c r="L4744" s="1" t="s">
        <v>5011</v>
      </c>
      <c r="N4744" s="1" t="s">
        <v>5012</v>
      </c>
      <c r="P4744" s="1" t="s">
        <v>5055</v>
      </c>
      <c r="Q4744" s="3">
        <v>0</v>
      </c>
      <c r="R4744" s="22" t="s">
        <v>2767</v>
      </c>
      <c r="S4744" s="22" t="s">
        <v>5097</v>
      </c>
      <c r="T4744" s="51">
        <v>31</v>
      </c>
      <c r="U4744" s="3" t="s">
        <v>6317</v>
      </c>
      <c r="V4744" s="41" t="str">
        <f>HYPERLINK("http://ictvonline.org/taxonomy/p/taxonomy-history?taxnode_id=20185161","ICTVonline=20185161")</f>
        <v>ICTVonline=20185161</v>
      </c>
    </row>
    <row r="4745" spans="1:22">
      <c r="A4745" s="3">
        <v>4744</v>
      </c>
      <c r="L4745" s="1" t="s">
        <v>5011</v>
      </c>
      <c r="N4745" s="1" t="s">
        <v>5012</v>
      </c>
      <c r="P4745" s="1" t="s">
        <v>6318</v>
      </c>
      <c r="Q4745" s="3">
        <v>0</v>
      </c>
      <c r="R4745" s="22" t="s">
        <v>2767</v>
      </c>
      <c r="S4745" s="22" t="s">
        <v>5097</v>
      </c>
      <c r="T4745" s="51">
        <v>31</v>
      </c>
      <c r="U4745" s="3" t="s">
        <v>6317</v>
      </c>
      <c r="V4745" s="41" t="str">
        <f>HYPERLINK("http://ictvonline.org/taxonomy/p/taxonomy-history?taxnode_id=20185162","ICTVonline=20185162")</f>
        <v>ICTVonline=20185162</v>
      </c>
    </row>
    <row r="4746" spans="1:22">
      <c r="A4746" s="3">
        <v>4745</v>
      </c>
      <c r="L4746" s="1" t="s">
        <v>5011</v>
      </c>
      <c r="N4746" s="1" t="s">
        <v>5012</v>
      </c>
      <c r="P4746" s="1" t="s">
        <v>5056</v>
      </c>
      <c r="Q4746" s="3">
        <v>0</v>
      </c>
      <c r="R4746" s="22" t="s">
        <v>2767</v>
      </c>
      <c r="S4746" s="22" t="s">
        <v>5097</v>
      </c>
      <c r="T4746" s="51">
        <v>31</v>
      </c>
      <c r="U4746" s="3" t="s">
        <v>6317</v>
      </c>
      <c r="V4746" s="41" t="str">
        <f>HYPERLINK("http://ictvonline.org/taxonomy/p/taxonomy-history?taxnode_id=20185163","ICTVonline=20185163")</f>
        <v>ICTVonline=20185163</v>
      </c>
    </row>
    <row r="4747" spans="1:22">
      <c r="A4747" s="3">
        <v>4746</v>
      </c>
      <c r="L4747" s="1" t="s">
        <v>5011</v>
      </c>
      <c r="N4747" s="1" t="s">
        <v>5012</v>
      </c>
      <c r="P4747" s="1" t="s">
        <v>5057</v>
      </c>
      <c r="Q4747" s="3">
        <v>0</v>
      </c>
      <c r="R4747" s="22" t="s">
        <v>2767</v>
      </c>
      <c r="S4747" s="22" t="s">
        <v>5097</v>
      </c>
      <c r="T4747" s="51">
        <v>31</v>
      </c>
      <c r="U4747" s="3" t="s">
        <v>6317</v>
      </c>
      <c r="V4747" s="41" t="str">
        <f>HYPERLINK("http://ictvonline.org/taxonomy/p/taxonomy-history?taxnode_id=20185164","ICTVonline=20185164")</f>
        <v>ICTVonline=20185164</v>
      </c>
    </row>
    <row r="4748" spans="1:22">
      <c r="A4748" s="3">
        <v>4747</v>
      </c>
      <c r="L4748" s="1" t="s">
        <v>5011</v>
      </c>
      <c r="N4748" s="1" t="s">
        <v>5012</v>
      </c>
      <c r="P4748" s="1" t="s">
        <v>5058</v>
      </c>
      <c r="Q4748" s="3">
        <v>0</v>
      </c>
      <c r="R4748" s="22" t="s">
        <v>2767</v>
      </c>
      <c r="S4748" s="22" t="s">
        <v>5097</v>
      </c>
      <c r="T4748" s="51">
        <v>31</v>
      </c>
      <c r="U4748" s="3" t="s">
        <v>6317</v>
      </c>
      <c r="V4748" s="41" t="str">
        <f>HYPERLINK("http://ictvonline.org/taxonomy/p/taxonomy-history?taxnode_id=20185165","ICTVonline=20185165")</f>
        <v>ICTVonline=20185165</v>
      </c>
    </row>
    <row r="4749" spans="1:22">
      <c r="A4749" s="3">
        <v>4748</v>
      </c>
      <c r="L4749" s="1" t="s">
        <v>5011</v>
      </c>
      <c r="N4749" s="1" t="s">
        <v>5012</v>
      </c>
      <c r="P4749" s="1" t="s">
        <v>5059</v>
      </c>
      <c r="Q4749" s="3">
        <v>0</v>
      </c>
      <c r="R4749" s="22" t="s">
        <v>2767</v>
      </c>
      <c r="S4749" s="22" t="s">
        <v>5097</v>
      </c>
      <c r="T4749" s="51">
        <v>31</v>
      </c>
      <c r="U4749" s="3" t="s">
        <v>6317</v>
      </c>
      <c r="V4749" s="41" t="str">
        <f>HYPERLINK("http://ictvonline.org/taxonomy/p/taxonomy-history?taxnode_id=20185166","ICTVonline=20185166")</f>
        <v>ICTVonline=20185166</v>
      </c>
    </row>
    <row r="4750" spans="1:22">
      <c r="A4750" s="3">
        <v>4749</v>
      </c>
      <c r="L4750" s="1" t="s">
        <v>5011</v>
      </c>
      <c r="N4750" s="1" t="s">
        <v>5012</v>
      </c>
      <c r="P4750" s="1" t="s">
        <v>5060</v>
      </c>
      <c r="Q4750" s="3">
        <v>0</v>
      </c>
      <c r="R4750" s="22" t="s">
        <v>2767</v>
      </c>
      <c r="S4750" s="22" t="s">
        <v>5097</v>
      </c>
      <c r="T4750" s="51">
        <v>31</v>
      </c>
      <c r="U4750" s="3" t="s">
        <v>6317</v>
      </c>
      <c r="V4750" s="41" t="str">
        <f>HYPERLINK("http://ictvonline.org/taxonomy/p/taxonomy-history?taxnode_id=20185167","ICTVonline=20185167")</f>
        <v>ICTVonline=20185167</v>
      </c>
    </row>
    <row r="4751" spans="1:22">
      <c r="A4751" s="3">
        <v>4750</v>
      </c>
      <c r="L4751" s="1" t="s">
        <v>5011</v>
      </c>
      <c r="N4751" s="1" t="s">
        <v>5012</v>
      </c>
      <c r="P4751" s="1" t="s">
        <v>5061</v>
      </c>
      <c r="Q4751" s="3">
        <v>0</v>
      </c>
      <c r="R4751" s="22" t="s">
        <v>2767</v>
      </c>
      <c r="S4751" s="22" t="s">
        <v>5097</v>
      </c>
      <c r="T4751" s="51">
        <v>31</v>
      </c>
      <c r="U4751" s="3" t="s">
        <v>6317</v>
      </c>
      <c r="V4751" s="41" t="str">
        <f>HYPERLINK("http://ictvonline.org/taxonomy/p/taxonomy-history?taxnode_id=20185168","ICTVonline=20185168")</f>
        <v>ICTVonline=20185168</v>
      </c>
    </row>
    <row r="4752" spans="1:22">
      <c r="A4752" s="3">
        <v>4751</v>
      </c>
      <c r="L4752" s="1" t="s">
        <v>5011</v>
      </c>
      <c r="N4752" s="1" t="s">
        <v>5012</v>
      </c>
      <c r="P4752" s="1" t="s">
        <v>5062</v>
      </c>
      <c r="Q4752" s="3">
        <v>0</v>
      </c>
      <c r="R4752" s="22" t="s">
        <v>2767</v>
      </c>
      <c r="S4752" s="22" t="s">
        <v>5097</v>
      </c>
      <c r="T4752" s="51">
        <v>31</v>
      </c>
      <c r="U4752" s="3" t="s">
        <v>6317</v>
      </c>
      <c r="V4752" s="41" t="str">
        <f>HYPERLINK("http://ictvonline.org/taxonomy/p/taxonomy-history?taxnode_id=20185169","ICTVonline=20185169")</f>
        <v>ICTVonline=20185169</v>
      </c>
    </row>
    <row r="4753" spans="1:22">
      <c r="A4753" s="3">
        <v>4752</v>
      </c>
      <c r="L4753" s="1" t="s">
        <v>5011</v>
      </c>
      <c r="N4753" s="1" t="s">
        <v>5012</v>
      </c>
      <c r="P4753" s="1" t="s">
        <v>5063</v>
      </c>
      <c r="Q4753" s="3">
        <v>0</v>
      </c>
      <c r="R4753" s="22" t="s">
        <v>2767</v>
      </c>
      <c r="S4753" s="22" t="s">
        <v>5097</v>
      </c>
      <c r="T4753" s="51">
        <v>31</v>
      </c>
      <c r="U4753" s="3" t="s">
        <v>6317</v>
      </c>
      <c r="V4753" s="41" t="str">
        <f>HYPERLINK("http://ictvonline.org/taxonomy/p/taxonomy-history?taxnode_id=20185170","ICTVonline=20185170")</f>
        <v>ICTVonline=20185170</v>
      </c>
    </row>
    <row r="4754" spans="1:22">
      <c r="A4754" s="3">
        <v>4753</v>
      </c>
      <c r="L4754" s="1" t="s">
        <v>5011</v>
      </c>
      <c r="N4754" s="1" t="s">
        <v>5012</v>
      </c>
      <c r="P4754" s="1" t="s">
        <v>5064</v>
      </c>
      <c r="Q4754" s="3">
        <v>0</v>
      </c>
      <c r="R4754" s="22" t="s">
        <v>2767</v>
      </c>
      <c r="S4754" s="22" t="s">
        <v>5097</v>
      </c>
      <c r="T4754" s="51">
        <v>31</v>
      </c>
      <c r="U4754" s="3" t="s">
        <v>6317</v>
      </c>
      <c r="V4754" s="41" t="str">
        <f>HYPERLINK("http://ictvonline.org/taxonomy/p/taxonomy-history?taxnode_id=20185171","ICTVonline=20185171")</f>
        <v>ICTVonline=20185171</v>
      </c>
    </row>
    <row r="4755" spans="1:22">
      <c r="A4755" s="3">
        <v>4754</v>
      </c>
      <c r="L4755" s="1" t="s">
        <v>5011</v>
      </c>
      <c r="N4755" s="1" t="s">
        <v>5012</v>
      </c>
      <c r="P4755" s="1" t="s">
        <v>5065</v>
      </c>
      <c r="Q4755" s="3">
        <v>0</v>
      </c>
      <c r="R4755" s="22" t="s">
        <v>2767</v>
      </c>
      <c r="S4755" s="22" t="s">
        <v>5097</v>
      </c>
      <c r="T4755" s="51">
        <v>31</v>
      </c>
      <c r="U4755" s="3" t="s">
        <v>6317</v>
      </c>
      <c r="V4755" s="41" t="str">
        <f>HYPERLINK("http://ictvonline.org/taxonomy/p/taxonomy-history?taxnode_id=20185172","ICTVonline=20185172")</f>
        <v>ICTVonline=20185172</v>
      </c>
    </row>
    <row r="4756" spans="1:22">
      <c r="A4756" s="3">
        <v>4755</v>
      </c>
      <c r="L4756" s="1" t="s">
        <v>5011</v>
      </c>
      <c r="N4756" s="1" t="s">
        <v>5012</v>
      </c>
      <c r="P4756" s="1" t="s">
        <v>5066</v>
      </c>
      <c r="Q4756" s="3">
        <v>0</v>
      </c>
      <c r="R4756" s="22" t="s">
        <v>2767</v>
      </c>
      <c r="S4756" s="22" t="s">
        <v>5097</v>
      </c>
      <c r="T4756" s="51">
        <v>31</v>
      </c>
      <c r="U4756" s="3" t="s">
        <v>6317</v>
      </c>
      <c r="V4756" s="41" t="str">
        <f>HYPERLINK("http://ictvonline.org/taxonomy/p/taxonomy-history?taxnode_id=20185173","ICTVonline=20185173")</f>
        <v>ICTVonline=20185173</v>
      </c>
    </row>
    <row r="4757" spans="1:22">
      <c r="A4757" s="3">
        <v>4756</v>
      </c>
      <c r="L4757" s="1" t="s">
        <v>5011</v>
      </c>
      <c r="N4757" s="1" t="s">
        <v>5012</v>
      </c>
      <c r="P4757" s="1" t="s">
        <v>5067</v>
      </c>
      <c r="Q4757" s="3">
        <v>0</v>
      </c>
      <c r="R4757" s="22" t="s">
        <v>2767</v>
      </c>
      <c r="S4757" s="22" t="s">
        <v>5097</v>
      </c>
      <c r="T4757" s="51">
        <v>31</v>
      </c>
      <c r="U4757" s="3" t="s">
        <v>6317</v>
      </c>
      <c r="V4757" s="41" t="str">
        <f>HYPERLINK("http://ictvonline.org/taxonomy/p/taxonomy-history?taxnode_id=20185174","ICTVonline=20185174")</f>
        <v>ICTVonline=20185174</v>
      </c>
    </row>
    <row r="4758" spans="1:22">
      <c r="A4758" s="3">
        <v>4757</v>
      </c>
      <c r="L4758" s="1" t="s">
        <v>5011</v>
      </c>
      <c r="N4758" s="1" t="s">
        <v>5012</v>
      </c>
      <c r="P4758" s="1" t="s">
        <v>5068</v>
      </c>
      <c r="Q4758" s="3">
        <v>0</v>
      </c>
      <c r="R4758" s="22" t="s">
        <v>2767</v>
      </c>
      <c r="S4758" s="22" t="s">
        <v>5097</v>
      </c>
      <c r="T4758" s="51">
        <v>31</v>
      </c>
      <c r="U4758" s="3" t="s">
        <v>6317</v>
      </c>
      <c r="V4758" s="41" t="str">
        <f>HYPERLINK("http://ictvonline.org/taxonomy/p/taxonomy-history?taxnode_id=20185175","ICTVonline=20185175")</f>
        <v>ICTVonline=20185175</v>
      </c>
    </row>
    <row r="4759" spans="1:22">
      <c r="A4759" s="3">
        <v>4758</v>
      </c>
      <c r="L4759" s="1" t="s">
        <v>5011</v>
      </c>
      <c r="N4759" s="1" t="s">
        <v>5012</v>
      </c>
      <c r="P4759" s="1" t="s">
        <v>5069</v>
      </c>
      <c r="Q4759" s="3">
        <v>0</v>
      </c>
      <c r="R4759" s="22" t="s">
        <v>2767</v>
      </c>
      <c r="S4759" s="22" t="s">
        <v>5097</v>
      </c>
      <c r="T4759" s="51">
        <v>31</v>
      </c>
      <c r="U4759" s="3" t="s">
        <v>6317</v>
      </c>
      <c r="V4759" s="41" t="str">
        <f>HYPERLINK("http://ictvonline.org/taxonomy/p/taxonomy-history?taxnode_id=20185176","ICTVonline=20185176")</f>
        <v>ICTVonline=20185176</v>
      </c>
    </row>
    <row r="4760" spans="1:22">
      <c r="A4760" s="3">
        <v>4759</v>
      </c>
      <c r="L4760" s="1" t="s">
        <v>5011</v>
      </c>
      <c r="N4760" s="1" t="s">
        <v>5012</v>
      </c>
      <c r="P4760" s="1" t="s">
        <v>5070</v>
      </c>
      <c r="Q4760" s="3">
        <v>0</v>
      </c>
      <c r="R4760" s="22" t="s">
        <v>2767</v>
      </c>
      <c r="S4760" s="22" t="s">
        <v>5097</v>
      </c>
      <c r="T4760" s="51">
        <v>31</v>
      </c>
      <c r="U4760" s="3" t="s">
        <v>6317</v>
      </c>
      <c r="V4760" s="41" t="str">
        <f>HYPERLINK("http://ictvonline.org/taxonomy/p/taxonomy-history?taxnode_id=20185177","ICTVonline=20185177")</f>
        <v>ICTVonline=20185177</v>
      </c>
    </row>
    <row r="4761" spans="1:22">
      <c r="A4761" s="3">
        <v>4760</v>
      </c>
      <c r="L4761" s="1" t="s">
        <v>5011</v>
      </c>
      <c r="N4761" s="1" t="s">
        <v>5012</v>
      </c>
      <c r="P4761" s="1" t="s">
        <v>5071</v>
      </c>
      <c r="Q4761" s="3">
        <v>0</v>
      </c>
      <c r="R4761" s="22" t="s">
        <v>2767</v>
      </c>
      <c r="S4761" s="22" t="s">
        <v>5097</v>
      </c>
      <c r="T4761" s="51">
        <v>31</v>
      </c>
      <c r="U4761" s="3" t="s">
        <v>6317</v>
      </c>
      <c r="V4761" s="41" t="str">
        <f>HYPERLINK("http://ictvonline.org/taxonomy/p/taxonomy-history?taxnode_id=20185178","ICTVonline=20185178")</f>
        <v>ICTVonline=20185178</v>
      </c>
    </row>
    <row r="4762" spans="1:22">
      <c r="A4762" s="3">
        <v>4761</v>
      </c>
      <c r="L4762" s="1" t="s">
        <v>5011</v>
      </c>
      <c r="N4762" s="1" t="s">
        <v>5012</v>
      </c>
      <c r="P4762" s="1" t="s">
        <v>5072</v>
      </c>
      <c r="Q4762" s="3">
        <v>0</v>
      </c>
      <c r="R4762" s="22" t="s">
        <v>2767</v>
      </c>
      <c r="S4762" s="22" t="s">
        <v>5097</v>
      </c>
      <c r="T4762" s="51">
        <v>31</v>
      </c>
      <c r="U4762" s="3" t="s">
        <v>6317</v>
      </c>
      <c r="V4762" s="41" t="str">
        <f>HYPERLINK("http://ictvonline.org/taxonomy/p/taxonomy-history?taxnode_id=20185179","ICTVonline=20185179")</f>
        <v>ICTVonline=20185179</v>
      </c>
    </row>
    <row r="4763" spans="1:22">
      <c r="A4763" s="3">
        <v>4762</v>
      </c>
      <c r="L4763" s="1" t="s">
        <v>5011</v>
      </c>
      <c r="N4763" s="1" t="s">
        <v>5073</v>
      </c>
      <c r="P4763" s="1" t="s">
        <v>5074</v>
      </c>
      <c r="Q4763" s="3">
        <v>0</v>
      </c>
      <c r="R4763" s="22" t="s">
        <v>2767</v>
      </c>
      <c r="S4763" s="22" t="s">
        <v>5097</v>
      </c>
      <c r="T4763" s="51">
        <v>31</v>
      </c>
      <c r="U4763" s="3" t="s">
        <v>6317</v>
      </c>
      <c r="V4763" s="41" t="str">
        <f>HYPERLINK("http://ictvonline.org/taxonomy/p/taxonomy-history?taxnode_id=20185181","ICTVonline=20185181")</f>
        <v>ICTVonline=20185181</v>
      </c>
    </row>
    <row r="4764" spans="1:22">
      <c r="A4764" s="3">
        <v>4763</v>
      </c>
      <c r="L4764" s="1" t="s">
        <v>5011</v>
      </c>
      <c r="N4764" s="1" t="s">
        <v>5073</v>
      </c>
      <c r="P4764" s="1" t="s">
        <v>5075</v>
      </c>
      <c r="Q4764" s="3">
        <v>0</v>
      </c>
      <c r="R4764" s="22" t="s">
        <v>2767</v>
      </c>
      <c r="S4764" s="22" t="s">
        <v>5097</v>
      </c>
      <c r="T4764" s="51">
        <v>31</v>
      </c>
      <c r="U4764" s="3" t="s">
        <v>6317</v>
      </c>
      <c r="V4764" s="41" t="str">
        <f>HYPERLINK("http://ictvonline.org/taxonomy/p/taxonomy-history?taxnode_id=20185182","ICTVonline=20185182")</f>
        <v>ICTVonline=20185182</v>
      </c>
    </row>
    <row r="4765" spans="1:22">
      <c r="A4765" s="3">
        <v>4764</v>
      </c>
      <c r="L4765" s="1" t="s">
        <v>5011</v>
      </c>
      <c r="N4765" s="1" t="s">
        <v>5073</v>
      </c>
      <c r="P4765" s="1" t="s">
        <v>5076</v>
      </c>
      <c r="Q4765" s="3">
        <v>0</v>
      </c>
      <c r="R4765" s="22" t="s">
        <v>2767</v>
      </c>
      <c r="S4765" s="22" t="s">
        <v>5097</v>
      </c>
      <c r="T4765" s="51">
        <v>31</v>
      </c>
      <c r="U4765" s="3" t="s">
        <v>6317</v>
      </c>
      <c r="V4765" s="41" t="str">
        <f>HYPERLINK("http://ictvonline.org/taxonomy/p/taxonomy-history?taxnode_id=20185183","ICTVonline=20185183")</f>
        <v>ICTVonline=20185183</v>
      </c>
    </row>
    <row r="4766" spans="1:22">
      <c r="A4766" s="3">
        <v>4765</v>
      </c>
      <c r="L4766" s="1" t="s">
        <v>5011</v>
      </c>
      <c r="N4766" s="1" t="s">
        <v>5073</v>
      </c>
      <c r="P4766" s="1" t="s">
        <v>5077</v>
      </c>
      <c r="Q4766" s="3">
        <v>0</v>
      </c>
      <c r="R4766" s="22" t="s">
        <v>2767</v>
      </c>
      <c r="S4766" s="22" t="s">
        <v>5097</v>
      </c>
      <c r="T4766" s="51">
        <v>31</v>
      </c>
      <c r="U4766" s="3" t="s">
        <v>6317</v>
      </c>
      <c r="V4766" s="41" t="str">
        <f>HYPERLINK("http://ictvonline.org/taxonomy/p/taxonomy-history?taxnode_id=20185184","ICTVonline=20185184")</f>
        <v>ICTVonline=20185184</v>
      </c>
    </row>
    <row r="4767" spans="1:22">
      <c r="A4767" s="3">
        <v>4766</v>
      </c>
      <c r="L4767" s="1" t="s">
        <v>5011</v>
      </c>
      <c r="N4767" s="1" t="s">
        <v>5073</v>
      </c>
      <c r="P4767" s="1" t="s">
        <v>5078</v>
      </c>
      <c r="Q4767" s="3">
        <v>0</v>
      </c>
      <c r="R4767" s="22" t="s">
        <v>2767</v>
      </c>
      <c r="S4767" s="22" t="s">
        <v>5097</v>
      </c>
      <c r="T4767" s="51">
        <v>31</v>
      </c>
      <c r="U4767" s="3" t="s">
        <v>6317</v>
      </c>
      <c r="V4767" s="41" t="str">
        <f>HYPERLINK("http://ictvonline.org/taxonomy/p/taxonomy-history?taxnode_id=20185185","ICTVonline=20185185")</f>
        <v>ICTVonline=20185185</v>
      </c>
    </row>
    <row r="4768" spans="1:22">
      <c r="A4768" s="3">
        <v>4767</v>
      </c>
      <c r="L4768" s="1" t="s">
        <v>5011</v>
      </c>
      <c r="N4768" s="1" t="s">
        <v>5073</v>
      </c>
      <c r="P4768" s="1" t="s">
        <v>5079</v>
      </c>
      <c r="Q4768" s="3">
        <v>0</v>
      </c>
      <c r="R4768" s="22" t="s">
        <v>2767</v>
      </c>
      <c r="S4768" s="22" t="s">
        <v>5097</v>
      </c>
      <c r="T4768" s="51">
        <v>31</v>
      </c>
      <c r="U4768" s="3" t="s">
        <v>6317</v>
      </c>
      <c r="V4768" s="41" t="str">
        <f>HYPERLINK("http://ictvonline.org/taxonomy/p/taxonomy-history?taxnode_id=20185186","ICTVonline=20185186")</f>
        <v>ICTVonline=20185186</v>
      </c>
    </row>
    <row r="4769" spans="1:22">
      <c r="A4769" s="3">
        <v>4768</v>
      </c>
      <c r="L4769" s="1" t="s">
        <v>5011</v>
      </c>
      <c r="N4769" s="1" t="s">
        <v>5073</v>
      </c>
      <c r="P4769" s="1" t="s">
        <v>5080</v>
      </c>
      <c r="Q4769" s="3">
        <v>0</v>
      </c>
      <c r="R4769" s="22" t="s">
        <v>2767</v>
      </c>
      <c r="S4769" s="22" t="s">
        <v>5097</v>
      </c>
      <c r="T4769" s="51">
        <v>31</v>
      </c>
      <c r="U4769" s="3" t="s">
        <v>6317</v>
      </c>
      <c r="V4769" s="41" t="str">
        <f>HYPERLINK("http://ictvonline.org/taxonomy/p/taxonomy-history?taxnode_id=20185187","ICTVonline=20185187")</f>
        <v>ICTVonline=20185187</v>
      </c>
    </row>
    <row r="4770" spans="1:22">
      <c r="A4770" s="3">
        <v>4769</v>
      </c>
      <c r="L4770" s="1" t="s">
        <v>5011</v>
      </c>
      <c r="N4770" s="1" t="s">
        <v>5073</v>
      </c>
      <c r="P4770" s="1" t="s">
        <v>5081</v>
      </c>
      <c r="Q4770" s="3">
        <v>0</v>
      </c>
      <c r="R4770" s="22" t="s">
        <v>2767</v>
      </c>
      <c r="S4770" s="22" t="s">
        <v>5097</v>
      </c>
      <c r="T4770" s="51">
        <v>31</v>
      </c>
      <c r="U4770" s="3" t="s">
        <v>6317</v>
      </c>
      <c r="V4770" s="41" t="str">
        <f>HYPERLINK("http://ictvonline.org/taxonomy/p/taxonomy-history?taxnode_id=20185188","ICTVonline=20185188")</f>
        <v>ICTVonline=20185188</v>
      </c>
    </row>
    <row r="4771" spans="1:22">
      <c r="A4771" s="3">
        <v>4770</v>
      </c>
      <c r="L4771" s="1" t="s">
        <v>5011</v>
      </c>
      <c r="N4771" s="1" t="s">
        <v>5073</v>
      </c>
      <c r="P4771" s="1" t="s">
        <v>5082</v>
      </c>
      <c r="Q4771" s="3">
        <v>1</v>
      </c>
      <c r="R4771" s="22" t="s">
        <v>2767</v>
      </c>
      <c r="S4771" s="22" t="s">
        <v>5097</v>
      </c>
      <c r="T4771" s="51">
        <v>31</v>
      </c>
      <c r="U4771" s="3" t="s">
        <v>6317</v>
      </c>
      <c r="V4771" s="41" t="str">
        <f>HYPERLINK("http://ictvonline.org/taxonomy/p/taxonomy-history?taxnode_id=20185189","ICTVonline=20185189")</f>
        <v>ICTVonline=20185189</v>
      </c>
    </row>
    <row r="4772" spans="1:22">
      <c r="A4772" s="3">
        <v>4771</v>
      </c>
      <c r="L4772" s="1" t="s">
        <v>5011</v>
      </c>
      <c r="N4772" s="1" t="s">
        <v>5073</v>
      </c>
      <c r="P4772" s="1" t="s">
        <v>5083</v>
      </c>
      <c r="Q4772" s="3">
        <v>0</v>
      </c>
      <c r="R4772" s="22" t="s">
        <v>2767</v>
      </c>
      <c r="S4772" s="22" t="s">
        <v>5097</v>
      </c>
      <c r="T4772" s="51">
        <v>31</v>
      </c>
      <c r="U4772" s="3" t="s">
        <v>6317</v>
      </c>
      <c r="V4772" s="41" t="str">
        <f>HYPERLINK("http://ictvonline.org/taxonomy/p/taxonomy-history?taxnode_id=20185190","ICTVonline=20185190")</f>
        <v>ICTVonline=20185190</v>
      </c>
    </row>
    <row r="4773" spans="1:22">
      <c r="A4773" s="3">
        <v>4772</v>
      </c>
      <c r="L4773" s="1" t="s">
        <v>5011</v>
      </c>
      <c r="N4773" s="1" t="s">
        <v>5073</v>
      </c>
      <c r="P4773" s="1" t="s">
        <v>5084</v>
      </c>
      <c r="Q4773" s="3">
        <v>0</v>
      </c>
      <c r="R4773" s="22" t="s">
        <v>2767</v>
      </c>
      <c r="S4773" s="22" t="s">
        <v>5097</v>
      </c>
      <c r="T4773" s="51">
        <v>31</v>
      </c>
      <c r="U4773" s="3" t="s">
        <v>6317</v>
      </c>
      <c r="V4773" s="41" t="str">
        <f>HYPERLINK("http://ictvonline.org/taxonomy/p/taxonomy-history?taxnode_id=20185191","ICTVonline=20185191")</f>
        <v>ICTVonline=20185191</v>
      </c>
    </row>
    <row r="4774" spans="1:22">
      <c r="A4774" s="3">
        <v>4773</v>
      </c>
      <c r="L4774" s="1" t="s">
        <v>784</v>
      </c>
      <c r="N4774" s="1" t="s">
        <v>4138</v>
      </c>
      <c r="P4774" s="1" t="s">
        <v>791</v>
      </c>
      <c r="Q4774" s="3">
        <v>0</v>
      </c>
      <c r="R4774" s="22" t="s">
        <v>2766</v>
      </c>
      <c r="S4774" s="22" t="s">
        <v>5099</v>
      </c>
      <c r="T4774" s="51">
        <v>30</v>
      </c>
      <c r="U4774" s="3" t="s">
        <v>6319</v>
      </c>
      <c r="V4774" s="41" t="str">
        <f>HYPERLINK("http://ictvonline.org/taxonomy/p/taxonomy-history?taxnode_id=20185195","ICTVonline=20185195")</f>
        <v>ICTVonline=20185195</v>
      </c>
    </row>
    <row r="4775" spans="1:22">
      <c r="A4775" s="3">
        <v>4774</v>
      </c>
      <c r="L4775" s="1" t="s">
        <v>784</v>
      </c>
      <c r="N4775" s="1" t="s">
        <v>4138</v>
      </c>
      <c r="P4775" s="1" t="s">
        <v>205</v>
      </c>
      <c r="Q4775" s="3">
        <v>0</v>
      </c>
      <c r="R4775" s="22" t="s">
        <v>2766</v>
      </c>
      <c r="S4775" s="22" t="s">
        <v>5099</v>
      </c>
      <c r="T4775" s="51">
        <v>30</v>
      </c>
      <c r="U4775" s="3" t="s">
        <v>6319</v>
      </c>
      <c r="V4775" s="41" t="str">
        <f>HYPERLINK("http://ictvonline.org/taxonomy/p/taxonomy-history?taxnode_id=20185196","ICTVonline=20185196")</f>
        <v>ICTVonline=20185196</v>
      </c>
    </row>
    <row r="4776" spans="1:22">
      <c r="A4776" s="3">
        <v>4775</v>
      </c>
      <c r="L4776" s="1" t="s">
        <v>784</v>
      </c>
      <c r="N4776" s="1" t="s">
        <v>4138</v>
      </c>
      <c r="P4776" s="1" t="s">
        <v>794</v>
      </c>
      <c r="Q4776" s="3">
        <v>1</v>
      </c>
      <c r="R4776" s="22" t="s">
        <v>2766</v>
      </c>
      <c r="S4776" s="22" t="s">
        <v>5099</v>
      </c>
      <c r="T4776" s="51">
        <v>30</v>
      </c>
      <c r="U4776" s="3" t="s">
        <v>6319</v>
      </c>
      <c r="V4776" s="41" t="str">
        <f>HYPERLINK("http://ictvonline.org/taxonomy/p/taxonomy-history?taxnode_id=20185197","ICTVonline=20185197")</f>
        <v>ICTVonline=20185197</v>
      </c>
    </row>
    <row r="4777" spans="1:22">
      <c r="A4777" s="3">
        <v>4776</v>
      </c>
      <c r="L4777" s="1" t="s">
        <v>784</v>
      </c>
      <c r="N4777" s="1" t="s">
        <v>4138</v>
      </c>
      <c r="P4777" s="1" t="s">
        <v>206</v>
      </c>
      <c r="Q4777" s="3">
        <v>0</v>
      </c>
      <c r="R4777" s="22" t="s">
        <v>2766</v>
      </c>
      <c r="S4777" s="22" t="s">
        <v>5099</v>
      </c>
      <c r="T4777" s="51">
        <v>30</v>
      </c>
      <c r="U4777" s="3" t="s">
        <v>6319</v>
      </c>
      <c r="V4777" s="41" t="str">
        <f>HYPERLINK("http://ictvonline.org/taxonomy/p/taxonomy-history?taxnode_id=20185198","ICTVonline=20185198")</f>
        <v>ICTVonline=20185198</v>
      </c>
    </row>
    <row r="4778" spans="1:22">
      <c r="A4778" s="3">
        <v>4777</v>
      </c>
      <c r="L4778" s="1" t="s">
        <v>784</v>
      </c>
      <c r="N4778" s="1" t="s">
        <v>4138</v>
      </c>
      <c r="P4778" s="1" t="s">
        <v>564</v>
      </c>
      <c r="Q4778" s="3">
        <v>0</v>
      </c>
      <c r="R4778" s="22" t="s">
        <v>2766</v>
      </c>
      <c r="S4778" s="22" t="s">
        <v>5099</v>
      </c>
      <c r="T4778" s="51">
        <v>30</v>
      </c>
      <c r="U4778" s="3" t="s">
        <v>6319</v>
      </c>
      <c r="V4778" s="41" t="str">
        <f>HYPERLINK("http://ictvonline.org/taxonomy/p/taxonomy-history?taxnode_id=20185199","ICTVonline=20185199")</f>
        <v>ICTVonline=20185199</v>
      </c>
    </row>
    <row r="4779" spans="1:22">
      <c r="A4779" s="3">
        <v>4778</v>
      </c>
      <c r="L4779" s="1" t="s">
        <v>784</v>
      </c>
      <c r="N4779" s="1" t="s">
        <v>4138</v>
      </c>
      <c r="P4779" s="1" t="s">
        <v>1275</v>
      </c>
      <c r="Q4779" s="3">
        <v>0</v>
      </c>
      <c r="R4779" s="22" t="s">
        <v>2766</v>
      </c>
      <c r="S4779" s="22" t="s">
        <v>5099</v>
      </c>
      <c r="T4779" s="51">
        <v>30</v>
      </c>
      <c r="U4779" s="3" t="s">
        <v>6319</v>
      </c>
      <c r="V4779" s="41" t="str">
        <f>HYPERLINK("http://ictvonline.org/taxonomy/p/taxonomy-history?taxnode_id=20185200","ICTVonline=20185200")</f>
        <v>ICTVonline=20185200</v>
      </c>
    </row>
    <row r="4780" spans="1:22">
      <c r="A4780" s="3">
        <v>4779</v>
      </c>
      <c r="L4780" s="1" t="s">
        <v>784</v>
      </c>
      <c r="N4780" s="1" t="s">
        <v>4138</v>
      </c>
      <c r="P4780" s="1" t="s">
        <v>1276</v>
      </c>
      <c r="Q4780" s="3">
        <v>0</v>
      </c>
      <c r="R4780" s="22" t="s">
        <v>2766</v>
      </c>
      <c r="S4780" s="22" t="s">
        <v>5099</v>
      </c>
      <c r="T4780" s="51">
        <v>30</v>
      </c>
      <c r="U4780" s="3" t="s">
        <v>6319</v>
      </c>
      <c r="V4780" s="41" t="str">
        <f>HYPERLINK("http://ictvonline.org/taxonomy/p/taxonomy-history?taxnode_id=20185201","ICTVonline=20185201")</f>
        <v>ICTVonline=20185201</v>
      </c>
    </row>
    <row r="4781" spans="1:22">
      <c r="A4781" s="3">
        <v>4780</v>
      </c>
      <c r="L4781" s="1" t="s">
        <v>784</v>
      </c>
      <c r="N4781" s="1" t="s">
        <v>2288</v>
      </c>
      <c r="P4781" s="1" t="s">
        <v>876</v>
      </c>
      <c r="Q4781" s="3">
        <v>0</v>
      </c>
      <c r="R4781" s="22" t="s">
        <v>2766</v>
      </c>
      <c r="S4781" s="22" t="s">
        <v>5099</v>
      </c>
      <c r="T4781" s="51">
        <v>27</v>
      </c>
      <c r="U4781" s="3" t="s">
        <v>6320</v>
      </c>
      <c r="V4781" s="41" t="str">
        <f>HYPERLINK("http://ictvonline.org/taxonomy/p/taxonomy-history?taxnode_id=20185203","ICTVonline=20185203")</f>
        <v>ICTVonline=20185203</v>
      </c>
    </row>
    <row r="4782" spans="1:22">
      <c r="A4782" s="3">
        <v>4781</v>
      </c>
      <c r="L4782" s="1" t="s">
        <v>784</v>
      </c>
      <c r="N4782" s="1" t="s">
        <v>2288</v>
      </c>
      <c r="P4782" s="1" t="s">
        <v>877</v>
      </c>
      <c r="Q4782" s="3">
        <v>0</v>
      </c>
      <c r="R4782" s="22" t="s">
        <v>2766</v>
      </c>
      <c r="S4782" s="22" t="s">
        <v>5099</v>
      </c>
      <c r="T4782" s="51">
        <v>27</v>
      </c>
      <c r="U4782" s="3" t="s">
        <v>6320</v>
      </c>
      <c r="V4782" s="41" t="str">
        <f>HYPERLINK("http://ictvonline.org/taxonomy/p/taxonomy-history?taxnode_id=20185204","ICTVonline=20185204")</f>
        <v>ICTVonline=20185204</v>
      </c>
    </row>
    <row r="4783" spans="1:22">
      <c r="A4783" s="3">
        <v>4782</v>
      </c>
      <c r="L4783" s="1" t="s">
        <v>784</v>
      </c>
      <c r="N4783" s="1" t="s">
        <v>2288</v>
      </c>
      <c r="P4783" s="1" t="s">
        <v>878</v>
      </c>
      <c r="Q4783" s="3">
        <v>1</v>
      </c>
      <c r="R4783" s="22" t="s">
        <v>2766</v>
      </c>
      <c r="S4783" s="22" t="s">
        <v>5099</v>
      </c>
      <c r="T4783" s="51">
        <v>27</v>
      </c>
      <c r="U4783" s="3" t="s">
        <v>6320</v>
      </c>
      <c r="V4783" s="41" t="str">
        <f>HYPERLINK("http://ictvonline.org/taxonomy/p/taxonomy-history?taxnode_id=20185205","ICTVonline=20185205")</f>
        <v>ICTVonline=20185205</v>
      </c>
    </row>
    <row r="4784" spans="1:22">
      <c r="A4784" s="3">
        <v>4783</v>
      </c>
      <c r="L4784" s="1" t="s">
        <v>784</v>
      </c>
      <c r="N4784" s="1" t="s">
        <v>785</v>
      </c>
      <c r="P4784" s="1" t="s">
        <v>786</v>
      </c>
      <c r="Q4784" s="3">
        <v>0</v>
      </c>
      <c r="R4784" s="22" t="s">
        <v>2766</v>
      </c>
      <c r="S4784" s="22" t="s">
        <v>5097</v>
      </c>
      <c r="T4784" s="51">
        <v>23</v>
      </c>
      <c r="U4784" s="3" t="s">
        <v>5872</v>
      </c>
      <c r="V4784" s="41" t="str">
        <f>HYPERLINK("http://ictvonline.org/taxonomy/p/taxonomy-history?taxnode_id=20185207","ICTVonline=20185207")</f>
        <v>ICTVonline=20185207</v>
      </c>
    </row>
    <row r="4785" spans="1:22">
      <c r="A4785" s="3">
        <v>4784</v>
      </c>
      <c r="L4785" s="1" t="s">
        <v>784</v>
      </c>
      <c r="N4785" s="1" t="s">
        <v>785</v>
      </c>
      <c r="P4785" s="1" t="s">
        <v>2133</v>
      </c>
      <c r="Q4785" s="3">
        <v>0</v>
      </c>
      <c r="R4785" s="22" t="s">
        <v>2766</v>
      </c>
      <c r="S4785" s="22" t="s">
        <v>5097</v>
      </c>
      <c r="T4785" s="51">
        <v>25</v>
      </c>
      <c r="U4785" s="3" t="s">
        <v>6321</v>
      </c>
      <c r="V4785" s="41" t="str">
        <f>HYPERLINK("http://ictvonline.org/taxonomy/p/taxonomy-history?taxnode_id=20185208","ICTVonline=20185208")</f>
        <v>ICTVonline=20185208</v>
      </c>
    </row>
    <row r="4786" spans="1:22">
      <c r="A4786" s="3">
        <v>4785</v>
      </c>
      <c r="L4786" s="1" t="s">
        <v>784</v>
      </c>
      <c r="N4786" s="1" t="s">
        <v>785</v>
      </c>
      <c r="P4786" s="1" t="s">
        <v>1900</v>
      </c>
      <c r="Q4786" s="3">
        <v>0</v>
      </c>
      <c r="R4786" s="22" t="s">
        <v>2766</v>
      </c>
      <c r="S4786" s="22" t="s">
        <v>5097</v>
      </c>
      <c r="T4786" s="51">
        <v>25</v>
      </c>
      <c r="U4786" s="3" t="s">
        <v>6321</v>
      </c>
      <c r="V4786" s="41" t="str">
        <f>HYPERLINK("http://ictvonline.org/taxonomy/p/taxonomy-history?taxnode_id=20185209","ICTVonline=20185209")</f>
        <v>ICTVonline=20185209</v>
      </c>
    </row>
    <row r="4787" spans="1:22">
      <c r="A4787" s="3">
        <v>4786</v>
      </c>
      <c r="L4787" s="1" t="s">
        <v>784</v>
      </c>
      <c r="N4787" s="1" t="s">
        <v>785</v>
      </c>
      <c r="P4787" s="1" t="s">
        <v>787</v>
      </c>
      <c r="Q4787" s="3">
        <v>1</v>
      </c>
      <c r="R4787" s="22" t="s">
        <v>2766</v>
      </c>
      <c r="S4787" s="22" t="s">
        <v>5102</v>
      </c>
      <c r="T4787" s="51">
        <v>17</v>
      </c>
      <c r="U4787" s="3" t="s">
        <v>5823</v>
      </c>
      <c r="V4787" s="41" t="str">
        <f>HYPERLINK("http://ictvonline.org/taxonomy/p/taxonomy-history?taxnode_id=20185210","ICTVonline=20185210")</f>
        <v>ICTVonline=20185210</v>
      </c>
    </row>
    <row r="4788" spans="1:22">
      <c r="A4788" s="3">
        <v>4787</v>
      </c>
      <c r="L4788" s="1" t="s">
        <v>784</v>
      </c>
      <c r="N4788" s="1" t="s">
        <v>785</v>
      </c>
      <c r="P4788" s="1" t="s">
        <v>4139</v>
      </c>
      <c r="Q4788" s="3">
        <v>0</v>
      </c>
      <c r="R4788" s="22" t="s">
        <v>2766</v>
      </c>
      <c r="S4788" s="22" t="s">
        <v>5097</v>
      </c>
      <c r="T4788" s="51">
        <v>30</v>
      </c>
      <c r="U4788" s="3" t="s">
        <v>6322</v>
      </c>
      <c r="V4788" s="41" t="str">
        <f>HYPERLINK("http://ictvonline.org/taxonomy/p/taxonomy-history?taxnode_id=20185211","ICTVonline=20185211")</f>
        <v>ICTVonline=20185211</v>
      </c>
    </row>
    <row r="4789" spans="1:22">
      <c r="A4789" s="3">
        <v>4788</v>
      </c>
      <c r="L4789" s="1" t="s">
        <v>784</v>
      </c>
      <c r="N4789" s="1" t="s">
        <v>788</v>
      </c>
      <c r="P4789" s="1" t="s">
        <v>789</v>
      </c>
      <c r="Q4789" s="3">
        <v>1</v>
      </c>
      <c r="R4789" s="22" t="s">
        <v>2766</v>
      </c>
      <c r="S4789" s="22" t="s">
        <v>5102</v>
      </c>
      <c r="T4789" s="51">
        <v>17</v>
      </c>
      <c r="U4789" s="3" t="s">
        <v>5823</v>
      </c>
      <c r="V4789" s="41" t="str">
        <f>HYPERLINK("http://ictvonline.org/taxonomy/p/taxonomy-history?taxnode_id=20185213","ICTVonline=20185213")</f>
        <v>ICTVonline=20185213</v>
      </c>
    </row>
    <row r="4790" spans="1:22">
      <c r="A4790" s="3">
        <v>4789</v>
      </c>
      <c r="L4790" s="1" t="s">
        <v>784</v>
      </c>
      <c r="N4790" s="1" t="s">
        <v>4140</v>
      </c>
      <c r="P4790" s="1" t="s">
        <v>793</v>
      </c>
      <c r="Q4790" s="3">
        <v>0</v>
      </c>
      <c r="R4790" s="22" t="s">
        <v>2766</v>
      </c>
      <c r="S4790" s="22" t="s">
        <v>5099</v>
      </c>
      <c r="T4790" s="51">
        <v>30</v>
      </c>
      <c r="U4790" s="3" t="s">
        <v>6319</v>
      </c>
      <c r="V4790" s="41" t="str">
        <f>HYPERLINK("http://ictvonline.org/taxonomy/p/taxonomy-history?taxnode_id=20185215","ICTVonline=20185215")</f>
        <v>ICTVonline=20185215</v>
      </c>
    </row>
    <row r="4791" spans="1:22">
      <c r="A4791" s="3">
        <v>4790</v>
      </c>
      <c r="L4791" s="1" t="s">
        <v>784</v>
      </c>
      <c r="N4791" s="1" t="s">
        <v>4140</v>
      </c>
      <c r="P4791" s="1" t="s">
        <v>1395</v>
      </c>
      <c r="Q4791" s="3">
        <v>0</v>
      </c>
      <c r="R4791" s="22" t="s">
        <v>2766</v>
      </c>
      <c r="S4791" s="22" t="s">
        <v>5099</v>
      </c>
      <c r="T4791" s="51">
        <v>30</v>
      </c>
      <c r="U4791" s="3" t="s">
        <v>6319</v>
      </c>
      <c r="V4791" s="41" t="str">
        <f>HYPERLINK("http://ictvonline.org/taxonomy/p/taxonomy-history?taxnode_id=20185216","ICTVonline=20185216")</f>
        <v>ICTVonline=20185216</v>
      </c>
    </row>
    <row r="4792" spans="1:22">
      <c r="A4792" s="3">
        <v>4791</v>
      </c>
      <c r="L4792" s="1" t="s">
        <v>784</v>
      </c>
      <c r="N4792" s="1" t="s">
        <v>4140</v>
      </c>
      <c r="P4792" s="1" t="s">
        <v>683</v>
      </c>
      <c r="Q4792" s="3">
        <v>0</v>
      </c>
      <c r="R4792" s="22" t="s">
        <v>2766</v>
      </c>
      <c r="S4792" s="22" t="s">
        <v>5099</v>
      </c>
      <c r="T4792" s="51">
        <v>30</v>
      </c>
      <c r="U4792" s="3" t="s">
        <v>6319</v>
      </c>
      <c r="V4792" s="41" t="str">
        <f>HYPERLINK("http://ictvonline.org/taxonomy/p/taxonomy-history?taxnode_id=20185217","ICTVonline=20185217")</f>
        <v>ICTVonline=20185217</v>
      </c>
    </row>
    <row r="4793" spans="1:22">
      <c r="A4793" s="3">
        <v>4792</v>
      </c>
      <c r="L4793" s="1" t="s">
        <v>784</v>
      </c>
      <c r="N4793" s="1" t="s">
        <v>4140</v>
      </c>
      <c r="P4793" s="1" t="s">
        <v>1277</v>
      </c>
      <c r="Q4793" s="3">
        <v>1</v>
      </c>
      <c r="R4793" s="22" t="s">
        <v>2766</v>
      </c>
      <c r="S4793" s="22" t="s">
        <v>5099</v>
      </c>
      <c r="T4793" s="51">
        <v>30</v>
      </c>
      <c r="U4793" s="3" t="s">
        <v>6319</v>
      </c>
      <c r="V4793" s="41" t="str">
        <f>HYPERLINK("http://ictvonline.org/taxonomy/p/taxonomy-history?taxnode_id=20185218","ICTVonline=20185218")</f>
        <v>ICTVonline=20185218</v>
      </c>
    </row>
    <row r="4794" spans="1:22">
      <c r="A4794" s="3">
        <v>4793</v>
      </c>
      <c r="L4794" s="1" t="s">
        <v>784</v>
      </c>
      <c r="N4794" s="1" t="s">
        <v>2289</v>
      </c>
      <c r="P4794" s="1" t="s">
        <v>873</v>
      </c>
      <c r="Q4794" s="3">
        <v>0</v>
      </c>
      <c r="R4794" s="22" t="s">
        <v>2766</v>
      </c>
      <c r="S4794" s="22" t="s">
        <v>5099</v>
      </c>
      <c r="T4794" s="51">
        <v>27</v>
      </c>
      <c r="U4794" s="3" t="s">
        <v>6320</v>
      </c>
      <c r="V4794" s="41" t="str">
        <f>HYPERLINK("http://ictvonline.org/taxonomy/p/taxonomy-history?taxnode_id=20185220","ICTVonline=20185220")</f>
        <v>ICTVonline=20185220</v>
      </c>
    </row>
    <row r="4795" spans="1:22">
      <c r="A4795" s="3">
        <v>4794</v>
      </c>
      <c r="L4795" s="1" t="s">
        <v>784</v>
      </c>
      <c r="N4795" s="1" t="s">
        <v>2289</v>
      </c>
      <c r="P4795" s="1" t="s">
        <v>875</v>
      </c>
      <c r="Q4795" s="3">
        <v>0</v>
      </c>
      <c r="R4795" s="22" t="s">
        <v>2766</v>
      </c>
      <c r="S4795" s="22" t="s">
        <v>5099</v>
      </c>
      <c r="T4795" s="51">
        <v>27</v>
      </c>
      <c r="U4795" s="3" t="s">
        <v>6320</v>
      </c>
      <c r="V4795" s="41" t="str">
        <f>HYPERLINK("http://ictvonline.org/taxonomy/p/taxonomy-history?taxnode_id=20185221","ICTVonline=20185221")</f>
        <v>ICTVonline=20185221</v>
      </c>
    </row>
    <row r="4796" spans="1:22">
      <c r="A4796" s="3">
        <v>4795</v>
      </c>
      <c r="L4796" s="1" t="s">
        <v>784</v>
      </c>
      <c r="N4796" s="1" t="s">
        <v>2289</v>
      </c>
      <c r="P4796" s="1" t="s">
        <v>1905</v>
      </c>
      <c r="Q4796" s="3">
        <v>1</v>
      </c>
      <c r="R4796" s="22" t="s">
        <v>2766</v>
      </c>
      <c r="S4796" s="22" t="s">
        <v>5103</v>
      </c>
      <c r="T4796" s="51">
        <v>27</v>
      </c>
      <c r="U4796" s="3" t="s">
        <v>6320</v>
      </c>
      <c r="V4796" s="41" t="str">
        <f>HYPERLINK("http://ictvonline.org/taxonomy/p/taxonomy-history?taxnode_id=20185222","ICTVonline=20185222")</f>
        <v>ICTVonline=20185222</v>
      </c>
    </row>
    <row r="4797" spans="1:22">
      <c r="A4797" s="3">
        <v>4796</v>
      </c>
      <c r="L4797" s="1" t="s">
        <v>784</v>
      </c>
      <c r="N4797" s="1" t="s">
        <v>1279</v>
      </c>
      <c r="P4797" s="1" t="s">
        <v>1280</v>
      </c>
      <c r="Q4797" s="3">
        <v>1</v>
      </c>
      <c r="R4797" s="22" t="s">
        <v>2766</v>
      </c>
      <c r="S4797" s="22" t="s">
        <v>5099</v>
      </c>
      <c r="T4797" s="51">
        <v>15</v>
      </c>
      <c r="U4797" s="3" t="s">
        <v>5907</v>
      </c>
      <c r="V4797" s="41" t="str">
        <f>HYPERLINK("http://ictvonline.org/taxonomy/p/taxonomy-history?taxnode_id=20185224","ICTVonline=20185224")</f>
        <v>ICTVonline=20185224</v>
      </c>
    </row>
    <row r="4798" spans="1:22">
      <c r="A4798" s="3">
        <v>4797</v>
      </c>
      <c r="L4798" s="1" t="s">
        <v>784</v>
      </c>
      <c r="N4798" s="1" t="s">
        <v>1279</v>
      </c>
      <c r="P4798" s="1" t="s">
        <v>1281</v>
      </c>
      <c r="Q4798" s="3">
        <v>0</v>
      </c>
      <c r="R4798" s="22" t="s">
        <v>2766</v>
      </c>
      <c r="S4798" s="22" t="s">
        <v>5099</v>
      </c>
      <c r="T4798" s="51">
        <v>15</v>
      </c>
      <c r="U4798" s="3" t="s">
        <v>5907</v>
      </c>
      <c r="V4798" s="41" t="str">
        <f>HYPERLINK("http://ictvonline.org/taxonomy/p/taxonomy-history?taxnode_id=20185225","ICTVonline=20185225")</f>
        <v>ICTVonline=20185225</v>
      </c>
    </row>
    <row r="4799" spans="1:22">
      <c r="A4799" s="3">
        <v>4798</v>
      </c>
      <c r="L4799" s="1" t="s">
        <v>784</v>
      </c>
      <c r="N4799" s="1" t="s">
        <v>1279</v>
      </c>
      <c r="P4799" s="1" t="s">
        <v>1282</v>
      </c>
      <c r="Q4799" s="3">
        <v>0</v>
      </c>
      <c r="R4799" s="22" t="s">
        <v>2766</v>
      </c>
      <c r="S4799" s="22" t="s">
        <v>5099</v>
      </c>
      <c r="T4799" s="51">
        <v>15</v>
      </c>
      <c r="U4799" s="3" t="s">
        <v>5907</v>
      </c>
      <c r="V4799" s="41" t="str">
        <f>HYPERLINK("http://ictvonline.org/taxonomy/p/taxonomy-history?taxnode_id=20185226","ICTVonline=20185226")</f>
        <v>ICTVonline=20185226</v>
      </c>
    </row>
    <row r="4800" spans="1:22">
      <c r="A4800" s="3">
        <v>4799</v>
      </c>
      <c r="L4800" s="1" t="s">
        <v>784</v>
      </c>
      <c r="N4800" s="1" t="s">
        <v>2290</v>
      </c>
      <c r="P4800" s="1" t="s">
        <v>1394</v>
      </c>
      <c r="Q4800" s="3">
        <v>1</v>
      </c>
      <c r="R4800" s="22" t="s">
        <v>2766</v>
      </c>
      <c r="S4800" s="22" t="s">
        <v>5103</v>
      </c>
      <c r="T4800" s="51">
        <v>27</v>
      </c>
      <c r="U4800" s="3" t="s">
        <v>6323</v>
      </c>
      <c r="V4800" s="41" t="str">
        <f>HYPERLINK("http://ictvonline.org/taxonomy/p/taxonomy-history?taxnode_id=20185228","ICTVonline=20185228")</f>
        <v>ICTVonline=20185228</v>
      </c>
    </row>
    <row r="4801" spans="1:22">
      <c r="A4801" s="3">
        <v>4800</v>
      </c>
      <c r="L4801" s="1" t="s">
        <v>784</v>
      </c>
      <c r="N4801" s="1" t="s">
        <v>4141</v>
      </c>
      <c r="P4801" s="1" t="s">
        <v>1392</v>
      </c>
      <c r="Q4801" s="3">
        <v>0</v>
      </c>
      <c r="R4801" s="22" t="s">
        <v>2766</v>
      </c>
      <c r="S4801" s="22" t="s">
        <v>5099</v>
      </c>
      <c r="T4801" s="51">
        <v>30</v>
      </c>
      <c r="U4801" s="3" t="s">
        <v>6319</v>
      </c>
      <c r="V4801" s="41" t="str">
        <f>HYPERLINK("http://ictvonline.org/taxonomy/p/taxonomy-history?taxnode_id=20185230","ICTVonline=20185230")</f>
        <v>ICTVonline=20185230</v>
      </c>
    </row>
    <row r="4802" spans="1:22">
      <c r="A4802" s="3">
        <v>4801</v>
      </c>
      <c r="L4802" s="1" t="s">
        <v>784</v>
      </c>
      <c r="N4802" s="1" t="s">
        <v>4141</v>
      </c>
      <c r="P4802" s="1" t="s">
        <v>684</v>
      </c>
      <c r="Q4802" s="3">
        <v>1</v>
      </c>
      <c r="R4802" s="22" t="s">
        <v>2766</v>
      </c>
      <c r="S4802" s="22" t="s">
        <v>5099</v>
      </c>
      <c r="T4802" s="51">
        <v>30</v>
      </c>
      <c r="U4802" s="3" t="s">
        <v>6319</v>
      </c>
      <c r="V4802" s="41" t="str">
        <f>HYPERLINK("http://ictvonline.org/taxonomy/p/taxonomy-history?taxnode_id=20185231","ICTVonline=20185231")</f>
        <v>ICTVonline=20185231</v>
      </c>
    </row>
    <row r="4803" spans="1:22">
      <c r="A4803" s="3">
        <v>4802</v>
      </c>
      <c r="L4803" s="1" t="s">
        <v>784</v>
      </c>
      <c r="N4803" s="1" t="s">
        <v>4141</v>
      </c>
      <c r="P4803" s="1" t="s">
        <v>1274</v>
      </c>
      <c r="Q4803" s="3">
        <v>0</v>
      </c>
      <c r="R4803" s="22" t="s">
        <v>2766</v>
      </c>
      <c r="S4803" s="22" t="s">
        <v>5099</v>
      </c>
      <c r="T4803" s="51">
        <v>30</v>
      </c>
      <c r="U4803" s="3" t="s">
        <v>6319</v>
      </c>
      <c r="V4803" s="41" t="str">
        <f>HYPERLINK("http://ictvonline.org/taxonomy/p/taxonomy-history?taxnode_id=20185232","ICTVonline=20185232")</f>
        <v>ICTVonline=20185232</v>
      </c>
    </row>
    <row r="4804" spans="1:22">
      <c r="A4804" s="3">
        <v>4803</v>
      </c>
      <c r="L4804" s="1" t="s">
        <v>784</v>
      </c>
      <c r="N4804" s="1" t="s">
        <v>4141</v>
      </c>
      <c r="P4804" s="1" t="s">
        <v>207</v>
      </c>
      <c r="Q4804" s="3">
        <v>0</v>
      </c>
      <c r="R4804" s="22" t="s">
        <v>2766</v>
      </c>
      <c r="S4804" s="22" t="s">
        <v>5099</v>
      </c>
      <c r="T4804" s="51">
        <v>30</v>
      </c>
      <c r="U4804" s="3" t="s">
        <v>6319</v>
      </c>
      <c r="V4804" s="41" t="str">
        <f>HYPERLINK("http://ictvonline.org/taxonomy/p/taxonomy-history?taxnode_id=20185233","ICTVonline=20185233")</f>
        <v>ICTVonline=20185233</v>
      </c>
    </row>
    <row r="4805" spans="1:22">
      <c r="A4805" s="3">
        <v>4804</v>
      </c>
      <c r="L4805" s="1" t="s">
        <v>784</v>
      </c>
      <c r="N4805" s="1" t="s">
        <v>2291</v>
      </c>
      <c r="P4805" s="1" t="s">
        <v>2292</v>
      </c>
      <c r="Q4805" s="3">
        <v>1</v>
      </c>
      <c r="R4805" s="22" t="s">
        <v>2766</v>
      </c>
      <c r="S4805" s="22" t="s">
        <v>5102</v>
      </c>
      <c r="T4805" s="51">
        <v>27</v>
      </c>
      <c r="U4805" s="3" t="s">
        <v>6324</v>
      </c>
      <c r="V4805" s="41" t="str">
        <f>HYPERLINK("http://ictvonline.org/taxonomy/p/taxonomy-history?taxnode_id=20185235","ICTVonline=20185235")</f>
        <v>ICTVonline=20185235</v>
      </c>
    </row>
    <row r="4806" spans="1:22">
      <c r="A4806" s="3">
        <v>4805</v>
      </c>
      <c r="L4806" s="1" t="s">
        <v>784</v>
      </c>
      <c r="N4806" s="1" t="s">
        <v>1283</v>
      </c>
      <c r="P4806" s="1" t="s">
        <v>1284</v>
      </c>
      <c r="Q4806" s="3">
        <v>1</v>
      </c>
      <c r="R4806" s="22" t="s">
        <v>2766</v>
      </c>
      <c r="S4806" s="22" t="s">
        <v>5099</v>
      </c>
      <c r="T4806" s="51">
        <v>15</v>
      </c>
      <c r="U4806" s="3" t="s">
        <v>5907</v>
      </c>
      <c r="V4806" s="41" t="str">
        <f>HYPERLINK("http://ictvonline.org/taxonomy/p/taxonomy-history?taxnode_id=20185237","ICTVonline=20185237")</f>
        <v>ICTVonline=20185237</v>
      </c>
    </row>
    <row r="4807" spans="1:22">
      <c r="A4807" s="3">
        <v>4806</v>
      </c>
      <c r="L4807" s="1" t="s">
        <v>784</v>
      </c>
      <c r="N4807" s="1" t="s">
        <v>1906</v>
      </c>
      <c r="P4807" s="1" t="s">
        <v>208</v>
      </c>
      <c r="Q4807" s="3">
        <v>0</v>
      </c>
      <c r="R4807" s="22" t="s">
        <v>2766</v>
      </c>
      <c r="S4807" s="22" t="s">
        <v>5097</v>
      </c>
      <c r="T4807" s="51">
        <v>26</v>
      </c>
      <c r="U4807" s="3" t="s">
        <v>6325</v>
      </c>
      <c r="V4807" s="41" t="str">
        <f>HYPERLINK("http://ictvonline.org/taxonomy/p/taxonomy-history?taxnode_id=20185239","ICTVonline=20185239")</f>
        <v>ICTVonline=20185239</v>
      </c>
    </row>
    <row r="4808" spans="1:22">
      <c r="A4808" s="3">
        <v>4807</v>
      </c>
      <c r="L4808" s="1" t="s">
        <v>784</v>
      </c>
      <c r="N4808" s="1" t="s">
        <v>1906</v>
      </c>
      <c r="P4808" s="1" t="s">
        <v>1907</v>
      </c>
      <c r="Q4808" s="3">
        <v>1</v>
      </c>
      <c r="R4808" s="22" t="s">
        <v>2766</v>
      </c>
      <c r="S4808" s="22" t="s">
        <v>5102</v>
      </c>
      <c r="T4808" s="51">
        <v>17</v>
      </c>
      <c r="U4808" s="3" t="s">
        <v>5823</v>
      </c>
      <c r="V4808" s="41" t="str">
        <f>HYPERLINK("http://ictvonline.org/taxonomy/p/taxonomy-history?taxnode_id=20185240","ICTVonline=20185240")</f>
        <v>ICTVonline=20185240</v>
      </c>
    </row>
    <row r="4809" spans="1:22">
      <c r="A4809" s="3">
        <v>4808</v>
      </c>
      <c r="L4809" s="1" t="s">
        <v>784</v>
      </c>
      <c r="N4809" s="1" t="s">
        <v>1906</v>
      </c>
      <c r="P4809" s="1" t="s">
        <v>2753</v>
      </c>
      <c r="Q4809" s="3">
        <v>0</v>
      </c>
      <c r="R4809" s="22" t="s">
        <v>2766</v>
      </c>
      <c r="S4809" s="22" t="s">
        <v>5097</v>
      </c>
      <c r="T4809" s="51">
        <v>29</v>
      </c>
      <c r="U4809" s="3" t="s">
        <v>6326</v>
      </c>
      <c r="V4809" s="41" t="str">
        <f>HYPERLINK("http://ictvonline.org/taxonomy/p/taxonomy-history?taxnode_id=20185241","ICTVonline=20185241")</f>
        <v>ICTVonline=20185241</v>
      </c>
    </row>
    <row r="4810" spans="1:22">
      <c r="A4810" s="3">
        <v>4809</v>
      </c>
      <c r="L4810" s="1" t="s">
        <v>784</v>
      </c>
      <c r="N4810" s="1" t="s">
        <v>4142</v>
      </c>
      <c r="P4810" s="1" t="s">
        <v>2754</v>
      </c>
      <c r="Q4810" s="3">
        <v>0</v>
      </c>
      <c r="R4810" s="22" t="s">
        <v>2766</v>
      </c>
      <c r="S4810" s="22" t="s">
        <v>5099</v>
      </c>
      <c r="T4810" s="51">
        <v>30</v>
      </c>
      <c r="U4810" s="3" t="s">
        <v>6327</v>
      </c>
      <c r="V4810" s="41" t="str">
        <f>HYPERLINK("http://ictvonline.org/taxonomy/p/taxonomy-history?taxnode_id=20185243","ICTVonline=20185243")</f>
        <v>ICTVonline=20185243</v>
      </c>
    </row>
    <row r="4811" spans="1:22">
      <c r="A4811" s="3">
        <v>4810</v>
      </c>
      <c r="L4811" s="1" t="s">
        <v>784</v>
      </c>
      <c r="N4811" s="1" t="s">
        <v>4142</v>
      </c>
      <c r="P4811" s="1" t="s">
        <v>2755</v>
      </c>
      <c r="Q4811" s="3">
        <v>0</v>
      </c>
      <c r="R4811" s="22" t="s">
        <v>2766</v>
      </c>
      <c r="S4811" s="22" t="s">
        <v>5099</v>
      </c>
      <c r="T4811" s="51">
        <v>30</v>
      </c>
      <c r="U4811" s="3" t="s">
        <v>6327</v>
      </c>
      <c r="V4811" s="41" t="str">
        <f>HYPERLINK("http://ictvonline.org/taxonomy/p/taxonomy-history?taxnode_id=20185244","ICTVonline=20185244")</f>
        <v>ICTVonline=20185244</v>
      </c>
    </row>
    <row r="4812" spans="1:22">
      <c r="A4812" s="3">
        <v>4811</v>
      </c>
      <c r="L4812" s="1" t="s">
        <v>784</v>
      </c>
      <c r="N4812" s="1" t="s">
        <v>4142</v>
      </c>
      <c r="P4812" s="1" t="s">
        <v>2013</v>
      </c>
      <c r="Q4812" s="3">
        <v>1</v>
      </c>
      <c r="R4812" s="22" t="s">
        <v>2766</v>
      </c>
      <c r="S4812" s="22" t="s">
        <v>5099</v>
      </c>
      <c r="T4812" s="51">
        <v>30</v>
      </c>
      <c r="U4812" s="3" t="s">
        <v>6327</v>
      </c>
      <c r="V4812" s="41" t="str">
        <f>HYPERLINK("http://ictvonline.org/taxonomy/p/taxonomy-history?taxnode_id=20185245","ICTVonline=20185245")</f>
        <v>ICTVonline=20185245</v>
      </c>
    </row>
    <row r="4813" spans="1:22">
      <c r="A4813" s="3">
        <v>4812</v>
      </c>
      <c r="L4813" s="1" t="s">
        <v>784</v>
      </c>
      <c r="N4813" s="1" t="s">
        <v>4142</v>
      </c>
      <c r="P4813" s="1" t="s">
        <v>2756</v>
      </c>
      <c r="Q4813" s="3">
        <v>0</v>
      </c>
      <c r="R4813" s="22" t="s">
        <v>2766</v>
      </c>
      <c r="S4813" s="22" t="s">
        <v>5099</v>
      </c>
      <c r="T4813" s="51">
        <v>30</v>
      </c>
      <c r="U4813" s="3" t="s">
        <v>6327</v>
      </c>
      <c r="V4813" s="41" t="str">
        <f>HYPERLINK("http://ictvonline.org/taxonomy/p/taxonomy-history?taxnode_id=20185246","ICTVonline=20185246")</f>
        <v>ICTVonline=20185246</v>
      </c>
    </row>
    <row r="4814" spans="1:22">
      <c r="A4814" s="3">
        <v>4813</v>
      </c>
      <c r="L4814" s="1" t="s">
        <v>784</v>
      </c>
      <c r="N4814" s="1" t="s">
        <v>4142</v>
      </c>
      <c r="P4814" s="1" t="s">
        <v>2757</v>
      </c>
      <c r="Q4814" s="3">
        <v>0</v>
      </c>
      <c r="R4814" s="22" t="s">
        <v>2766</v>
      </c>
      <c r="S4814" s="22" t="s">
        <v>5099</v>
      </c>
      <c r="T4814" s="51">
        <v>30</v>
      </c>
      <c r="U4814" s="3" t="s">
        <v>6327</v>
      </c>
      <c r="V4814" s="41" t="str">
        <f>HYPERLINK("http://ictvonline.org/taxonomy/p/taxonomy-history?taxnode_id=20185247","ICTVonline=20185247")</f>
        <v>ICTVonline=20185247</v>
      </c>
    </row>
    <row r="4815" spans="1:22">
      <c r="A4815" s="3">
        <v>4814</v>
      </c>
      <c r="L4815" s="1" t="s">
        <v>784</v>
      </c>
      <c r="N4815" s="1" t="s">
        <v>1908</v>
      </c>
      <c r="P4815" s="1" t="s">
        <v>1909</v>
      </c>
      <c r="Q4815" s="3">
        <v>0</v>
      </c>
      <c r="R4815" s="22" t="s">
        <v>2766</v>
      </c>
      <c r="S4815" s="22" t="s">
        <v>5099</v>
      </c>
      <c r="T4815" s="51">
        <v>13</v>
      </c>
      <c r="U4815" s="3" t="s">
        <v>5868</v>
      </c>
      <c r="V4815" s="41" t="str">
        <f>HYPERLINK("http://ictvonline.org/taxonomy/p/taxonomy-history?taxnode_id=20185249","ICTVonline=20185249")</f>
        <v>ICTVonline=20185249</v>
      </c>
    </row>
    <row r="4816" spans="1:22">
      <c r="A4816" s="3">
        <v>4815</v>
      </c>
      <c r="L4816" s="1" t="s">
        <v>784</v>
      </c>
      <c r="N4816" s="1" t="s">
        <v>1908</v>
      </c>
      <c r="P4816" s="1" t="s">
        <v>1910</v>
      </c>
      <c r="Q4816" s="3">
        <v>0</v>
      </c>
      <c r="R4816" s="22" t="s">
        <v>2766</v>
      </c>
      <c r="S4816" s="22" t="s">
        <v>5099</v>
      </c>
      <c r="T4816" s="51">
        <v>13</v>
      </c>
      <c r="U4816" s="3" t="s">
        <v>5868</v>
      </c>
      <c r="V4816" s="41" t="str">
        <f>HYPERLINK("http://ictvonline.org/taxonomy/p/taxonomy-history?taxnode_id=20185250","ICTVonline=20185250")</f>
        <v>ICTVonline=20185250</v>
      </c>
    </row>
    <row r="4817" spans="1:22">
      <c r="A4817" s="3">
        <v>4816</v>
      </c>
      <c r="L4817" s="1" t="s">
        <v>784</v>
      </c>
      <c r="N4817" s="1" t="s">
        <v>1908</v>
      </c>
      <c r="P4817" s="1" t="s">
        <v>1911</v>
      </c>
      <c r="Q4817" s="3">
        <v>0</v>
      </c>
      <c r="R4817" s="22" t="s">
        <v>2766</v>
      </c>
      <c r="S4817" s="22" t="s">
        <v>5097</v>
      </c>
      <c r="T4817" s="51">
        <v>22</v>
      </c>
      <c r="U4817" s="3" t="s">
        <v>6328</v>
      </c>
      <c r="V4817" s="41" t="str">
        <f>HYPERLINK("http://ictvonline.org/taxonomy/p/taxonomy-history?taxnode_id=20185251","ICTVonline=20185251")</f>
        <v>ICTVonline=20185251</v>
      </c>
    </row>
    <row r="4818" spans="1:22">
      <c r="A4818" s="3">
        <v>4817</v>
      </c>
      <c r="L4818" s="1" t="s">
        <v>784</v>
      </c>
      <c r="N4818" s="1" t="s">
        <v>1908</v>
      </c>
      <c r="P4818" s="1" t="s">
        <v>1912</v>
      </c>
      <c r="Q4818" s="3">
        <v>0</v>
      </c>
      <c r="R4818" s="22" t="s">
        <v>2766</v>
      </c>
      <c r="S4818" s="22" t="s">
        <v>5099</v>
      </c>
      <c r="T4818" s="51">
        <v>13</v>
      </c>
      <c r="U4818" s="3" t="s">
        <v>5868</v>
      </c>
      <c r="V4818" s="41" t="str">
        <f>HYPERLINK("http://ictvonline.org/taxonomy/p/taxonomy-history?taxnode_id=20185252","ICTVonline=20185252")</f>
        <v>ICTVonline=20185252</v>
      </c>
    </row>
    <row r="4819" spans="1:22">
      <c r="A4819" s="3">
        <v>4818</v>
      </c>
      <c r="L4819" s="1" t="s">
        <v>784</v>
      </c>
      <c r="N4819" s="1" t="s">
        <v>1908</v>
      </c>
      <c r="P4819" s="1" t="s">
        <v>1913</v>
      </c>
      <c r="Q4819" s="3">
        <v>0</v>
      </c>
      <c r="R4819" s="22" t="s">
        <v>2766</v>
      </c>
      <c r="S4819" s="22" t="s">
        <v>5099</v>
      </c>
      <c r="T4819" s="51">
        <v>13</v>
      </c>
      <c r="U4819" s="3" t="s">
        <v>5868</v>
      </c>
      <c r="V4819" s="41" t="str">
        <f>HYPERLINK("http://ictvonline.org/taxonomy/p/taxonomy-history?taxnode_id=20185253","ICTVonline=20185253")</f>
        <v>ICTVonline=20185253</v>
      </c>
    </row>
    <row r="4820" spans="1:22">
      <c r="A4820" s="3">
        <v>4819</v>
      </c>
      <c r="L4820" s="1" t="s">
        <v>784</v>
      </c>
      <c r="N4820" s="1" t="s">
        <v>1908</v>
      </c>
      <c r="P4820" s="1" t="s">
        <v>1914</v>
      </c>
      <c r="Q4820" s="3">
        <v>0</v>
      </c>
      <c r="R4820" s="22" t="s">
        <v>2766</v>
      </c>
      <c r="S4820" s="22" t="s">
        <v>5105</v>
      </c>
      <c r="T4820" s="51">
        <v>24</v>
      </c>
      <c r="U4820" s="3" t="s">
        <v>6329</v>
      </c>
      <c r="V4820" s="41" t="str">
        <f>HYPERLINK("http://ictvonline.org/taxonomy/p/taxonomy-history?taxnode_id=20185254","ICTVonline=20185254")</f>
        <v>ICTVonline=20185254</v>
      </c>
    </row>
    <row r="4821" spans="1:22">
      <c r="A4821" s="3">
        <v>4820</v>
      </c>
      <c r="L4821" s="1" t="s">
        <v>784</v>
      </c>
      <c r="N4821" s="1" t="s">
        <v>1908</v>
      </c>
      <c r="P4821" s="1" t="s">
        <v>1942</v>
      </c>
      <c r="Q4821" s="3">
        <v>0</v>
      </c>
      <c r="R4821" s="22" t="s">
        <v>2766</v>
      </c>
      <c r="S4821" s="22" t="s">
        <v>5099</v>
      </c>
      <c r="T4821" s="51">
        <v>13</v>
      </c>
      <c r="U4821" s="3" t="s">
        <v>5868</v>
      </c>
      <c r="V4821" s="41" t="str">
        <f>HYPERLINK("http://ictvonline.org/taxonomy/p/taxonomy-history?taxnode_id=20185255","ICTVonline=20185255")</f>
        <v>ICTVonline=20185255</v>
      </c>
    </row>
    <row r="4822" spans="1:22">
      <c r="A4822" s="3">
        <v>4821</v>
      </c>
      <c r="L4822" s="1" t="s">
        <v>784</v>
      </c>
      <c r="N4822" s="1" t="s">
        <v>1908</v>
      </c>
      <c r="P4822" s="1" t="s">
        <v>1943</v>
      </c>
      <c r="Q4822" s="3">
        <v>0</v>
      </c>
      <c r="R4822" s="22" t="s">
        <v>2766</v>
      </c>
      <c r="S4822" s="22" t="s">
        <v>5097</v>
      </c>
      <c r="T4822" s="51">
        <v>24</v>
      </c>
      <c r="U4822" s="3" t="s">
        <v>6330</v>
      </c>
      <c r="V4822" s="41" t="str">
        <f>HYPERLINK("http://ictvonline.org/taxonomy/p/taxonomy-history?taxnode_id=20185256","ICTVonline=20185256")</f>
        <v>ICTVonline=20185256</v>
      </c>
    </row>
    <row r="4823" spans="1:22">
      <c r="A4823" s="3">
        <v>4822</v>
      </c>
      <c r="L4823" s="1" t="s">
        <v>784</v>
      </c>
      <c r="N4823" s="1" t="s">
        <v>1908</v>
      </c>
      <c r="P4823" s="1" t="s">
        <v>1944</v>
      </c>
      <c r="Q4823" s="3">
        <v>0</v>
      </c>
      <c r="R4823" s="22" t="s">
        <v>2766</v>
      </c>
      <c r="S4823" s="22" t="s">
        <v>5099</v>
      </c>
      <c r="T4823" s="51">
        <v>13</v>
      </c>
      <c r="U4823" s="3" t="s">
        <v>5868</v>
      </c>
      <c r="V4823" s="41" t="str">
        <f>HYPERLINK("http://ictvonline.org/taxonomy/p/taxonomy-history?taxnode_id=20185257","ICTVonline=20185257")</f>
        <v>ICTVonline=20185257</v>
      </c>
    </row>
    <row r="4824" spans="1:22">
      <c r="A4824" s="3">
        <v>4823</v>
      </c>
      <c r="L4824" s="1" t="s">
        <v>784</v>
      </c>
      <c r="N4824" s="1" t="s">
        <v>1908</v>
      </c>
      <c r="P4824" s="1" t="s">
        <v>1945</v>
      </c>
      <c r="Q4824" s="3">
        <v>0</v>
      </c>
      <c r="R4824" s="22" t="s">
        <v>2766</v>
      </c>
      <c r="S4824" s="22" t="s">
        <v>5097</v>
      </c>
      <c r="T4824" s="51">
        <v>24</v>
      </c>
      <c r="U4824" s="3" t="s">
        <v>6331</v>
      </c>
      <c r="V4824" s="41" t="str">
        <f>HYPERLINK("http://ictvonline.org/taxonomy/p/taxonomy-history?taxnode_id=20185258","ICTVonline=20185258")</f>
        <v>ICTVonline=20185258</v>
      </c>
    </row>
    <row r="4825" spans="1:22">
      <c r="A4825" s="3">
        <v>4824</v>
      </c>
      <c r="L4825" s="1" t="s">
        <v>784</v>
      </c>
      <c r="N4825" s="1" t="s">
        <v>1908</v>
      </c>
      <c r="P4825" s="1" t="s">
        <v>1946</v>
      </c>
      <c r="Q4825" s="3">
        <v>0</v>
      </c>
      <c r="R4825" s="22" t="s">
        <v>2766</v>
      </c>
      <c r="S4825" s="22" t="s">
        <v>5099</v>
      </c>
      <c r="T4825" s="51">
        <v>13</v>
      </c>
      <c r="U4825" s="3" t="s">
        <v>5868</v>
      </c>
      <c r="V4825" s="41" t="str">
        <f>HYPERLINK("http://ictvonline.org/taxonomy/p/taxonomy-history?taxnode_id=20185259","ICTVonline=20185259")</f>
        <v>ICTVonline=20185259</v>
      </c>
    </row>
    <row r="4826" spans="1:22">
      <c r="A4826" s="3">
        <v>4825</v>
      </c>
      <c r="L4826" s="1" t="s">
        <v>784</v>
      </c>
      <c r="N4826" s="1" t="s">
        <v>1908</v>
      </c>
      <c r="P4826" s="1" t="s">
        <v>1947</v>
      </c>
      <c r="Q4826" s="3">
        <v>0</v>
      </c>
      <c r="R4826" s="22" t="s">
        <v>2766</v>
      </c>
      <c r="S4826" s="22" t="s">
        <v>5099</v>
      </c>
      <c r="T4826" s="51">
        <v>13</v>
      </c>
      <c r="U4826" s="3" t="s">
        <v>5868</v>
      </c>
      <c r="V4826" s="41" t="str">
        <f>HYPERLINK("http://ictvonline.org/taxonomy/p/taxonomy-history?taxnode_id=20185260","ICTVonline=20185260")</f>
        <v>ICTVonline=20185260</v>
      </c>
    </row>
    <row r="4827" spans="1:22">
      <c r="A4827" s="3">
        <v>4826</v>
      </c>
      <c r="L4827" s="1" t="s">
        <v>784</v>
      </c>
      <c r="N4827" s="1" t="s">
        <v>1908</v>
      </c>
      <c r="P4827" s="1" t="s">
        <v>1948</v>
      </c>
      <c r="Q4827" s="3">
        <v>0</v>
      </c>
      <c r="R4827" s="22" t="s">
        <v>2766</v>
      </c>
      <c r="S4827" s="22" t="s">
        <v>5099</v>
      </c>
      <c r="T4827" s="51">
        <v>13</v>
      </c>
      <c r="U4827" s="3" t="s">
        <v>5868</v>
      </c>
      <c r="V4827" s="41" t="str">
        <f>HYPERLINK("http://ictvonline.org/taxonomy/p/taxonomy-history?taxnode_id=20185261","ICTVonline=20185261")</f>
        <v>ICTVonline=20185261</v>
      </c>
    </row>
    <row r="4828" spans="1:22">
      <c r="A4828" s="3">
        <v>4827</v>
      </c>
      <c r="L4828" s="1" t="s">
        <v>784</v>
      </c>
      <c r="N4828" s="1" t="s">
        <v>1908</v>
      </c>
      <c r="P4828" s="1" t="s">
        <v>1949</v>
      </c>
      <c r="Q4828" s="3">
        <v>0</v>
      </c>
      <c r="R4828" s="22" t="s">
        <v>2766</v>
      </c>
      <c r="S4828" s="22" t="s">
        <v>5097</v>
      </c>
      <c r="T4828" s="51">
        <v>24</v>
      </c>
      <c r="U4828" s="3" t="s">
        <v>6331</v>
      </c>
      <c r="V4828" s="41" t="str">
        <f>HYPERLINK("http://ictvonline.org/taxonomy/p/taxonomy-history?taxnode_id=20185262","ICTVonline=20185262")</f>
        <v>ICTVonline=20185262</v>
      </c>
    </row>
    <row r="4829" spans="1:22">
      <c r="A4829" s="3">
        <v>4828</v>
      </c>
      <c r="L4829" s="1" t="s">
        <v>784</v>
      </c>
      <c r="N4829" s="1" t="s">
        <v>1908</v>
      </c>
      <c r="P4829" s="1" t="s">
        <v>887</v>
      </c>
      <c r="Q4829" s="3">
        <v>0</v>
      </c>
      <c r="R4829" s="22" t="s">
        <v>2766</v>
      </c>
      <c r="S4829" s="22" t="s">
        <v>5099</v>
      </c>
      <c r="T4829" s="51">
        <v>13</v>
      </c>
      <c r="U4829" s="3" t="s">
        <v>5868</v>
      </c>
      <c r="V4829" s="41" t="str">
        <f>HYPERLINK("http://ictvonline.org/taxonomy/p/taxonomy-history?taxnode_id=20185263","ICTVonline=20185263")</f>
        <v>ICTVonline=20185263</v>
      </c>
    </row>
    <row r="4830" spans="1:22">
      <c r="A4830" s="3">
        <v>4829</v>
      </c>
      <c r="L4830" s="1" t="s">
        <v>784</v>
      </c>
      <c r="N4830" s="1" t="s">
        <v>1908</v>
      </c>
      <c r="P4830" s="1" t="s">
        <v>1915</v>
      </c>
      <c r="Q4830" s="3">
        <v>0</v>
      </c>
      <c r="R4830" s="22" t="s">
        <v>2766</v>
      </c>
      <c r="S4830" s="22" t="s">
        <v>5100</v>
      </c>
      <c r="T4830" s="51">
        <v>18</v>
      </c>
      <c r="U4830" s="3" t="s">
        <v>5486</v>
      </c>
      <c r="V4830" s="41" t="str">
        <f>HYPERLINK("http://ictvonline.org/taxonomy/p/taxonomy-history?taxnode_id=20185264","ICTVonline=20185264")</f>
        <v>ICTVonline=20185264</v>
      </c>
    </row>
    <row r="4831" spans="1:22">
      <c r="A4831" s="3">
        <v>4830</v>
      </c>
      <c r="L4831" s="1" t="s">
        <v>784</v>
      </c>
      <c r="N4831" s="1" t="s">
        <v>1908</v>
      </c>
      <c r="P4831" s="1" t="s">
        <v>1921</v>
      </c>
      <c r="Q4831" s="3">
        <v>1</v>
      </c>
      <c r="R4831" s="22" t="s">
        <v>2766</v>
      </c>
      <c r="S4831" s="22" t="s">
        <v>5099</v>
      </c>
      <c r="T4831" s="51">
        <v>13</v>
      </c>
      <c r="U4831" s="3" t="s">
        <v>5868</v>
      </c>
      <c r="V4831" s="41" t="str">
        <f>HYPERLINK("http://ictvonline.org/taxonomy/p/taxonomy-history?taxnode_id=20185265","ICTVonline=20185265")</f>
        <v>ICTVonline=20185265</v>
      </c>
    </row>
    <row r="4832" spans="1:22">
      <c r="A4832" s="3">
        <v>4831</v>
      </c>
      <c r="L4832" s="1" t="s">
        <v>784</v>
      </c>
      <c r="N4832" s="1" t="s">
        <v>1722</v>
      </c>
      <c r="P4832" s="1" t="s">
        <v>1723</v>
      </c>
      <c r="Q4832" s="3">
        <v>0</v>
      </c>
      <c r="R4832" s="22" t="s">
        <v>2766</v>
      </c>
      <c r="S4832" s="22" t="s">
        <v>5099</v>
      </c>
      <c r="T4832" s="51">
        <v>29</v>
      </c>
      <c r="U4832" s="3" t="s">
        <v>6067</v>
      </c>
      <c r="V4832" s="41" t="str">
        <f>HYPERLINK("http://ictvonline.org/taxonomy/p/taxonomy-history?taxnode_id=20185267","ICTVonline=20185267")</f>
        <v>ICTVonline=20185267</v>
      </c>
    </row>
    <row r="4833" spans="1:22">
      <c r="A4833" s="3">
        <v>4832</v>
      </c>
      <c r="L4833" s="1" t="s">
        <v>784</v>
      </c>
      <c r="N4833" s="1" t="s">
        <v>1722</v>
      </c>
      <c r="P4833" s="1" t="s">
        <v>1127</v>
      </c>
      <c r="Q4833" s="3">
        <v>1</v>
      </c>
      <c r="R4833" s="22" t="s">
        <v>2766</v>
      </c>
      <c r="S4833" s="22" t="s">
        <v>5099</v>
      </c>
      <c r="T4833" s="51">
        <v>29</v>
      </c>
      <c r="U4833" s="3" t="s">
        <v>6067</v>
      </c>
      <c r="V4833" s="41" t="str">
        <f>HYPERLINK("http://ictvonline.org/taxonomy/p/taxonomy-history?taxnode_id=20185268","ICTVonline=20185268")</f>
        <v>ICTVonline=20185268</v>
      </c>
    </row>
    <row r="4834" spans="1:22">
      <c r="A4834" s="3">
        <v>4833</v>
      </c>
      <c r="L4834" s="1" t="s">
        <v>784</v>
      </c>
      <c r="N4834" s="1" t="s">
        <v>1722</v>
      </c>
      <c r="P4834" s="1" t="s">
        <v>5085</v>
      </c>
      <c r="Q4834" s="3">
        <v>0</v>
      </c>
      <c r="R4834" s="22" t="s">
        <v>2766</v>
      </c>
      <c r="S4834" s="22" t="s">
        <v>5097</v>
      </c>
      <c r="T4834" s="51">
        <v>31</v>
      </c>
      <c r="U4834" s="3" t="s">
        <v>6332</v>
      </c>
      <c r="V4834" s="41" t="str">
        <f>HYPERLINK("http://ictvonline.org/taxonomy/p/taxonomy-history?taxnode_id=20185269","ICTVonline=20185269")</f>
        <v>ICTVonline=20185269</v>
      </c>
    </row>
    <row r="4835" spans="1:22">
      <c r="A4835" s="3">
        <v>4834</v>
      </c>
      <c r="L4835" s="1" t="s">
        <v>784</v>
      </c>
      <c r="N4835" s="1" t="s">
        <v>1722</v>
      </c>
      <c r="P4835" s="1" t="s">
        <v>1128</v>
      </c>
      <c r="Q4835" s="3">
        <v>0</v>
      </c>
      <c r="R4835" s="22" t="s">
        <v>2766</v>
      </c>
      <c r="S4835" s="22" t="s">
        <v>5099</v>
      </c>
      <c r="T4835" s="51">
        <v>29</v>
      </c>
      <c r="U4835" s="3" t="s">
        <v>6067</v>
      </c>
      <c r="V4835" s="41" t="str">
        <f>HYPERLINK("http://ictvonline.org/taxonomy/p/taxonomy-history?taxnode_id=20185270","ICTVonline=20185270")</f>
        <v>ICTVonline=20185270</v>
      </c>
    </row>
    <row r="4836" spans="1:22">
      <c r="A4836" s="3">
        <v>4835</v>
      </c>
      <c r="L4836" s="1" t="s">
        <v>784</v>
      </c>
      <c r="N4836" s="1" t="s">
        <v>1722</v>
      </c>
      <c r="P4836" s="1" t="s">
        <v>1640</v>
      </c>
      <c r="Q4836" s="3">
        <v>0</v>
      </c>
      <c r="R4836" s="22" t="s">
        <v>2766</v>
      </c>
      <c r="S4836" s="22" t="s">
        <v>5099</v>
      </c>
      <c r="T4836" s="51">
        <v>29</v>
      </c>
      <c r="U4836" s="3" t="s">
        <v>6067</v>
      </c>
      <c r="V4836" s="41" t="str">
        <f>HYPERLINK("http://ictvonline.org/taxonomy/p/taxonomy-history?taxnode_id=20185271","ICTVonline=20185271")</f>
        <v>ICTVonline=20185271</v>
      </c>
    </row>
    <row r="4837" spans="1:22">
      <c r="A4837" s="3">
        <v>4836</v>
      </c>
      <c r="L4837" s="1" t="s">
        <v>784</v>
      </c>
      <c r="N4837" s="1" t="s">
        <v>1722</v>
      </c>
      <c r="P4837" s="1" t="s">
        <v>5086</v>
      </c>
      <c r="Q4837" s="3">
        <v>0</v>
      </c>
      <c r="R4837" s="22" t="s">
        <v>2766</v>
      </c>
      <c r="S4837" s="22" t="s">
        <v>5097</v>
      </c>
      <c r="T4837" s="51">
        <v>31</v>
      </c>
      <c r="U4837" s="3" t="s">
        <v>6332</v>
      </c>
      <c r="V4837" s="41" t="str">
        <f>HYPERLINK("http://ictvonline.org/taxonomy/p/taxonomy-history?taxnode_id=20185272","ICTVonline=20185272")</f>
        <v>ICTVonline=20185272</v>
      </c>
    </row>
    <row r="4838" spans="1:22">
      <c r="A4838" s="3">
        <v>4837</v>
      </c>
      <c r="L4838" s="1" t="s">
        <v>784</v>
      </c>
      <c r="N4838" s="1" t="s">
        <v>1722</v>
      </c>
      <c r="P4838" s="1" t="s">
        <v>2642</v>
      </c>
      <c r="Q4838" s="3">
        <v>0</v>
      </c>
      <c r="R4838" s="22" t="s">
        <v>2766</v>
      </c>
      <c r="S4838" s="22" t="s">
        <v>5099</v>
      </c>
      <c r="T4838" s="51">
        <v>29</v>
      </c>
      <c r="U4838" s="3" t="s">
        <v>6067</v>
      </c>
      <c r="V4838" s="41" t="str">
        <f>HYPERLINK("http://ictvonline.org/taxonomy/p/taxonomy-history?taxnode_id=20185273","ICTVonline=20185273")</f>
        <v>ICTVonline=20185273</v>
      </c>
    </row>
    <row r="4839" spans="1:22">
      <c r="A4839" s="3">
        <v>4838</v>
      </c>
      <c r="L4839" s="1" t="s">
        <v>784</v>
      </c>
      <c r="N4839" s="1" t="s">
        <v>1722</v>
      </c>
      <c r="P4839" s="1" t="s">
        <v>1130</v>
      </c>
      <c r="Q4839" s="3">
        <v>0</v>
      </c>
      <c r="R4839" s="22" t="s">
        <v>2766</v>
      </c>
      <c r="S4839" s="22" t="s">
        <v>5099</v>
      </c>
      <c r="T4839" s="51">
        <v>29</v>
      </c>
      <c r="U4839" s="3" t="s">
        <v>6067</v>
      </c>
      <c r="V4839" s="41" t="str">
        <f>HYPERLINK("http://ictvonline.org/taxonomy/p/taxonomy-history?taxnode_id=20185274","ICTVonline=20185274")</f>
        <v>ICTVonline=20185274</v>
      </c>
    </row>
    <row r="4840" spans="1:22">
      <c r="A4840" s="3">
        <v>4839</v>
      </c>
      <c r="L4840" s="1" t="s">
        <v>784</v>
      </c>
      <c r="N4840" s="1" t="s">
        <v>1722</v>
      </c>
      <c r="P4840" s="1" t="s">
        <v>1048</v>
      </c>
      <c r="Q4840" s="3">
        <v>0</v>
      </c>
      <c r="R4840" s="22" t="s">
        <v>2766</v>
      </c>
      <c r="S4840" s="22" t="s">
        <v>5099</v>
      </c>
      <c r="T4840" s="51">
        <v>29</v>
      </c>
      <c r="U4840" s="3" t="s">
        <v>6067</v>
      </c>
      <c r="V4840" s="41" t="str">
        <f>HYPERLINK("http://ictvonline.org/taxonomy/p/taxonomy-history?taxnode_id=20185275","ICTVonline=20185275")</f>
        <v>ICTVonline=20185275</v>
      </c>
    </row>
    <row r="4841" spans="1:22">
      <c r="A4841" s="3">
        <v>4840</v>
      </c>
      <c r="L4841" s="1" t="s">
        <v>784</v>
      </c>
      <c r="N4841" s="1" t="s">
        <v>2293</v>
      </c>
      <c r="P4841" s="1" t="s">
        <v>2012</v>
      </c>
      <c r="Q4841" s="3">
        <v>1</v>
      </c>
      <c r="R4841" s="22" t="s">
        <v>2766</v>
      </c>
      <c r="S4841" s="22" t="s">
        <v>5103</v>
      </c>
      <c r="T4841" s="51">
        <v>27</v>
      </c>
      <c r="U4841" s="3" t="s">
        <v>6334</v>
      </c>
      <c r="V4841" s="41" t="str">
        <f>HYPERLINK("http://ictvonline.org/taxonomy/p/taxonomy-history?taxnode_id=20185284","ICTVonline=20185284")</f>
        <v>ICTVonline=20185284</v>
      </c>
    </row>
    <row r="4842" spans="1:22">
      <c r="A4842" s="3">
        <v>4841</v>
      </c>
      <c r="L4842" s="1" t="s">
        <v>784</v>
      </c>
      <c r="P4842" s="1" t="s">
        <v>790</v>
      </c>
      <c r="Q4842" s="3">
        <v>0</v>
      </c>
      <c r="R4842" s="22" t="s">
        <v>2766</v>
      </c>
      <c r="S4842" s="22" t="s">
        <v>5099</v>
      </c>
      <c r="T4842" s="51">
        <v>30</v>
      </c>
      <c r="U4842" s="3" t="s">
        <v>6319</v>
      </c>
      <c r="V4842" s="41" t="str">
        <f>HYPERLINK("http://ictvonline.org/taxonomy/p/taxonomy-history?taxnode_id=20185277","ICTVonline=20185277")</f>
        <v>ICTVonline=20185277</v>
      </c>
    </row>
    <row r="4843" spans="1:22">
      <c r="A4843" s="3">
        <v>4842</v>
      </c>
      <c r="L4843" s="1" t="s">
        <v>784</v>
      </c>
      <c r="P4843" s="1" t="s">
        <v>792</v>
      </c>
      <c r="Q4843" s="3">
        <v>0</v>
      </c>
      <c r="R4843" s="22" t="s">
        <v>2766</v>
      </c>
      <c r="S4843" s="22" t="s">
        <v>5099</v>
      </c>
      <c r="T4843" s="51">
        <v>30</v>
      </c>
      <c r="U4843" s="3" t="s">
        <v>6319</v>
      </c>
      <c r="V4843" s="41" t="str">
        <f>HYPERLINK("http://ictvonline.org/taxonomy/p/taxonomy-history?taxnode_id=20185278","ICTVonline=20185278")</f>
        <v>ICTVonline=20185278</v>
      </c>
    </row>
    <row r="4844" spans="1:22">
      <c r="A4844" s="3">
        <v>4843</v>
      </c>
      <c r="L4844" s="1" t="s">
        <v>784</v>
      </c>
      <c r="P4844" s="1" t="s">
        <v>874</v>
      </c>
      <c r="Q4844" s="3">
        <v>0</v>
      </c>
      <c r="R4844" s="22" t="s">
        <v>2766</v>
      </c>
      <c r="S4844" s="22" t="s">
        <v>5099</v>
      </c>
      <c r="T4844" s="51">
        <v>27</v>
      </c>
      <c r="U4844" s="3" t="s">
        <v>6320</v>
      </c>
      <c r="V4844" s="41" t="str">
        <f>HYPERLINK("http://ictvonline.org/taxonomy/p/taxonomy-history?taxnode_id=20185279","ICTVonline=20185279")</f>
        <v>ICTVonline=20185279</v>
      </c>
    </row>
    <row r="4845" spans="1:22">
      <c r="A4845" s="3">
        <v>4844</v>
      </c>
      <c r="L4845" s="1" t="s">
        <v>784</v>
      </c>
      <c r="P4845" s="1" t="s">
        <v>1393</v>
      </c>
      <c r="Q4845" s="3">
        <v>0</v>
      </c>
      <c r="R4845" s="22" t="s">
        <v>2766</v>
      </c>
      <c r="S4845" s="22" t="s">
        <v>5099</v>
      </c>
      <c r="T4845" s="51">
        <v>30</v>
      </c>
      <c r="U4845" s="3" t="s">
        <v>6319</v>
      </c>
      <c r="V4845" s="41" t="str">
        <f>HYPERLINK("http://ictvonline.org/taxonomy/p/taxonomy-history?taxnode_id=20185280","ICTVonline=20185280")</f>
        <v>ICTVonline=20185280</v>
      </c>
    </row>
    <row r="4846" spans="1:22">
      <c r="A4846" s="3">
        <v>4845</v>
      </c>
      <c r="L4846" s="1" t="s">
        <v>784</v>
      </c>
      <c r="P4846" s="1" t="s">
        <v>2758</v>
      </c>
      <c r="Q4846" s="3">
        <v>0</v>
      </c>
      <c r="R4846" s="22" t="s">
        <v>2766</v>
      </c>
      <c r="S4846" s="22" t="s">
        <v>5097</v>
      </c>
      <c r="T4846" s="51">
        <v>29</v>
      </c>
      <c r="U4846" s="3" t="s">
        <v>6333</v>
      </c>
      <c r="V4846" s="41" t="str">
        <f>HYPERLINK("http://ictvonline.org/taxonomy/p/taxonomy-history?taxnode_id=20185281","ICTVonline=20185281")</f>
        <v>ICTVonline=20185281</v>
      </c>
    </row>
    <row r="4847" spans="1:22">
      <c r="A4847" s="3">
        <v>4846</v>
      </c>
      <c r="L4847" s="1" t="s">
        <v>784</v>
      </c>
      <c r="P4847" s="1" t="s">
        <v>1278</v>
      </c>
      <c r="Q4847" s="3">
        <v>0</v>
      </c>
      <c r="R4847" s="22" t="s">
        <v>2766</v>
      </c>
      <c r="S4847" s="22" t="s">
        <v>5099</v>
      </c>
      <c r="T4847" s="51">
        <v>30</v>
      </c>
      <c r="U4847" s="3" t="s">
        <v>6319</v>
      </c>
      <c r="V4847" s="41" t="str">
        <f>HYPERLINK("http://ictvonline.org/taxonomy/p/taxonomy-history?taxnode_id=20185282","ICTVonline=20185282")</f>
        <v>ICTVonline=20185282</v>
      </c>
    </row>
    <row r="4848" spans="1:22">
      <c r="A4848" s="3">
        <v>4847</v>
      </c>
      <c r="L4848" s="1" t="s">
        <v>1922</v>
      </c>
      <c r="N4848" s="1" t="s">
        <v>1923</v>
      </c>
      <c r="P4848" s="1" t="s">
        <v>1610</v>
      </c>
      <c r="Q4848" s="3">
        <v>1</v>
      </c>
      <c r="R4848" s="22" t="s">
        <v>2768</v>
      </c>
      <c r="S4848" s="22" t="s">
        <v>5099</v>
      </c>
      <c r="T4848" s="51">
        <v>13</v>
      </c>
      <c r="U4848" s="3" t="s">
        <v>5868</v>
      </c>
      <c r="V4848" s="41" t="str">
        <f>HYPERLINK("http://ictvonline.org/taxonomy/p/taxonomy-history?taxnode_id=20185288","ICTVonline=20185288")</f>
        <v>ICTVonline=20185288</v>
      </c>
    </row>
    <row r="4849" spans="1:22">
      <c r="A4849" s="3">
        <v>4848</v>
      </c>
      <c r="L4849" s="1" t="s">
        <v>1922</v>
      </c>
      <c r="N4849" s="1" t="s">
        <v>1611</v>
      </c>
      <c r="P4849" s="1" t="s">
        <v>2624</v>
      </c>
      <c r="Q4849" s="3">
        <v>1</v>
      </c>
      <c r="R4849" s="22" t="s">
        <v>2768</v>
      </c>
      <c r="S4849" s="22" t="s">
        <v>5100</v>
      </c>
      <c r="T4849" s="51">
        <v>28</v>
      </c>
      <c r="U4849" s="3" t="s">
        <v>6335</v>
      </c>
      <c r="V4849" s="41" t="str">
        <f>HYPERLINK("http://ictvonline.org/taxonomy/p/taxonomy-history?taxnode_id=20185290","ICTVonline=20185290")</f>
        <v>ICTVonline=20185290</v>
      </c>
    </row>
    <row r="4850" spans="1:22">
      <c r="A4850" s="3">
        <v>4849</v>
      </c>
      <c r="L4850" s="1" t="s">
        <v>1922</v>
      </c>
      <c r="N4850" s="1" t="s">
        <v>1611</v>
      </c>
      <c r="P4850" s="1" t="s">
        <v>2625</v>
      </c>
      <c r="Q4850" s="3">
        <v>0</v>
      </c>
      <c r="R4850" s="22" t="s">
        <v>2768</v>
      </c>
      <c r="S4850" s="22" t="s">
        <v>5100</v>
      </c>
      <c r="T4850" s="51">
        <v>28</v>
      </c>
      <c r="U4850" s="3" t="s">
        <v>6335</v>
      </c>
      <c r="V4850" s="41" t="str">
        <f>HYPERLINK("http://ictvonline.org/taxonomy/p/taxonomy-history?taxnode_id=20185291","ICTVonline=20185291")</f>
        <v>ICTVonline=20185291</v>
      </c>
    </row>
    <row r="4851" spans="1:22">
      <c r="A4851" s="3">
        <v>4850</v>
      </c>
      <c r="L4851" s="1" t="s">
        <v>1922</v>
      </c>
      <c r="N4851" s="1" t="s">
        <v>1340</v>
      </c>
      <c r="P4851" s="1" t="s">
        <v>1341</v>
      </c>
      <c r="Q4851" s="3">
        <v>1</v>
      </c>
      <c r="R4851" s="22" t="s">
        <v>2768</v>
      </c>
      <c r="S4851" s="22" t="s">
        <v>5100</v>
      </c>
      <c r="T4851" s="51">
        <v>12</v>
      </c>
      <c r="U4851" s="3" t="s">
        <v>5932</v>
      </c>
      <c r="V4851" s="41" t="str">
        <f>HYPERLINK("http://ictvonline.org/taxonomy/p/taxonomy-history?taxnode_id=20185293","ICTVonline=20185293")</f>
        <v>ICTVonline=20185293</v>
      </c>
    </row>
    <row r="4852" spans="1:22">
      <c r="A4852" s="3">
        <v>4851</v>
      </c>
      <c r="L4852" s="1" t="s">
        <v>1922</v>
      </c>
      <c r="N4852" s="1" t="s">
        <v>1340</v>
      </c>
      <c r="P4852" s="1" t="s">
        <v>6336</v>
      </c>
      <c r="Q4852" s="3">
        <v>0</v>
      </c>
      <c r="R4852" s="22" t="s">
        <v>2768</v>
      </c>
      <c r="S4852" s="22" t="s">
        <v>5100</v>
      </c>
      <c r="T4852" s="51">
        <v>23</v>
      </c>
      <c r="U4852" s="3" t="s">
        <v>5872</v>
      </c>
      <c r="V4852" s="41" t="str">
        <f>HYPERLINK("http://ictvonline.org/taxonomy/p/taxonomy-history?taxnode_id=20185294","ICTVonline=20185294")</f>
        <v>ICTVonline=20185294</v>
      </c>
    </row>
    <row r="4853" spans="1:22">
      <c r="A4853" s="3">
        <v>4852</v>
      </c>
      <c r="L4853" s="1" t="s">
        <v>1922</v>
      </c>
      <c r="N4853" s="1" t="s">
        <v>1340</v>
      </c>
      <c r="P4853" s="1" t="s">
        <v>2626</v>
      </c>
      <c r="Q4853" s="3">
        <v>0</v>
      </c>
      <c r="R4853" s="22" t="s">
        <v>2768</v>
      </c>
      <c r="S4853" s="22" t="s">
        <v>5097</v>
      </c>
      <c r="T4853" s="51">
        <v>28</v>
      </c>
      <c r="U4853" s="3" t="s">
        <v>6337</v>
      </c>
      <c r="V4853" s="41" t="str">
        <f>HYPERLINK("http://ictvonline.org/taxonomy/p/taxonomy-history?taxnode_id=20185295","ICTVonline=20185295")</f>
        <v>ICTVonline=20185295</v>
      </c>
    </row>
    <row r="4854" spans="1:22">
      <c r="A4854" s="3">
        <v>4853</v>
      </c>
      <c r="L4854" s="1" t="s">
        <v>1922</v>
      </c>
      <c r="N4854" s="1" t="s">
        <v>1340</v>
      </c>
      <c r="P4854" s="1" t="s">
        <v>2627</v>
      </c>
      <c r="Q4854" s="3">
        <v>0</v>
      </c>
      <c r="R4854" s="22" t="s">
        <v>2768</v>
      </c>
      <c r="S4854" s="22" t="s">
        <v>5097</v>
      </c>
      <c r="T4854" s="51">
        <v>28</v>
      </c>
      <c r="U4854" s="3" t="s">
        <v>6337</v>
      </c>
      <c r="V4854" s="41" t="str">
        <f>HYPERLINK("http://ictvonline.org/taxonomy/p/taxonomy-history?taxnode_id=20185296","ICTVonline=20185296")</f>
        <v>ICTVonline=20185296</v>
      </c>
    </row>
    <row r="4855" spans="1:22">
      <c r="A4855" s="3">
        <v>4854</v>
      </c>
      <c r="L4855" s="1" t="s">
        <v>1922</v>
      </c>
      <c r="N4855" s="1" t="s">
        <v>1340</v>
      </c>
      <c r="P4855" s="1" t="s">
        <v>1342</v>
      </c>
      <c r="Q4855" s="3">
        <v>0</v>
      </c>
      <c r="R4855" s="22" t="s">
        <v>2768</v>
      </c>
      <c r="S4855" s="22" t="s">
        <v>5100</v>
      </c>
      <c r="T4855" s="51">
        <v>18</v>
      </c>
      <c r="U4855" s="3" t="s">
        <v>5486</v>
      </c>
      <c r="V4855" s="41" t="str">
        <f>HYPERLINK("http://ictvonline.org/taxonomy/p/taxonomy-history?taxnode_id=20185297","ICTVonline=20185297")</f>
        <v>ICTVonline=20185297</v>
      </c>
    </row>
    <row r="4856" spans="1:22">
      <c r="A4856" s="3">
        <v>4855</v>
      </c>
      <c r="L4856" s="1" t="s">
        <v>1922</v>
      </c>
      <c r="N4856" s="1" t="s">
        <v>1340</v>
      </c>
      <c r="P4856" s="1" t="s">
        <v>2628</v>
      </c>
      <c r="Q4856" s="3">
        <v>0</v>
      </c>
      <c r="R4856" s="22" t="s">
        <v>2768</v>
      </c>
      <c r="S4856" s="22" t="s">
        <v>5097</v>
      </c>
      <c r="T4856" s="51">
        <v>28</v>
      </c>
      <c r="U4856" s="3" t="s">
        <v>6337</v>
      </c>
      <c r="V4856" s="41" t="str">
        <f>HYPERLINK("http://ictvonline.org/taxonomy/p/taxonomy-history?taxnode_id=20185298","ICTVonline=20185298")</f>
        <v>ICTVonline=20185298</v>
      </c>
    </row>
    <row r="4857" spans="1:22">
      <c r="A4857" s="3">
        <v>4856</v>
      </c>
      <c r="L4857" s="1" t="s">
        <v>1922</v>
      </c>
      <c r="N4857" s="1" t="s">
        <v>1340</v>
      </c>
      <c r="P4857" s="1" t="s">
        <v>2629</v>
      </c>
      <c r="Q4857" s="3">
        <v>0</v>
      </c>
      <c r="R4857" s="22" t="s">
        <v>2768</v>
      </c>
      <c r="S4857" s="22" t="s">
        <v>5097</v>
      </c>
      <c r="T4857" s="51">
        <v>28</v>
      </c>
      <c r="U4857" s="3" t="s">
        <v>6337</v>
      </c>
      <c r="V4857" s="41" t="str">
        <f>HYPERLINK("http://ictvonline.org/taxonomy/p/taxonomy-history?taxnode_id=20185299","ICTVonline=20185299")</f>
        <v>ICTVonline=20185299</v>
      </c>
    </row>
    <row r="4858" spans="1:22">
      <c r="A4858" s="3">
        <v>4857</v>
      </c>
      <c r="L4858" s="1" t="s">
        <v>1922</v>
      </c>
      <c r="N4858" s="1" t="s">
        <v>209</v>
      </c>
      <c r="P4858" s="1" t="s">
        <v>210</v>
      </c>
      <c r="Q4858" s="3">
        <v>1</v>
      </c>
      <c r="R4858" s="22" t="s">
        <v>2768</v>
      </c>
      <c r="S4858" s="22" t="s">
        <v>5102</v>
      </c>
      <c r="T4858" s="51">
        <v>26</v>
      </c>
      <c r="U4858" s="3" t="s">
        <v>6338</v>
      </c>
      <c r="V4858" s="41" t="str">
        <f>HYPERLINK("http://ictvonline.org/taxonomy/p/taxonomy-history?taxnode_id=20185301","ICTVonline=20185301")</f>
        <v>ICTVonline=20185301</v>
      </c>
    </row>
    <row r="4859" spans="1:22">
      <c r="A4859" s="3">
        <v>4858</v>
      </c>
      <c r="L4859" s="1" t="s">
        <v>1922</v>
      </c>
      <c r="N4859" s="1" t="s">
        <v>209</v>
      </c>
      <c r="P4859" s="1" t="s">
        <v>211</v>
      </c>
      <c r="Q4859" s="3">
        <v>0</v>
      </c>
      <c r="R4859" s="22" t="s">
        <v>2768</v>
      </c>
      <c r="S4859" s="22" t="s">
        <v>5097</v>
      </c>
      <c r="T4859" s="51">
        <v>26</v>
      </c>
      <c r="U4859" s="3" t="s">
        <v>6338</v>
      </c>
      <c r="V4859" s="41" t="str">
        <f>HYPERLINK("http://ictvonline.org/taxonomy/p/taxonomy-history?taxnode_id=20185302","ICTVonline=20185302")</f>
        <v>ICTVonline=20185302</v>
      </c>
    </row>
    <row r="4860" spans="1:22">
      <c r="A4860" s="3">
        <v>4859</v>
      </c>
      <c r="L4860" s="1" t="s">
        <v>1922</v>
      </c>
      <c r="N4860" s="1" t="s">
        <v>209</v>
      </c>
      <c r="P4860" s="1" t="s">
        <v>212</v>
      </c>
      <c r="Q4860" s="3">
        <v>0</v>
      </c>
      <c r="R4860" s="22" t="s">
        <v>2768</v>
      </c>
      <c r="S4860" s="22" t="s">
        <v>5097</v>
      </c>
      <c r="T4860" s="51">
        <v>26</v>
      </c>
      <c r="U4860" s="3" t="s">
        <v>6338</v>
      </c>
      <c r="V4860" s="41" t="str">
        <f>HYPERLINK("http://ictvonline.org/taxonomy/p/taxonomy-history?taxnode_id=20185303","ICTVonline=20185303")</f>
        <v>ICTVonline=20185303</v>
      </c>
    </row>
    <row r="4861" spans="1:22">
      <c r="A4861" s="3">
        <v>4860</v>
      </c>
      <c r="L4861" s="1" t="s">
        <v>1922</v>
      </c>
      <c r="N4861" s="1" t="s">
        <v>209</v>
      </c>
      <c r="P4861" s="1" t="s">
        <v>2630</v>
      </c>
      <c r="Q4861" s="3">
        <v>0</v>
      </c>
      <c r="R4861" s="22" t="s">
        <v>2768</v>
      </c>
      <c r="S4861" s="22" t="s">
        <v>5097</v>
      </c>
      <c r="T4861" s="51">
        <v>28</v>
      </c>
      <c r="U4861" s="3" t="s">
        <v>6337</v>
      </c>
      <c r="V4861" s="41" t="str">
        <f>HYPERLINK("http://ictvonline.org/taxonomy/p/taxonomy-history?taxnode_id=20185304","ICTVonline=20185304")</f>
        <v>ICTVonline=20185304</v>
      </c>
    </row>
    <row r="4862" spans="1:22">
      <c r="A4862" s="3">
        <v>4861</v>
      </c>
      <c r="L4862" s="1" t="s">
        <v>1922</v>
      </c>
      <c r="N4862" s="1" t="s">
        <v>775</v>
      </c>
      <c r="P4862" s="1" t="s">
        <v>2631</v>
      </c>
      <c r="Q4862" s="3">
        <v>0</v>
      </c>
      <c r="R4862" s="22" t="s">
        <v>2768</v>
      </c>
      <c r="S4862" s="22" t="s">
        <v>5097</v>
      </c>
      <c r="T4862" s="51">
        <v>28</v>
      </c>
      <c r="U4862" s="3" t="s">
        <v>6337</v>
      </c>
      <c r="V4862" s="41" t="str">
        <f>HYPERLINK("http://ictvonline.org/taxonomy/p/taxonomy-history?taxnode_id=20185306","ICTVonline=20185306")</f>
        <v>ICTVonline=20185306</v>
      </c>
    </row>
    <row r="4863" spans="1:22">
      <c r="A4863" s="3">
        <v>4862</v>
      </c>
      <c r="L4863" s="1" t="s">
        <v>1922</v>
      </c>
      <c r="N4863" s="1" t="s">
        <v>775</v>
      </c>
      <c r="P4863" s="1" t="s">
        <v>2632</v>
      </c>
      <c r="Q4863" s="3">
        <v>0</v>
      </c>
      <c r="R4863" s="22" t="s">
        <v>2768</v>
      </c>
      <c r="S4863" s="22" t="s">
        <v>5097</v>
      </c>
      <c r="T4863" s="51">
        <v>28</v>
      </c>
      <c r="U4863" s="3" t="s">
        <v>6337</v>
      </c>
      <c r="V4863" s="41" t="str">
        <f>HYPERLINK("http://ictvonline.org/taxonomy/p/taxonomy-history?taxnode_id=20185307","ICTVonline=20185307")</f>
        <v>ICTVonline=20185307</v>
      </c>
    </row>
    <row r="4864" spans="1:22">
      <c r="A4864" s="3">
        <v>4863</v>
      </c>
      <c r="L4864" s="1" t="s">
        <v>1922</v>
      </c>
      <c r="N4864" s="1" t="s">
        <v>775</v>
      </c>
      <c r="P4864" s="1" t="s">
        <v>1243</v>
      </c>
      <c r="Q4864" s="3">
        <v>0</v>
      </c>
      <c r="R4864" s="22" t="s">
        <v>2768</v>
      </c>
      <c r="S4864" s="22" t="s">
        <v>5097</v>
      </c>
      <c r="T4864" s="51">
        <v>25</v>
      </c>
      <c r="U4864" s="3" t="s">
        <v>6339</v>
      </c>
      <c r="V4864" s="41" t="str">
        <f>HYPERLINK("http://ictvonline.org/taxonomy/p/taxonomy-history?taxnode_id=20185308","ICTVonline=20185308")</f>
        <v>ICTVonline=20185308</v>
      </c>
    </row>
    <row r="4865" spans="1:22">
      <c r="A4865" s="3">
        <v>4864</v>
      </c>
      <c r="L4865" s="1" t="s">
        <v>1922</v>
      </c>
      <c r="N4865" s="1" t="s">
        <v>775</v>
      </c>
      <c r="P4865" s="1" t="s">
        <v>1244</v>
      </c>
      <c r="Q4865" s="3">
        <v>0</v>
      </c>
      <c r="R4865" s="22" t="s">
        <v>2768</v>
      </c>
      <c r="S4865" s="22" t="s">
        <v>5097</v>
      </c>
      <c r="T4865" s="51">
        <v>25</v>
      </c>
      <c r="U4865" s="3" t="s">
        <v>6339</v>
      </c>
      <c r="V4865" s="41" t="str">
        <f>HYPERLINK("http://ictvonline.org/taxonomy/p/taxonomy-history?taxnode_id=20185309","ICTVonline=20185309")</f>
        <v>ICTVonline=20185309</v>
      </c>
    </row>
    <row r="4866" spans="1:22">
      <c r="A4866" s="3">
        <v>4865</v>
      </c>
      <c r="L4866" s="1" t="s">
        <v>1922</v>
      </c>
      <c r="N4866" s="1" t="s">
        <v>775</v>
      </c>
      <c r="P4866" s="1" t="s">
        <v>1245</v>
      </c>
      <c r="Q4866" s="3">
        <v>0</v>
      </c>
      <c r="R4866" s="22" t="s">
        <v>2768</v>
      </c>
      <c r="S4866" s="22" t="s">
        <v>5097</v>
      </c>
      <c r="T4866" s="51">
        <v>25</v>
      </c>
      <c r="U4866" s="3" t="s">
        <v>6339</v>
      </c>
      <c r="V4866" s="41" t="str">
        <f>HYPERLINK("http://ictvonline.org/taxonomy/p/taxonomy-history?taxnode_id=20185310","ICTVonline=20185310")</f>
        <v>ICTVonline=20185310</v>
      </c>
    </row>
    <row r="4867" spans="1:22">
      <c r="A4867" s="3">
        <v>4866</v>
      </c>
      <c r="L4867" s="1" t="s">
        <v>1922</v>
      </c>
      <c r="N4867" s="1" t="s">
        <v>775</v>
      </c>
      <c r="P4867" s="1" t="s">
        <v>1246</v>
      </c>
      <c r="Q4867" s="3">
        <v>0</v>
      </c>
      <c r="R4867" s="22" t="s">
        <v>2768</v>
      </c>
      <c r="S4867" s="22" t="s">
        <v>5097</v>
      </c>
      <c r="T4867" s="51">
        <v>25</v>
      </c>
      <c r="U4867" s="3" t="s">
        <v>6339</v>
      </c>
      <c r="V4867" s="41" t="str">
        <f>HYPERLINK("http://ictvonline.org/taxonomy/p/taxonomy-history?taxnode_id=20185311","ICTVonline=20185311")</f>
        <v>ICTVonline=20185311</v>
      </c>
    </row>
    <row r="4868" spans="1:22">
      <c r="A4868" s="3">
        <v>4867</v>
      </c>
      <c r="L4868" s="1" t="s">
        <v>1922</v>
      </c>
      <c r="N4868" s="1" t="s">
        <v>775</v>
      </c>
      <c r="P4868" s="1" t="s">
        <v>779</v>
      </c>
      <c r="Q4868" s="3">
        <v>0</v>
      </c>
      <c r="R4868" s="22" t="s">
        <v>2768</v>
      </c>
      <c r="S4868" s="22" t="s">
        <v>5097</v>
      </c>
      <c r="T4868" s="51">
        <v>25</v>
      </c>
      <c r="U4868" s="3" t="s">
        <v>6339</v>
      </c>
      <c r="V4868" s="41" t="str">
        <f>HYPERLINK("http://ictvonline.org/taxonomy/p/taxonomy-history?taxnode_id=20185312","ICTVonline=20185312")</f>
        <v>ICTVonline=20185312</v>
      </c>
    </row>
    <row r="4869" spans="1:22">
      <c r="A4869" s="3">
        <v>4868</v>
      </c>
      <c r="L4869" s="1" t="s">
        <v>1922</v>
      </c>
      <c r="N4869" s="1" t="s">
        <v>775</v>
      </c>
      <c r="P4869" s="1" t="s">
        <v>1525</v>
      </c>
      <c r="Q4869" s="3">
        <v>1</v>
      </c>
      <c r="R4869" s="22" t="s">
        <v>2768</v>
      </c>
      <c r="S4869" s="22" t="s">
        <v>5103</v>
      </c>
      <c r="T4869" s="51">
        <v>25</v>
      </c>
      <c r="U4869" s="3" t="s">
        <v>6339</v>
      </c>
      <c r="V4869" s="41" t="str">
        <f>HYPERLINK("http://ictvonline.org/taxonomy/p/taxonomy-history?taxnode_id=20185313","ICTVonline=20185313")</f>
        <v>ICTVonline=20185313</v>
      </c>
    </row>
    <row r="4870" spans="1:22">
      <c r="A4870" s="3">
        <v>4869</v>
      </c>
      <c r="L4870" s="1" t="s">
        <v>1922</v>
      </c>
      <c r="N4870" s="1" t="s">
        <v>775</v>
      </c>
      <c r="P4870" s="1" t="s">
        <v>780</v>
      </c>
      <c r="Q4870" s="3">
        <v>0</v>
      </c>
      <c r="R4870" s="22" t="s">
        <v>2768</v>
      </c>
      <c r="S4870" s="22" t="s">
        <v>5097</v>
      </c>
      <c r="T4870" s="51">
        <v>25</v>
      </c>
      <c r="U4870" s="3" t="s">
        <v>6339</v>
      </c>
      <c r="V4870" s="41" t="str">
        <f>HYPERLINK("http://ictvonline.org/taxonomy/p/taxonomy-history?taxnode_id=20185314","ICTVonline=20185314")</f>
        <v>ICTVonline=20185314</v>
      </c>
    </row>
    <row r="4871" spans="1:22">
      <c r="A4871" s="3">
        <v>4870</v>
      </c>
      <c r="L4871" s="1" t="s">
        <v>1922</v>
      </c>
      <c r="N4871" s="1" t="s">
        <v>775</v>
      </c>
      <c r="P4871" s="1" t="s">
        <v>2633</v>
      </c>
      <c r="Q4871" s="3">
        <v>0</v>
      </c>
      <c r="R4871" s="22" t="s">
        <v>2768</v>
      </c>
      <c r="S4871" s="22" t="s">
        <v>5097</v>
      </c>
      <c r="T4871" s="51">
        <v>28</v>
      </c>
      <c r="U4871" s="3" t="s">
        <v>6337</v>
      </c>
      <c r="V4871" s="41" t="str">
        <f>HYPERLINK("http://ictvonline.org/taxonomy/p/taxonomy-history?taxnode_id=20185315","ICTVonline=20185315")</f>
        <v>ICTVonline=20185315</v>
      </c>
    </row>
    <row r="4872" spans="1:22">
      <c r="A4872" s="3">
        <v>4871</v>
      </c>
      <c r="L4872" s="1" t="s">
        <v>1922</v>
      </c>
      <c r="N4872" s="1" t="s">
        <v>775</v>
      </c>
      <c r="P4872" s="1" t="s">
        <v>2634</v>
      </c>
      <c r="Q4872" s="3">
        <v>0</v>
      </c>
      <c r="R4872" s="22" t="s">
        <v>2768</v>
      </c>
      <c r="S4872" s="22" t="s">
        <v>5097</v>
      </c>
      <c r="T4872" s="51">
        <v>28</v>
      </c>
      <c r="U4872" s="3" t="s">
        <v>6337</v>
      </c>
      <c r="V4872" s="41" t="str">
        <f>HYPERLINK("http://ictvonline.org/taxonomy/p/taxonomy-history?taxnode_id=20185316","ICTVonline=20185316")</f>
        <v>ICTVonline=20185316</v>
      </c>
    </row>
    <row r="4873" spans="1:22">
      <c r="A4873" s="3">
        <v>4872</v>
      </c>
      <c r="L4873" s="1" t="s">
        <v>1922</v>
      </c>
      <c r="N4873" s="1" t="s">
        <v>775</v>
      </c>
      <c r="P4873" s="1" t="s">
        <v>781</v>
      </c>
      <c r="Q4873" s="3">
        <v>0</v>
      </c>
      <c r="R4873" s="22" t="s">
        <v>2768</v>
      </c>
      <c r="S4873" s="22" t="s">
        <v>5097</v>
      </c>
      <c r="T4873" s="51">
        <v>25</v>
      </c>
      <c r="U4873" s="3" t="s">
        <v>6339</v>
      </c>
      <c r="V4873" s="41" t="str">
        <f>HYPERLINK("http://ictvonline.org/taxonomy/p/taxonomy-history?taxnode_id=20185317","ICTVonline=20185317")</f>
        <v>ICTVonline=20185317</v>
      </c>
    </row>
    <row r="4874" spans="1:22">
      <c r="A4874" s="3">
        <v>4873</v>
      </c>
      <c r="L4874" s="1" t="s">
        <v>1922</v>
      </c>
      <c r="N4874" s="1" t="s">
        <v>775</v>
      </c>
      <c r="P4874" s="1" t="s">
        <v>782</v>
      </c>
      <c r="Q4874" s="3">
        <v>0</v>
      </c>
      <c r="R4874" s="22" t="s">
        <v>2768</v>
      </c>
      <c r="S4874" s="22" t="s">
        <v>5097</v>
      </c>
      <c r="T4874" s="51">
        <v>25</v>
      </c>
      <c r="U4874" s="3" t="s">
        <v>6339</v>
      </c>
      <c r="V4874" s="41" t="str">
        <f>HYPERLINK("http://ictvonline.org/taxonomy/p/taxonomy-history?taxnode_id=20185318","ICTVonline=20185318")</f>
        <v>ICTVonline=20185318</v>
      </c>
    </row>
    <row r="4875" spans="1:22">
      <c r="A4875" s="3">
        <v>4874</v>
      </c>
      <c r="L4875" s="1" t="s">
        <v>1922</v>
      </c>
      <c r="N4875" s="1" t="s">
        <v>775</v>
      </c>
      <c r="P4875" s="1" t="s">
        <v>2635</v>
      </c>
      <c r="Q4875" s="3">
        <v>0</v>
      </c>
      <c r="R4875" s="22" t="s">
        <v>2768</v>
      </c>
      <c r="S4875" s="22" t="s">
        <v>5097</v>
      </c>
      <c r="T4875" s="51">
        <v>28</v>
      </c>
      <c r="U4875" s="3" t="s">
        <v>6337</v>
      </c>
      <c r="V4875" s="41" t="str">
        <f>HYPERLINK("http://ictvonline.org/taxonomy/p/taxonomy-history?taxnode_id=20185319","ICTVonline=20185319")</f>
        <v>ICTVonline=20185319</v>
      </c>
    </row>
    <row r="4876" spans="1:22">
      <c r="A4876" s="3">
        <v>4875</v>
      </c>
      <c r="L4876" s="1" t="s">
        <v>4260</v>
      </c>
      <c r="N4876" s="1" t="s">
        <v>4261</v>
      </c>
      <c r="P4876" s="1" t="s">
        <v>5087</v>
      </c>
      <c r="Q4876" s="3">
        <v>1</v>
      </c>
      <c r="R4876" s="22" t="s">
        <v>2764</v>
      </c>
      <c r="S4876" s="22" t="s">
        <v>5097</v>
      </c>
      <c r="T4876" s="51">
        <v>31</v>
      </c>
      <c r="U4876" s="3" t="s">
        <v>6340</v>
      </c>
      <c r="V4876" s="41" t="str">
        <f>HYPERLINK("http://ictvonline.org/taxonomy/p/taxonomy-history?taxnode_id=20185323","ICTVonline=20185323")</f>
        <v>ICTVonline=20185323</v>
      </c>
    </row>
    <row r="4877" spans="1:22">
      <c r="A4877" s="3">
        <v>4876</v>
      </c>
      <c r="L4877" s="1" t="s">
        <v>4260</v>
      </c>
      <c r="N4877" s="1" t="s">
        <v>4261</v>
      </c>
      <c r="P4877" s="1" t="s">
        <v>1636</v>
      </c>
      <c r="Q4877" s="3">
        <v>0</v>
      </c>
      <c r="R4877" s="22" t="s">
        <v>2764</v>
      </c>
      <c r="S4877" s="22" t="s">
        <v>5099</v>
      </c>
      <c r="T4877" s="51">
        <v>31</v>
      </c>
      <c r="U4877" s="3" t="s">
        <v>6340</v>
      </c>
      <c r="V4877" s="41" t="str">
        <f>HYPERLINK("http://ictvonline.org/taxonomy/p/taxonomy-history?taxnode_id=20185324","ICTVonline=20185324")</f>
        <v>ICTVonline=20185324</v>
      </c>
    </row>
    <row r="4878" spans="1:22">
      <c r="A4878" s="3">
        <v>4877</v>
      </c>
      <c r="L4878" s="1" t="s">
        <v>2636</v>
      </c>
      <c r="N4878" s="1" t="s">
        <v>2637</v>
      </c>
      <c r="P4878" s="1" t="s">
        <v>2638</v>
      </c>
      <c r="Q4878" s="3">
        <v>1</v>
      </c>
      <c r="R4878" s="22" t="s">
        <v>2764</v>
      </c>
      <c r="S4878" s="22" t="s">
        <v>5097</v>
      </c>
      <c r="T4878" s="51">
        <v>28</v>
      </c>
      <c r="U4878" s="3" t="s">
        <v>6341</v>
      </c>
      <c r="V4878" s="41" t="str">
        <f>HYPERLINK("http://ictvonline.org/taxonomy/p/taxonomy-history?taxnode_id=20185328","ICTVonline=20185328")</f>
        <v>ICTVonline=20185328</v>
      </c>
    </row>
    <row r="4879" spans="1:22">
      <c r="A4879" s="3">
        <v>4878</v>
      </c>
      <c r="L4879" s="1" t="s">
        <v>2636</v>
      </c>
      <c r="N4879" s="1" t="s">
        <v>2637</v>
      </c>
      <c r="P4879" s="1" t="s">
        <v>2639</v>
      </c>
      <c r="Q4879" s="3">
        <v>0</v>
      </c>
      <c r="R4879" s="22" t="s">
        <v>2764</v>
      </c>
      <c r="S4879" s="22" t="s">
        <v>5097</v>
      </c>
      <c r="T4879" s="51">
        <v>28</v>
      </c>
      <c r="U4879" s="3" t="s">
        <v>6341</v>
      </c>
      <c r="V4879" s="41" t="str">
        <f>HYPERLINK("http://ictvonline.org/taxonomy/p/taxonomy-history?taxnode_id=20185329","ICTVonline=20185329")</f>
        <v>ICTVonline=20185329</v>
      </c>
    </row>
    <row r="4880" spans="1:22">
      <c r="A4880" s="3">
        <v>4879</v>
      </c>
      <c r="L4880" s="1" t="s">
        <v>2007</v>
      </c>
      <c r="N4880" s="1" t="s">
        <v>1266</v>
      </c>
      <c r="P4880" s="1" t="s">
        <v>1267</v>
      </c>
      <c r="Q4880" s="3">
        <v>0</v>
      </c>
      <c r="R4880" s="22" t="s">
        <v>2766</v>
      </c>
      <c r="S4880" s="22" t="s">
        <v>5099</v>
      </c>
      <c r="T4880" s="51">
        <v>25</v>
      </c>
      <c r="U4880" s="3" t="s">
        <v>6352</v>
      </c>
      <c r="V4880" s="41" t="str">
        <f>HYPERLINK("http://ictvonline.org/taxonomy/p/taxonomy-history?taxnode_id=20185397","ICTVonline=20185397")</f>
        <v>ICTVonline=20185397</v>
      </c>
    </row>
    <row r="4881" spans="1:22">
      <c r="A4881" s="3">
        <v>4880</v>
      </c>
      <c r="L4881" s="1" t="s">
        <v>2007</v>
      </c>
      <c r="N4881" s="1" t="s">
        <v>1266</v>
      </c>
      <c r="P4881" s="1" t="s">
        <v>216</v>
      </c>
      <c r="Q4881" s="3">
        <v>0</v>
      </c>
      <c r="R4881" s="22" t="s">
        <v>2766</v>
      </c>
      <c r="S4881" s="22" t="s">
        <v>5097</v>
      </c>
      <c r="T4881" s="51">
        <v>26</v>
      </c>
      <c r="U4881" s="3" t="s">
        <v>6353</v>
      </c>
      <c r="V4881" s="41" t="str">
        <f>HYPERLINK("http://ictvonline.org/taxonomy/p/taxonomy-history?taxnode_id=20185398","ICTVonline=20185398")</f>
        <v>ICTVonline=20185398</v>
      </c>
    </row>
    <row r="4882" spans="1:22">
      <c r="A4882" s="3">
        <v>4881</v>
      </c>
      <c r="L4882" s="1" t="s">
        <v>2007</v>
      </c>
      <c r="N4882" s="1" t="s">
        <v>1266</v>
      </c>
      <c r="P4882" s="1" t="s">
        <v>1268</v>
      </c>
      <c r="Q4882" s="3">
        <v>0</v>
      </c>
      <c r="R4882" s="22" t="s">
        <v>2766</v>
      </c>
      <c r="S4882" s="22" t="s">
        <v>5099</v>
      </c>
      <c r="T4882" s="51">
        <v>25</v>
      </c>
      <c r="U4882" s="3" t="s">
        <v>6352</v>
      </c>
      <c r="V4882" s="41" t="str">
        <f>HYPERLINK("http://ictvonline.org/taxonomy/p/taxonomy-history?taxnode_id=20185399","ICTVonline=20185399")</f>
        <v>ICTVonline=20185399</v>
      </c>
    </row>
    <row r="4883" spans="1:22">
      <c r="A4883" s="3">
        <v>4882</v>
      </c>
      <c r="L4883" s="1" t="s">
        <v>2007</v>
      </c>
      <c r="N4883" s="1" t="s">
        <v>1266</v>
      </c>
      <c r="P4883" s="1" t="s">
        <v>1269</v>
      </c>
      <c r="Q4883" s="3">
        <v>0</v>
      </c>
      <c r="R4883" s="22" t="s">
        <v>2766</v>
      </c>
      <c r="S4883" s="22" t="s">
        <v>5099</v>
      </c>
      <c r="T4883" s="51">
        <v>25</v>
      </c>
      <c r="U4883" s="3" t="s">
        <v>6352</v>
      </c>
      <c r="V4883" s="41" t="str">
        <f>HYPERLINK("http://ictvonline.org/taxonomy/p/taxonomy-history?taxnode_id=20185400","ICTVonline=20185400")</f>
        <v>ICTVonline=20185400</v>
      </c>
    </row>
    <row r="4884" spans="1:22">
      <c r="A4884" s="3">
        <v>4883</v>
      </c>
      <c r="L4884" s="1" t="s">
        <v>2007</v>
      </c>
      <c r="N4884" s="1" t="s">
        <v>1266</v>
      </c>
      <c r="P4884" s="1" t="s">
        <v>1270</v>
      </c>
      <c r="Q4884" s="3">
        <v>1</v>
      </c>
      <c r="R4884" s="22" t="s">
        <v>2766</v>
      </c>
      <c r="S4884" s="22" t="s">
        <v>5099</v>
      </c>
      <c r="T4884" s="51">
        <v>25</v>
      </c>
      <c r="U4884" s="3" t="s">
        <v>6352</v>
      </c>
      <c r="V4884" s="41" t="str">
        <f>HYPERLINK("http://ictvonline.org/taxonomy/p/taxonomy-history?taxnode_id=20185401","ICTVonline=20185401")</f>
        <v>ICTVonline=20185401</v>
      </c>
    </row>
    <row r="4885" spans="1:22">
      <c r="A4885" s="3">
        <v>4884</v>
      </c>
      <c r="L4885" s="1" t="s">
        <v>2007</v>
      </c>
      <c r="N4885" s="1" t="s">
        <v>1266</v>
      </c>
      <c r="P4885" s="1" t="s">
        <v>274</v>
      </c>
      <c r="Q4885" s="3">
        <v>0</v>
      </c>
      <c r="R4885" s="22" t="s">
        <v>2766</v>
      </c>
      <c r="S4885" s="22" t="s">
        <v>5099</v>
      </c>
      <c r="T4885" s="51">
        <v>25</v>
      </c>
      <c r="U4885" s="3" t="s">
        <v>6352</v>
      </c>
      <c r="V4885" s="41" t="str">
        <f>HYPERLINK("http://ictvonline.org/taxonomy/p/taxonomy-history?taxnode_id=20185402","ICTVonline=20185402")</f>
        <v>ICTVonline=20185402</v>
      </c>
    </row>
    <row r="4886" spans="1:22">
      <c r="A4886" s="3">
        <v>4885</v>
      </c>
      <c r="L4886" s="1" t="s">
        <v>2007</v>
      </c>
      <c r="N4886" s="1" t="s">
        <v>4163</v>
      </c>
      <c r="P4886" s="1" t="s">
        <v>4164</v>
      </c>
      <c r="Q4886" s="3">
        <v>0</v>
      </c>
      <c r="R4886" s="22" t="s">
        <v>2766</v>
      </c>
      <c r="S4886" s="22" t="s">
        <v>5097</v>
      </c>
      <c r="T4886" s="51">
        <v>30</v>
      </c>
      <c r="U4886" s="3" t="s">
        <v>6354</v>
      </c>
      <c r="V4886" s="41" t="str">
        <f>HYPERLINK("http://ictvonline.org/taxonomy/p/taxonomy-history?taxnode_id=20185404","ICTVonline=20185404")</f>
        <v>ICTVonline=20185404</v>
      </c>
    </row>
    <row r="4887" spans="1:22">
      <c r="A4887" s="3">
        <v>4886</v>
      </c>
      <c r="L4887" s="1" t="s">
        <v>2007</v>
      </c>
      <c r="N4887" s="1" t="s">
        <v>4163</v>
      </c>
      <c r="P4887" s="1" t="s">
        <v>4165</v>
      </c>
      <c r="Q4887" s="3">
        <v>1</v>
      </c>
      <c r="R4887" s="22" t="s">
        <v>2766</v>
      </c>
      <c r="S4887" s="22" t="s">
        <v>5097</v>
      </c>
      <c r="T4887" s="51">
        <v>30</v>
      </c>
      <c r="U4887" s="3" t="s">
        <v>6354</v>
      </c>
      <c r="V4887" s="41" t="str">
        <f>HYPERLINK("http://ictvonline.org/taxonomy/p/taxonomy-history?taxnode_id=20185405","ICTVonline=20185405")</f>
        <v>ICTVonline=20185405</v>
      </c>
    </row>
    <row r="4888" spans="1:22">
      <c r="A4888" s="3">
        <v>4887</v>
      </c>
      <c r="L4888" s="1" t="s">
        <v>2007</v>
      </c>
      <c r="N4888" s="1" t="s">
        <v>260</v>
      </c>
      <c r="P4888" s="1" t="s">
        <v>261</v>
      </c>
      <c r="Q4888" s="3">
        <v>0</v>
      </c>
      <c r="R4888" s="22" t="s">
        <v>2766</v>
      </c>
      <c r="S4888" s="22" t="s">
        <v>5099</v>
      </c>
      <c r="T4888" s="51">
        <v>25</v>
      </c>
      <c r="U4888" s="3" t="s">
        <v>6352</v>
      </c>
      <c r="V4888" s="41" t="str">
        <f>HYPERLINK("http://ictvonline.org/taxonomy/p/taxonomy-history?taxnode_id=20185407","ICTVonline=20185407")</f>
        <v>ICTVonline=20185407</v>
      </c>
    </row>
    <row r="4889" spans="1:22">
      <c r="A4889" s="3">
        <v>4888</v>
      </c>
      <c r="L4889" s="1" t="s">
        <v>2007</v>
      </c>
      <c r="N4889" s="1" t="s">
        <v>260</v>
      </c>
      <c r="P4889" s="1" t="s">
        <v>262</v>
      </c>
      <c r="Q4889" s="3">
        <v>1</v>
      </c>
      <c r="R4889" s="22" t="s">
        <v>2766</v>
      </c>
      <c r="S4889" s="22" t="s">
        <v>5099</v>
      </c>
      <c r="T4889" s="51">
        <v>25</v>
      </c>
      <c r="U4889" s="3" t="s">
        <v>6352</v>
      </c>
      <c r="V4889" s="41" t="str">
        <f>HYPERLINK("http://ictvonline.org/taxonomy/p/taxonomy-history?taxnode_id=20185408","ICTVonline=20185408")</f>
        <v>ICTVonline=20185408</v>
      </c>
    </row>
    <row r="4890" spans="1:22">
      <c r="A4890" s="3">
        <v>4889</v>
      </c>
      <c r="L4890" s="1" t="s">
        <v>2007</v>
      </c>
      <c r="N4890" s="1" t="s">
        <v>260</v>
      </c>
      <c r="P4890" s="1" t="s">
        <v>263</v>
      </c>
      <c r="Q4890" s="3">
        <v>0</v>
      </c>
      <c r="R4890" s="22" t="s">
        <v>2766</v>
      </c>
      <c r="S4890" s="22" t="s">
        <v>5099</v>
      </c>
      <c r="T4890" s="51">
        <v>25</v>
      </c>
      <c r="U4890" s="3" t="s">
        <v>6352</v>
      </c>
      <c r="V4890" s="41" t="str">
        <f>HYPERLINK("http://ictvonline.org/taxonomy/p/taxonomy-history?taxnode_id=20185409","ICTVonline=20185409")</f>
        <v>ICTVonline=20185409</v>
      </c>
    </row>
    <row r="4891" spans="1:22">
      <c r="A4891" s="3">
        <v>4890</v>
      </c>
      <c r="L4891" s="1" t="s">
        <v>2007</v>
      </c>
      <c r="N4891" s="1" t="s">
        <v>260</v>
      </c>
      <c r="P4891" s="1" t="s">
        <v>264</v>
      </c>
      <c r="Q4891" s="3">
        <v>0</v>
      </c>
      <c r="R4891" s="22" t="s">
        <v>2766</v>
      </c>
      <c r="S4891" s="22" t="s">
        <v>5099</v>
      </c>
      <c r="T4891" s="51">
        <v>25</v>
      </c>
      <c r="U4891" s="3" t="s">
        <v>6352</v>
      </c>
      <c r="V4891" s="41" t="str">
        <f>HYPERLINK("http://ictvonline.org/taxonomy/p/taxonomy-history?taxnode_id=20185410","ICTVonline=20185410")</f>
        <v>ICTVonline=20185410</v>
      </c>
    </row>
    <row r="4892" spans="1:22">
      <c r="A4892" s="3">
        <v>4891</v>
      </c>
      <c r="L4892" s="1" t="s">
        <v>2007</v>
      </c>
      <c r="N4892" s="1" t="s">
        <v>271</v>
      </c>
      <c r="P4892" s="1" t="s">
        <v>272</v>
      </c>
      <c r="Q4892" s="3">
        <v>0</v>
      </c>
      <c r="R4892" s="22" t="s">
        <v>2766</v>
      </c>
      <c r="S4892" s="22" t="s">
        <v>5099</v>
      </c>
      <c r="T4892" s="51">
        <v>25</v>
      </c>
      <c r="U4892" s="3" t="s">
        <v>6352</v>
      </c>
      <c r="V4892" s="41" t="str">
        <f>HYPERLINK("http://ictvonline.org/taxonomy/p/taxonomy-history?taxnode_id=20185412","ICTVonline=20185412")</f>
        <v>ICTVonline=20185412</v>
      </c>
    </row>
    <row r="4893" spans="1:22">
      <c r="A4893" s="3">
        <v>4892</v>
      </c>
      <c r="L4893" s="1" t="s">
        <v>2007</v>
      </c>
      <c r="N4893" s="1" t="s">
        <v>271</v>
      </c>
      <c r="P4893" s="1" t="s">
        <v>273</v>
      </c>
      <c r="Q4893" s="3">
        <v>1</v>
      </c>
      <c r="R4893" s="22" t="s">
        <v>2766</v>
      </c>
      <c r="S4893" s="22" t="s">
        <v>5099</v>
      </c>
      <c r="T4893" s="51">
        <v>25</v>
      </c>
      <c r="U4893" s="3" t="s">
        <v>6352</v>
      </c>
      <c r="V4893" s="41" t="str">
        <f>HYPERLINK("http://ictvonline.org/taxonomy/p/taxonomy-history?taxnode_id=20185413","ICTVonline=20185413")</f>
        <v>ICTVonline=20185413</v>
      </c>
    </row>
    <row r="4894" spans="1:22">
      <c r="A4894" s="3">
        <v>4893</v>
      </c>
      <c r="L4894" s="1" t="s">
        <v>2007</v>
      </c>
      <c r="N4894" s="1" t="s">
        <v>400</v>
      </c>
      <c r="P4894" s="1" t="s">
        <v>401</v>
      </c>
      <c r="Q4894" s="3">
        <v>0</v>
      </c>
      <c r="R4894" s="22" t="s">
        <v>2766</v>
      </c>
      <c r="S4894" s="22" t="s">
        <v>5099</v>
      </c>
      <c r="T4894" s="51">
        <v>25</v>
      </c>
      <c r="U4894" s="3" t="s">
        <v>6352</v>
      </c>
      <c r="V4894" s="41" t="str">
        <f>HYPERLINK("http://ictvonline.org/taxonomy/p/taxonomy-history?taxnode_id=20185415","ICTVonline=20185415")</f>
        <v>ICTVonline=20185415</v>
      </c>
    </row>
    <row r="4895" spans="1:22">
      <c r="A4895" s="3">
        <v>4894</v>
      </c>
      <c r="L4895" s="1" t="s">
        <v>2007</v>
      </c>
      <c r="N4895" s="1" t="s">
        <v>400</v>
      </c>
      <c r="P4895" s="1" t="s">
        <v>402</v>
      </c>
      <c r="Q4895" s="3">
        <v>0</v>
      </c>
      <c r="R4895" s="22" t="s">
        <v>2766</v>
      </c>
      <c r="S4895" s="22" t="s">
        <v>5099</v>
      </c>
      <c r="T4895" s="51">
        <v>25</v>
      </c>
      <c r="U4895" s="3" t="s">
        <v>6352</v>
      </c>
      <c r="V4895" s="41" t="str">
        <f>HYPERLINK("http://ictvonline.org/taxonomy/p/taxonomy-history?taxnode_id=20185416","ICTVonline=20185416")</f>
        <v>ICTVonline=20185416</v>
      </c>
    </row>
    <row r="4896" spans="1:22">
      <c r="A4896" s="3">
        <v>4895</v>
      </c>
      <c r="L4896" s="1" t="s">
        <v>2007</v>
      </c>
      <c r="N4896" s="1" t="s">
        <v>400</v>
      </c>
      <c r="P4896" s="1" t="s">
        <v>403</v>
      </c>
      <c r="Q4896" s="3">
        <v>0</v>
      </c>
      <c r="R4896" s="22" t="s">
        <v>2766</v>
      </c>
      <c r="S4896" s="22" t="s">
        <v>5099</v>
      </c>
      <c r="T4896" s="51">
        <v>25</v>
      </c>
      <c r="U4896" s="3" t="s">
        <v>6352</v>
      </c>
      <c r="V4896" s="41" t="str">
        <f>HYPERLINK("http://ictvonline.org/taxonomy/p/taxonomy-history?taxnode_id=20185417","ICTVonline=20185417")</f>
        <v>ICTVonline=20185417</v>
      </c>
    </row>
    <row r="4897" spans="1:22">
      <c r="A4897" s="3">
        <v>4896</v>
      </c>
      <c r="L4897" s="1" t="s">
        <v>2007</v>
      </c>
      <c r="N4897" s="1" t="s">
        <v>400</v>
      </c>
      <c r="P4897" s="1" t="s">
        <v>5093</v>
      </c>
      <c r="Q4897" s="3">
        <v>0</v>
      </c>
      <c r="R4897" s="22" t="s">
        <v>2766</v>
      </c>
      <c r="S4897" s="22" t="s">
        <v>5097</v>
      </c>
      <c r="T4897" s="51">
        <v>31</v>
      </c>
      <c r="U4897" s="3" t="s">
        <v>6355</v>
      </c>
      <c r="V4897" s="41" t="str">
        <f>HYPERLINK("http://ictvonline.org/taxonomy/p/taxonomy-history?taxnode_id=20185418","ICTVonline=20185418")</f>
        <v>ICTVonline=20185418</v>
      </c>
    </row>
    <row r="4898" spans="1:22">
      <c r="A4898" s="3">
        <v>4897</v>
      </c>
      <c r="L4898" s="1" t="s">
        <v>2007</v>
      </c>
      <c r="N4898" s="1" t="s">
        <v>400</v>
      </c>
      <c r="P4898" s="1" t="s">
        <v>404</v>
      </c>
      <c r="Q4898" s="3">
        <v>1</v>
      </c>
      <c r="R4898" s="22" t="s">
        <v>2766</v>
      </c>
      <c r="S4898" s="22" t="s">
        <v>5099</v>
      </c>
      <c r="T4898" s="51">
        <v>25</v>
      </c>
      <c r="U4898" s="3" t="s">
        <v>6352</v>
      </c>
      <c r="V4898" s="41" t="str">
        <f>HYPERLINK("http://ictvonline.org/taxonomy/p/taxonomy-history?taxnode_id=20185419","ICTVonline=20185419")</f>
        <v>ICTVonline=20185419</v>
      </c>
    </row>
    <row r="4899" spans="1:22">
      <c r="A4899" s="3">
        <v>4898</v>
      </c>
      <c r="L4899" s="1" t="s">
        <v>2007</v>
      </c>
      <c r="N4899" s="1" t="s">
        <v>441</v>
      </c>
      <c r="P4899" s="1" t="s">
        <v>2295</v>
      </c>
      <c r="Q4899" s="3">
        <v>0</v>
      </c>
      <c r="R4899" s="22" t="s">
        <v>2766</v>
      </c>
      <c r="S4899" s="22" t="s">
        <v>5097</v>
      </c>
      <c r="T4899" s="51">
        <v>27</v>
      </c>
      <c r="U4899" s="3" t="s">
        <v>6356</v>
      </c>
      <c r="V4899" s="41" t="str">
        <f>HYPERLINK("http://ictvonline.org/taxonomy/p/taxonomy-history?taxnode_id=20185421","ICTVonline=20185421")</f>
        <v>ICTVonline=20185421</v>
      </c>
    </row>
    <row r="4900" spans="1:22">
      <c r="A4900" s="3">
        <v>4899</v>
      </c>
      <c r="L4900" s="1" t="s">
        <v>2007</v>
      </c>
      <c r="N4900" s="1" t="s">
        <v>441</v>
      </c>
      <c r="P4900" s="1" t="s">
        <v>1534</v>
      </c>
      <c r="Q4900" s="3">
        <v>0</v>
      </c>
      <c r="R4900" s="22" t="s">
        <v>2766</v>
      </c>
      <c r="S4900" s="22" t="s">
        <v>5097</v>
      </c>
      <c r="T4900" s="51">
        <v>25</v>
      </c>
      <c r="U4900" s="3" t="s">
        <v>6357</v>
      </c>
      <c r="V4900" s="41" t="str">
        <f>HYPERLINK("http://ictvonline.org/taxonomy/p/taxonomy-history?taxnode_id=20185422","ICTVonline=20185422")</f>
        <v>ICTVonline=20185422</v>
      </c>
    </row>
    <row r="4901" spans="1:22">
      <c r="A4901" s="3">
        <v>4900</v>
      </c>
      <c r="L4901" s="1" t="s">
        <v>2007</v>
      </c>
      <c r="N4901" s="1" t="s">
        <v>441</v>
      </c>
      <c r="P4901" s="1" t="s">
        <v>2296</v>
      </c>
      <c r="Q4901" s="3">
        <v>0</v>
      </c>
      <c r="R4901" s="22" t="s">
        <v>2766</v>
      </c>
      <c r="S4901" s="22" t="s">
        <v>5097</v>
      </c>
      <c r="T4901" s="51">
        <v>27</v>
      </c>
      <c r="U4901" s="3" t="s">
        <v>6356</v>
      </c>
      <c r="V4901" s="41" t="str">
        <f>HYPERLINK("http://ictvonline.org/taxonomy/p/taxonomy-history?taxnode_id=20185423","ICTVonline=20185423")</f>
        <v>ICTVonline=20185423</v>
      </c>
    </row>
    <row r="4902" spans="1:22">
      <c r="A4902" s="3">
        <v>4901</v>
      </c>
      <c r="L4902" s="1" t="s">
        <v>2007</v>
      </c>
      <c r="N4902" s="1" t="s">
        <v>441</v>
      </c>
      <c r="P4902" s="1" t="s">
        <v>2297</v>
      </c>
      <c r="Q4902" s="3">
        <v>0</v>
      </c>
      <c r="R4902" s="22" t="s">
        <v>2766</v>
      </c>
      <c r="S4902" s="22" t="s">
        <v>5097</v>
      </c>
      <c r="T4902" s="51">
        <v>27</v>
      </c>
      <c r="U4902" s="3" t="s">
        <v>6356</v>
      </c>
      <c r="V4902" s="41" t="str">
        <f>HYPERLINK("http://ictvonline.org/taxonomy/p/taxonomy-history?taxnode_id=20185424","ICTVonline=20185424")</f>
        <v>ICTVonline=20185424</v>
      </c>
    </row>
    <row r="4903" spans="1:22">
      <c r="A4903" s="3">
        <v>4902</v>
      </c>
      <c r="L4903" s="1" t="s">
        <v>2007</v>
      </c>
      <c r="N4903" s="1" t="s">
        <v>441</v>
      </c>
      <c r="P4903" s="1" t="s">
        <v>442</v>
      </c>
      <c r="Q4903" s="3">
        <v>0</v>
      </c>
      <c r="R4903" s="22" t="s">
        <v>2766</v>
      </c>
      <c r="S4903" s="22" t="s">
        <v>5099</v>
      </c>
      <c r="T4903" s="51">
        <v>25</v>
      </c>
      <c r="U4903" s="3" t="s">
        <v>6352</v>
      </c>
      <c r="V4903" s="41" t="str">
        <f>HYPERLINK("http://ictvonline.org/taxonomy/p/taxonomy-history?taxnode_id=20185425","ICTVonline=20185425")</f>
        <v>ICTVonline=20185425</v>
      </c>
    </row>
    <row r="4904" spans="1:22">
      <c r="A4904" s="3">
        <v>4903</v>
      </c>
      <c r="L4904" s="1" t="s">
        <v>2007</v>
      </c>
      <c r="N4904" s="1" t="s">
        <v>441</v>
      </c>
      <c r="P4904" s="1" t="s">
        <v>443</v>
      </c>
      <c r="Q4904" s="3">
        <v>0</v>
      </c>
      <c r="R4904" s="22" t="s">
        <v>2766</v>
      </c>
      <c r="S4904" s="22" t="s">
        <v>5099</v>
      </c>
      <c r="T4904" s="51">
        <v>25</v>
      </c>
      <c r="U4904" s="3" t="s">
        <v>6352</v>
      </c>
      <c r="V4904" s="41" t="str">
        <f>HYPERLINK("http://ictvonline.org/taxonomy/p/taxonomy-history?taxnode_id=20185426","ICTVonline=20185426")</f>
        <v>ICTVonline=20185426</v>
      </c>
    </row>
    <row r="4905" spans="1:22">
      <c r="A4905" s="3">
        <v>4904</v>
      </c>
      <c r="L4905" s="1" t="s">
        <v>2007</v>
      </c>
      <c r="N4905" s="1" t="s">
        <v>441</v>
      </c>
      <c r="P4905" s="1" t="s">
        <v>2298</v>
      </c>
      <c r="Q4905" s="3">
        <v>0</v>
      </c>
      <c r="R4905" s="22" t="s">
        <v>2766</v>
      </c>
      <c r="S4905" s="22" t="s">
        <v>5097</v>
      </c>
      <c r="T4905" s="51">
        <v>27</v>
      </c>
      <c r="U4905" s="3" t="s">
        <v>6356</v>
      </c>
      <c r="V4905" s="41" t="str">
        <f>HYPERLINK("http://ictvonline.org/taxonomy/p/taxonomy-history?taxnode_id=20185427","ICTVonline=20185427")</f>
        <v>ICTVonline=20185427</v>
      </c>
    </row>
    <row r="4906" spans="1:22">
      <c r="A4906" s="3">
        <v>4905</v>
      </c>
      <c r="L4906" s="1" t="s">
        <v>2007</v>
      </c>
      <c r="N4906" s="1" t="s">
        <v>441</v>
      </c>
      <c r="P4906" s="1" t="s">
        <v>444</v>
      </c>
      <c r="Q4906" s="3">
        <v>0</v>
      </c>
      <c r="R4906" s="22" t="s">
        <v>2766</v>
      </c>
      <c r="S4906" s="22" t="s">
        <v>5099</v>
      </c>
      <c r="T4906" s="51">
        <v>25</v>
      </c>
      <c r="U4906" s="3" t="s">
        <v>6352</v>
      </c>
      <c r="V4906" s="41" t="str">
        <f>HYPERLINK("http://ictvonline.org/taxonomy/p/taxonomy-history?taxnode_id=20185428","ICTVonline=20185428")</f>
        <v>ICTVonline=20185428</v>
      </c>
    </row>
    <row r="4907" spans="1:22">
      <c r="A4907" s="3">
        <v>4906</v>
      </c>
      <c r="L4907" s="1" t="s">
        <v>2007</v>
      </c>
      <c r="N4907" s="1" t="s">
        <v>441</v>
      </c>
      <c r="P4907" s="1" t="s">
        <v>445</v>
      </c>
      <c r="Q4907" s="3">
        <v>0</v>
      </c>
      <c r="R4907" s="22" t="s">
        <v>2766</v>
      </c>
      <c r="S4907" s="22" t="s">
        <v>5099</v>
      </c>
      <c r="T4907" s="51">
        <v>25</v>
      </c>
      <c r="U4907" s="3" t="s">
        <v>6352</v>
      </c>
      <c r="V4907" s="41" t="str">
        <f>HYPERLINK("http://ictvonline.org/taxonomy/p/taxonomy-history?taxnode_id=20185429","ICTVonline=20185429")</f>
        <v>ICTVonline=20185429</v>
      </c>
    </row>
    <row r="4908" spans="1:22">
      <c r="A4908" s="3">
        <v>4907</v>
      </c>
      <c r="L4908" s="1" t="s">
        <v>2007</v>
      </c>
      <c r="N4908" s="1" t="s">
        <v>441</v>
      </c>
      <c r="P4908" s="1" t="s">
        <v>446</v>
      </c>
      <c r="Q4908" s="3">
        <v>0</v>
      </c>
      <c r="R4908" s="22" t="s">
        <v>2766</v>
      </c>
      <c r="S4908" s="22" t="s">
        <v>5099</v>
      </c>
      <c r="T4908" s="51">
        <v>25</v>
      </c>
      <c r="U4908" s="3" t="s">
        <v>6352</v>
      </c>
      <c r="V4908" s="41" t="str">
        <f>HYPERLINK("http://ictvonline.org/taxonomy/p/taxonomy-history?taxnode_id=20185430","ICTVonline=20185430")</f>
        <v>ICTVonline=20185430</v>
      </c>
    </row>
    <row r="4909" spans="1:22">
      <c r="A4909" s="3">
        <v>4908</v>
      </c>
      <c r="L4909" s="1" t="s">
        <v>2007</v>
      </c>
      <c r="N4909" s="1" t="s">
        <v>441</v>
      </c>
      <c r="P4909" s="1" t="s">
        <v>447</v>
      </c>
      <c r="Q4909" s="3">
        <v>0</v>
      </c>
      <c r="R4909" s="22" t="s">
        <v>2766</v>
      </c>
      <c r="S4909" s="22" t="s">
        <v>5099</v>
      </c>
      <c r="T4909" s="51">
        <v>25</v>
      </c>
      <c r="U4909" s="3" t="s">
        <v>6352</v>
      </c>
      <c r="V4909" s="41" t="str">
        <f>HYPERLINK("http://ictvonline.org/taxonomy/p/taxonomy-history?taxnode_id=20185431","ICTVonline=20185431")</f>
        <v>ICTVonline=20185431</v>
      </c>
    </row>
    <row r="4910" spans="1:22">
      <c r="A4910" s="3">
        <v>4909</v>
      </c>
      <c r="L4910" s="1" t="s">
        <v>2007</v>
      </c>
      <c r="N4910" s="1" t="s">
        <v>441</v>
      </c>
      <c r="P4910" s="1" t="s">
        <v>2299</v>
      </c>
      <c r="Q4910" s="3">
        <v>0</v>
      </c>
      <c r="R4910" s="22" t="s">
        <v>2766</v>
      </c>
      <c r="S4910" s="22" t="s">
        <v>5097</v>
      </c>
      <c r="T4910" s="51">
        <v>27</v>
      </c>
      <c r="U4910" s="3" t="s">
        <v>6356</v>
      </c>
      <c r="V4910" s="41" t="str">
        <f>HYPERLINK("http://ictvonline.org/taxonomy/p/taxonomy-history?taxnode_id=20185432","ICTVonline=20185432")</f>
        <v>ICTVonline=20185432</v>
      </c>
    </row>
    <row r="4911" spans="1:22">
      <c r="A4911" s="3">
        <v>4910</v>
      </c>
      <c r="L4911" s="1" t="s">
        <v>2007</v>
      </c>
      <c r="N4911" s="1" t="s">
        <v>441</v>
      </c>
      <c r="P4911" s="1" t="s">
        <v>427</v>
      </c>
      <c r="Q4911" s="3">
        <v>0</v>
      </c>
      <c r="R4911" s="22" t="s">
        <v>2766</v>
      </c>
      <c r="S4911" s="22" t="s">
        <v>5099</v>
      </c>
      <c r="T4911" s="51">
        <v>25</v>
      </c>
      <c r="U4911" s="3" t="s">
        <v>6352</v>
      </c>
      <c r="V4911" s="41" t="str">
        <f>HYPERLINK("http://ictvonline.org/taxonomy/p/taxonomy-history?taxnode_id=20185433","ICTVonline=20185433")</f>
        <v>ICTVonline=20185433</v>
      </c>
    </row>
    <row r="4912" spans="1:22">
      <c r="A4912" s="3">
        <v>4911</v>
      </c>
      <c r="L4912" s="1" t="s">
        <v>2007</v>
      </c>
      <c r="N4912" s="1" t="s">
        <v>441</v>
      </c>
      <c r="P4912" s="1" t="s">
        <v>428</v>
      </c>
      <c r="Q4912" s="3">
        <v>0</v>
      </c>
      <c r="R4912" s="22" t="s">
        <v>2766</v>
      </c>
      <c r="S4912" s="22" t="s">
        <v>5099</v>
      </c>
      <c r="T4912" s="51">
        <v>25</v>
      </c>
      <c r="U4912" s="3" t="s">
        <v>6352</v>
      </c>
      <c r="V4912" s="41" t="str">
        <f>HYPERLINK("http://ictvonline.org/taxonomy/p/taxonomy-history?taxnode_id=20185434","ICTVonline=20185434")</f>
        <v>ICTVonline=20185434</v>
      </c>
    </row>
    <row r="4913" spans="1:22">
      <c r="A4913" s="3">
        <v>4912</v>
      </c>
      <c r="L4913" s="1" t="s">
        <v>2007</v>
      </c>
      <c r="N4913" s="1" t="s">
        <v>441</v>
      </c>
      <c r="P4913" s="1" t="s">
        <v>6358</v>
      </c>
      <c r="Q4913" s="3">
        <v>0</v>
      </c>
      <c r="R4913" s="22" t="s">
        <v>2766</v>
      </c>
      <c r="S4913" s="22" t="s">
        <v>5099</v>
      </c>
      <c r="T4913" s="51">
        <v>25</v>
      </c>
      <c r="U4913" s="3" t="s">
        <v>6352</v>
      </c>
      <c r="V4913" s="41" t="str">
        <f>HYPERLINK("http://ictvonline.org/taxonomy/p/taxonomy-history?taxnode_id=20185442","ICTVonline=20185442")</f>
        <v>ICTVonline=20185442</v>
      </c>
    </row>
    <row r="4914" spans="1:22">
      <c r="A4914" s="3">
        <v>4913</v>
      </c>
      <c r="L4914" s="1" t="s">
        <v>2007</v>
      </c>
      <c r="N4914" s="1" t="s">
        <v>441</v>
      </c>
      <c r="P4914" s="1" t="s">
        <v>429</v>
      </c>
      <c r="Q4914" s="3">
        <v>0</v>
      </c>
      <c r="R4914" s="22" t="s">
        <v>2766</v>
      </c>
      <c r="S4914" s="22" t="s">
        <v>5099</v>
      </c>
      <c r="T4914" s="51">
        <v>25</v>
      </c>
      <c r="U4914" s="3" t="s">
        <v>6352</v>
      </c>
      <c r="V4914" s="41" t="str">
        <f>HYPERLINK("http://ictvonline.org/taxonomy/p/taxonomy-history?taxnode_id=20185435","ICTVonline=20185435")</f>
        <v>ICTVonline=20185435</v>
      </c>
    </row>
    <row r="4915" spans="1:22">
      <c r="A4915" s="3">
        <v>4914</v>
      </c>
      <c r="L4915" s="1" t="s">
        <v>2007</v>
      </c>
      <c r="N4915" s="1" t="s">
        <v>441</v>
      </c>
      <c r="P4915" s="1" t="s">
        <v>2300</v>
      </c>
      <c r="Q4915" s="3">
        <v>0</v>
      </c>
      <c r="R4915" s="22" t="s">
        <v>2766</v>
      </c>
      <c r="S4915" s="22" t="s">
        <v>5097</v>
      </c>
      <c r="T4915" s="51">
        <v>27</v>
      </c>
      <c r="U4915" s="3" t="s">
        <v>6356</v>
      </c>
      <c r="V4915" s="41" t="str">
        <f>HYPERLINK("http://ictvonline.org/taxonomy/p/taxonomy-history?taxnode_id=20185436","ICTVonline=20185436")</f>
        <v>ICTVonline=20185436</v>
      </c>
    </row>
    <row r="4916" spans="1:22">
      <c r="A4916" s="3">
        <v>4915</v>
      </c>
      <c r="L4916" s="1" t="s">
        <v>2007</v>
      </c>
      <c r="N4916" s="1" t="s">
        <v>441</v>
      </c>
      <c r="P4916" s="1" t="s">
        <v>303</v>
      </c>
      <c r="Q4916" s="3">
        <v>0</v>
      </c>
      <c r="R4916" s="22" t="s">
        <v>2766</v>
      </c>
      <c r="S4916" s="22" t="s">
        <v>5099</v>
      </c>
      <c r="T4916" s="51">
        <v>25</v>
      </c>
      <c r="U4916" s="3" t="s">
        <v>6352</v>
      </c>
      <c r="V4916" s="41" t="str">
        <f>HYPERLINK("http://ictvonline.org/taxonomy/p/taxonomy-history?taxnode_id=20185437","ICTVonline=20185437")</f>
        <v>ICTVonline=20185437</v>
      </c>
    </row>
    <row r="4917" spans="1:22">
      <c r="A4917" s="3">
        <v>4916</v>
      </c>
      <c r="L4917" s="1" t="s">
        <v>2007</v>
      </c>
      <c r="N4917" s="1" t="s">
        <v>441</v>
      </c>
      <c r="P4917" s="1" t="s">
        <v>5094</v>
      </c>
      <c r="Q4917" s="3">
        <v>0</v>
      </c>
      <c r="R4917" s="22" t="s">
        <v>2766</v>
      </c>
      <c r="S4917" s="22" t="s">
        <v>5097</v>
      </c>
      <c r="T4917" s="51">
        <v>31</v>
      </c>
      <c r="U4917" s="3" t="s">
        <v>6359</v>
      </c>
      <c r="V4917" s="41" t="str">
        <f>HYPERLINK("http://ictvonline.org/taxonomy/p/taxonomy-history?taxnode_id=20185438","ICTVonline=20185438")</f>
        <v>ICTVonline=20185438</v>
      </c>
    </row>
    <row r="4918" spans="1:22">
      <c r="A4918" s="3">
        <v>4917</v>
      </c>
      <c r="L4918" s="1" t="s">
        <v>2007</v>
      </c>
      <c r="N4918" s="1" t="s">
        <v>441</v>
      </c>
      <c r="P4918" s="1" t="s">
        <v>2301</v>
      </c>
      <c r="Q4918" s="3">
        <v>0</v>
      </c>
      <c r="R4918" s="22" t="s">
        <v>2766</v>
      </c>
      <c r="S4918" s="22" t="s">
        <v>5097</v>
      </c>
      <c r="T4918" s="51">
        <v>27</v>
      </c>
      <c r="U4918" s="3" t="s">
        <v>6356</v>
      </c>
      <c r="V4918" s="41" t="str">
        <f>HYPERLINK("http://ictvonline.org/taxonomy/p/taxonomy-history?taxnode_id=20185439","ICTVonline=20185439")</f>
        <v>ICTVonline=20185439</v>
      </c>
    </row>
    <row r="4919" spans="1:22">
      <c r="A4919" s="3">
        <v>4918</v>
      </c>
      <c r="L4919" s="1" t="s">
        <v>2007</v>
      </c>
      <c r="N4919" s="1" t="s">
        <v>441</v>
      </c>
      <c r="P4919" s="1" t="s">
        <v>1533</v>
      </c>
      <c r="Q4919" s="3">
        <v>0</v>
      </c>
      <c r="R4919" s="22" t="s">
        <v>2766</v>
      </c>
      <c r="S4919" s="22" t="s">
        <v>5097</v>
      </c>
      <c r="T4919" s="51">
        <v>25</v>
      </c>
      <c r="U4919" s="3" t="s">
        <v>6360</v>
      </c>
      <c r="V4919" s="41" t="str">
        <f>HYPERLINK("http://ictvonline.org/taxonomy/p/taxonomy-history?taxnode_id=20185440","ICTVonline=20185440")</f>
        <v>ICTVonline=20185440</v>
      </c>
    </row>
    <row r="4920" spans="1:22">
      <c r="A4920" s="3">
        <v>4919</v>
      </c>
      <c r="L4920" s="1" t="s">
        <v>2007</v>
      </c>
      <c r="N4920" s="1" t="s">
        <v>441</v>
      </c>
      <c r="P4920" s="1" t="s">
        <v>304</v>
      </c>
      <c r="Q4920" s="3">
        <v>0</v>
      </c>
      <c r="R4920" s="22" t="s">
        <v>2766</v>
      </c>
      <c r="S4920" s="22" t="s">
        <v>5099</v>
      </c>
      <c r="T4920" s="51">
        <v>25</v>
      </c>
      <c r="U4920" s="3" t="s">
        <v>6352</v>
      </c>
      <c r="V4920" s="41" t="str">
        <f>HYPERLINK("http://ictvonline.org/taxonomy/p/taxonomy-history?taxnode_id=20185441","ICTVonline=20185441")</f>
        <v>ICTVonline=20185441</v>
      </c>
    </row>
    <row r="4921" spans="1:22">
      <c r="A4921" s="3">
        <v>4920</v>
      </c>
      <c r="L4921" s="1" t="s">
        <v>2007</v>
      </c>
      <c r="N4921" s="1" t="s">
        <v>441</v>
      </c>
      <c r="P4921" s="1" t="s">
        <v>1535</v>
      </c>
      <c r="Q4921" s="3">
        <v>0</v>
      </c>
      <c r="R4921" s="22" t="s">
        <v>2766</v>
      </c>
      <c r="S4921" s="22" t="s">
        <v>5097</v>
      </c>
      <c r="T4921" s="51">
        <v>25</v>
      </c>
      <c r="U4921" s="3" t="s">
        <v>6357</v>
      </c>
      <c r="V4921" s="41" t="str">
        <f>HYPERLINK("http://ictvonline.org/taxonomy/p/taxonomy-history?taxnode_id=20185443","ICTVonline=20185443")</f>
        <v>ICTVonline=20185443</v>
      </c>
    </row>
    <row r="4922" spans="1:22">
      <c r="A4922" s="3">
        <v>4921</v>
      </c>
      <c r="L4922" s="1" t="s">
        <v>2007</v>
      </c>
      <c r="N4922" s="1" t="s">
        <v>441</v>
      </c>
      <c r="P4922" s="1" t="s">
        <v>305</v>
      </c>
      <c r="Q4922" s="3">
        <v>0</v>
      </c>
      <c r="R4922" s="22" t="s">
        <v>2766</v>
      </c>
      <c r="S4922" s="22" t="s">
        <v>5099</v>
      </c>
      <c r="T4922" s="51">
        <v>25</v>
      </c>
      <c r="U4922" s="3" t="s">
        <v>6352</v>
      </c>
      <c r="V4922" s="41" t="str">
        <f>HYPERLINK("http://ictvonline.org/taxonomy/p/taxonomy-history?taxnode_id=20185444","ICTVonline=20185444")</f>
        <v>ICTVonline=20185444</v>
      </c>
    </row>
    <row r="4923" spans="1:22">
      <c r="A4923" s="3">
        <v>4922</v>
      </c>
      <c r="L4923" s="1" t="s">
        <v>2007</v>
      </c>
      <c r="N4923" s="1" t="s">
        <v>441</v>
      </c>
      <c r="P4923" s="1" t="s">
        <v>1183</v>
      </c>
      <c r="Q4923" s="3">
        <v>0</v>
      </c>
      <c r="R4923" s="22" t="s">
        <v>2766</v>
      </c>
      <c r="S4923" s="22" t="s">
        <v>5099</v>
      </c>
      <c r="T4923" s="51">
        <v>25</v>
      </c>
      <c r="U4923" s="3" t="s">
        <v>6352</v>
      </c>
      <c r="V4923" s="41" t="str">
        <f>HYPERLINK("http://ictvonline.org/taxonomy/p/taxonomy-history?taxnode_id=20185445","ICTVonline=20185445")</f>
        <v>ICTVonline=20185445</v>
      </c>
    </row>
    <row r="4924" spans="1:22">
      <c r="A4924" s="3">
        <v>4923</v>
      </c>
      <c r="L4924" s="1" t="s">
        <v>2007</v>
      </c>
      <c r="N4924" s="1" t="s">
        <v>441</v>
      </c>
      <c r="P4924" s="1" t="s">
        <v>1710</v>
      </c>
      <c r="Q4924" s="3">
        <v>0</v>
      </c>
      <c r="R4924" s="22" t="s">
        <v>2766</v>
      </c>
      <c r="S4924" s="22" t="s">
        <v>5099</v>
      </c>
      <c r="T4924" s="51">
        <v>25</v>
      </c>
      <c r="U4924" s="3" t="s">
        <v>6352</v>
      </c>
      <c r="V4924" s="41" t="str">
        <f>HYPERLINK("http://ictvonline.org/taxonomy/p/taxonomy-history?taxnode_id=20185446","ICTVonline=20185446")</f>
        <v>ICTVonline=20185446</v>
      </c>
    </row>
    <row r="4925" spans="1:22">
      <c r="A4925" s="3">
        <v>4924</v>
      </c>
      <c r="L4925" s="1" t="s">
        <v>2007</v>
      </c>
      <c r="N4925" s="1" t="s">
        <v>441</v>
      </c>
      <c r="P4925" s="1" t="s">
        <v>1711</v>
      </c>
      <c r="Q4925" s="3">
        <v>1</v>
      </c>
      <c r="R4925" s="22" t="s">
        <v>2766</v>
      </c>
      <c r="S4925" s="22" t="s">
        <v>5099</v>
      </c>
      <c r="T4925" s="51">
        <v>25</v>
      </c>
      <c r="U4925" s="3" t="s">
        <v>6352</v>
      </c>
      <c r="V4925" s="41" t="str">
        <f>HYPERLINK("http://ictvonline.org/taxonomy/p/taxonomy-history?taxnode_id=20185447","ICTVonline=20185447")</f>
        <v>ICTVonline=20185447</v>
      </c>
    </row>
    <row r="4926" spans="1:22">
      <c r="A4926" s="3">
        <v>4925</v>
      </c>
      <c r="L4926" s="1" t="s">
        <v>2007</v>
      </c>
      <c r="N4926" s="1" t="s">
        <v>441</v>
      </c>
      <c r="P4926" s="1" t="s">
        <v>5095</v>
      </c>
      <c r="Q4926" s="3">
        <v>0</v>
      </c>
      <c r="R4926" s="22" t="s">
        <v>2766</v>
      </c>
      <c r="S4926" s="22" t="s">
        <v>5097</v>
      </c>
      <c r="T4926" s="51">
        <v>31</v>
      </c>
      <c r="U4926" s="3" t="s">
        <v>6359</v>
      </c>
      <c r="V4926" s="41" t="str">
        <f>HYPERLINK("http://ictvonline.org/taxonomy/p/taxonomy-history?taxnode_id=20185448","ICTVonline=20185448")</f>
        <v>ICTVonline=20185448</v>
      </c>
    </row>
    <row r="4927" spans="1:22">
      <c r="A4927" s="3">
        <v>4926</v>
      </c>
      <c r="L4927" s="1" t="s">
        <v>2007</v>
      </c>
      <c r="N4927" s="1" t="s">
        <v>441</v>
      </c>
      <c r="P4927" s="1" t="s">
        <v>1712</v>
      </c>
      <c r="Q4927" s="3">
        <v>0</v>
      </c>
      <c r="R4927" s="22" t="s">
        <v>2766</v>
      </c>
      <c r="S4927" s="22" t="s">
        <v>5099</v>
      </c>
      <c r="T4927" s="51">
        <v>25</v>
      </c>
      <c r="U4927" s="3" t="s">
        <v>6352</v>
      </c>
      <c r="V4927" s="41" t="str">
        <f>HYPERLINK("http://ictvonline.org/taxonomy/p/taxonomy-history?taxnode_id=20185449","ICTVonline=20185449")</f>
        <v>ICTVonline=20185449</v>
      </c>
    </row>
    <row r="4928" spans="1:22">
      <c r="A4928" s="3">
        <v>4927</v>
      </c>
      <c r="L4928" s="1" t="s">
        <v>2007</v>
      </c>
      <c r="N4928" s="1" t="s">
        <v>441</v>
      </c>
      <c r="P4928" s="1" t="s">
        <v>2759</v>
      </c>
      <c r="Q4928" s="3">
        <v>0</v>
      </c>
      <c r="R4928" s="22" t="s">
        <v>2766</v>
      </c>
      <c r="S4928" s="22" t="s">
        <v>5097</v>
      </c>
      <c r="T4928" s="51">
        <v>29</v>
      </c>
      <c r="U4928" s="3" t="s">
        <v>6361</v>
      </c>
      <c r="V4928" s="41" t="str">
        <f>HYPERLINK("http://ictvonline.org/taxonomy/p/taxonomy-history?taxnode_id=20185450","ICTVonline=20185450")</f>
        <v>ICTVonline=20185450</v>
      </c>
    </row>
    <row r="4929" spans="1:22">
      <c r="A4929" s="3">
        <v>4928</v>
      </c>
      <c r="L4929" s="1" t="s">
        <v>2007</v>
      </c>
      <c r="N4929" s="1" t="s">
        <v>441</v>
      </c>
      <c r="P4929" s="1" t="s">
        <v>2302</v>
      </c>
      <c r="Q4929" s="3">
        <v>0</v>
      </c>
      <c r="R4929" s="22" t="s">
        <v>2766</v>
      </c>
      <c r="S4929" s="22" t="s">
        <v>5097</v>
      </c>
      <c r="T4929" s="51">
        <v>27</v>
      </c>
      <c r="U4929" s="3" t="s">
        <v>6356</v>
      </c>
      <c r="V4929" s="41" t="str">
        <f>HYPERLINK("http://ictvonline.org/taxonomy/p/taxonomy-history?taxnode_id=20185451","ICTVonline=20185451")</f>
        <v>ICTVonline=20185451</v>
      </c>
    </row>
    <row r="4930" spans="1:22">
      <c r="A4930" s="3">
        <v>4929</v>
      </c>
      <c r="L4930" s="1" t="s">
        <v>2007</v>
      </c>
      <c r="N4930" s="1" t="s">
        <v>441</v>
      </c>
      <c r="P4930" s="1" t="s">
        <v>1713</v>
      </c>
      <c r="Q4930" s="3">
        <v>0</v>
      </c>
      <c r="R4930" s="22" t="s">
        <v>2766</v>
      </c>
      <c r="S4930" s="22" t="s">
        <v>5099</v>
      </c>
      <c r="T4930" s="51">
        <v>25</v>
      </c>
      <c r="U4930" s="3" t="s">
        <v>6352</v>
      </c>
      <c r="V4930" s="41" t="str">
        <f>HYPERLINK("http://ictvonline.org/taxonomy/p/taxonomy-history?taxnode_id=20185452","ICTVonline=20185452")</f>
        <v>ICTVonline=20185452</v>
      </c>
    </row>
    <row r="4931" spans="1:22">
      <c r="A4931" s="3">
        <v>4930</v>
      </c>
      <c r="L4931" s="1" t="s">
        <v>2007</v>
      </c>
      <c r="N4931" s="1" t="s">
        <v>441</v>
      </c>
      <c r="P4931" s="1" t="s">
        <v>1714</v>
      </c>
      <c r="Q4931" s="3">
        <v>0</v>
      </c>
      <c r="R4931" s="22" t="s">
        <v>2766</v>
      </c>
      <c r="S4931" s="22" t="s">
        <v>5099</v>
      </c>
      <c r="T4931" s="51">
        <v>25</v>
      </c>
      <c r="U4931" s="3" t="s">
        <v>6352</v>
      </c>
      <c r="V4931" s="41" t="str">
        <f>HYPERLINK("http://ictvonline.org/taxonomy/p/taxonomy-history?taxnode_id=20185453","ICTVonline=20185453")</f>
        <v>ICTVonline=20185453</v>
      </c>
    </row>
    <row r="4932" spans="1:22">
      <c r="A4932" s="3">
        <v>4931</v>
      </c>
      <c r="L4932" s="1" t="s">
        <v>2007</v>
      </c>
      <c r="N4932" s="1" t="s">
        <v>441</v>
      </c>
      <c r="P4932" s="1" t="s">
        <v>1715</v>
      </c>
      <c r="Q4932" s="3">
        <v>0</v>
      </c>
      <c r="R4932" s="22" t="s">
        <v>2766</v>
      </c>
      <c r="S4932" s="22" t="s">
        <v>5099</v>
      </c>
      <c r="T4932" s="51">
        <v>25</v>
      </c>
      <c r="U4932" s="3" t="s">
        <v>6352</v>
      </c>
      <c r="V4932" s="41" t="str">
        <f>HYPERLINK("http://ictvonline.org/taxonomy/p/taxonomy-history?taxnode_id=20185454","ICTVonline=20185454")</f>
        <v>ICTVonline=20185454</v>
      </c>
    </row>
    <row r="4933" spans="1:22">
      <c r="A4933" s="3">
        <v>4932</v>
      </c>
      <c r="L4933" s="1" t="s">
        <v>2007</v>
      </c>
      <c r="N4933" s="1" t="s">
        <v>441</v>
      </c>
      <c r="P4933" s="1" t="s">
        <v>2760</v>
      </c>
      <c r="Q4933" s="3">
        <v>0</v>
      </c>
      <c r="R4933" s="22" t="s">
        <v>2766</v>
      </c>
      <c r="S4933" s="22" t="s">
        <v>5097</v>
      </c>
      <c r="T4933" s="51">
        <v>29</v>
      </c>
      <c r="U4933" s="3" t="s">
        <v>6361</v>
      </c>
      <c r="V4933" s="41" t="str">
        <f>HYPERLINK("http://ictvonline.org/taxonomy/p/taxonomy-history?taxnode_id=20185455","ICTVonline=20185455")</f>
        <v>ICTVonline=20185455</v>
      </c>
    </row>
    <row r="4934" spans="1:22">
      <c r="A4934" s="3">
        <v>4933</v>
      </c>
      <c r="L4934" s="1" t="s">
        <v>2007</v>
      </c>
      <c r="N4934" s="1" t="s">
        <v>441</v>
      </c>
      <c r="P4934" s="1" t="s">
        <v>1716</v>
      </c>
      <c r="Q4934" s="3">
        <v>0</v>
      </c>
      <c r="R4934" s="22" t="s">
        <v>2766</v>
      </c>
      <c r="S4934" s="22" t="s">
        <v>5099</v>
      </c>
      <c r="T4934" s="51">
        <v>25</v>
      </c>
      <c r="U4934" s="3" t="s">
        <v>6352</v>
      </c>
      <c r="V4934" s="41" t="str">
        <f>HYPERLINK("http://ictvonline.org/taxonomy/p/taxonomy-history?taxnode_id=20185456","ICTVonline=20185456")</f>
        <v>ICTVonline=20185456</v>
      </c>
    </row>
    <row r="4935" spans="1:22">
      <c r="A4935" s="3">
        <v>4934</v>
      </c>
      <c r="L4935" s="1" t="s">
        <v>2007</v>
      </c>
      <c r="N4935" s="1" t="s">
        <v>441</v>
      </c>
      <c r="P4935" s="1" t="s">
        <v>1717</v>
      </c>
      <c r="Q4935" s="3">
        <v>0</v>
      </c>
      <c r="R4935" s="22" t="s">
        <v>2766</v>
      </c>
      <c r="S4935" s="22" t="s">
        <v>5099</v>
      </c>
      <c r="T4935" s="51">
        <v>25</v>
      </c>
      <c r="U4935" s="3" t="s">
        <v>6352</v>
      </c>
      <c r="V4935" s="41" t="str">
        <f>HYPERLINK("http://ictvonline.org/taxonomy/p/taxonomy-history?taxnode_id=20185457","ICTVonline=20185457")</f>
        <v>ICTVonline=20185457</v>
      </c>
    </row>
    <row r="4936" spans="1:22">
      <c r="A4936" s="3">
        <v>4935</v>
      </c>
      <c r="L4936" s="1" t="s">
        <v>2007</v>
      </c>
      <c r="N4936" s="1" t="s">
        <v>1718</v>
      </c>
      <c r="P4936" s="1" t="s">
        <v>1719</v>
      </c>
      <c r="Q4936" s="3">
        <v>0</v>
      </c>
      <c r="R4936" s="22" t="s">
        <v>2766</v>
      </c>
      <c r="S4936" s="22" t="s">
        <v>5099</v>
      </c>
      <c r="T4936" s="51">
        <v>25</v>
      </c>
      <c r="U4936" s="3" t="s">
        <v>6352</v>
      </c>
      <c r="V4936" s="41" t="str">
        <f>HYPERLINK("http://ictvonline.org/taxonomy/p/taxonomy-history?taxnode_id=20185459","ICTVonline=20185459")</f>
        <v>ICTVonline=20185459</v>
      </c>
    </row>
    <row r="4937" spans="1:22">
      <c r="A4937" s="3">
        <v>4936</v>
      </c>
      <c r="L4937" s="1" t="s">
        <v>2007</v>
      </c>
      <c r="N4937" s="1" t="s">
        <v>1718</v>
      </c>
      <c r="P4937" s="1" t="s">
        <v>1720</v>
      </c>
      <c r="Q4937" s="3">
        <v>0</v>
      </c>
      <c r="R4937" s="22" t="s">
        <v>2766</v>
      </c>
      <c r="S4937" s="22" t="s">
        <v>5099</v>
      </c>
      <c r="T4937" s="51">
        <v>25</v>
      </c>
      <c r="U4937" s="3" t="s">
        <v>6352</v>
      </c>
      <c r="V4937" s="41" t="str">
        <f>HYPERLINK("http://ictvonline.org/taxonomy/p/taxonomy-history?taxnode_id=20185460","ICTVonline=20185460")</f>
        <v>ICTVonline=20185460</v>
      </c>
    </row>
    <row r="4938" spans="1:22">
      <c r="A4938" s="3">
        <v>4937</v>
      </c>
      <c r="L4938" s="1" t="s">
        <v>2007</v>
      </c>
      <c r="N4938" s="1" t="s">
        <v>1718</v>
      </c>
      <c r="P4938" s="1" t="s">
        <v>1721</v>
      </c>
      <c r="Q4938" s="3">
        <v>1</v>
      </c>
      <c r="R4938" s="22" t="s">
        <v>2766</v>
      </c>
      <c r="S4938" s="22" t="s">
        <v>5099</v>
      </c>
      <c r="T4938" s="51">
        <v>25</v>
      </c>
      <c r="U4938" s="3" t="s">
        <v>6352</v>
      </c>
      <c r="V4938" s="41" t="str">
        <f>HYPERLINK("http://ictvonline.org/taxonomy/p/taxonomy-history?taxnode_id=20185461","ICTVonline=20185461")</f>
        <v>ICTVonline=20185461</v>
      </c>
    </row>
    <row r="4939" spans="1:22">
      <c r="A4939" s="3">
        <v>4938</v>
      </c>
      <c r="N4939" s="1" t="s">
        <v>4143</v>
      </c>
      <c r="P4939" s="1" t="s">
        <v>4144</v>
      </c>
      <c r="Q4939" s="3">
        <v>1</v>
      </c>
      <c r="R4939" s="22" t="s">
        <v>2766</v>
      </c>
      <c r="S4939" s="22" t="s">
        <v>5097</v>
      </c>
      <c r="T4939" s="51">
        <v>30</v>
      </c>
      <c r="U4939" s="3" t="s">
        <v>6342</v>
      </c>
      <c r="V4939" s="41" t="str">
        <f>HYPERLINK("http://ictvonline.org/taxonomy/p/taxonomy-history?taxnode_id=20185333","ICTVonline=20185333")</f>
        <v>ICTVonline=20185333</v>
      </c>
    </row>
    <row r="4940" spans="1:22">
      <c r="A4940" s="3">
        <v>4939</v>
      </c>
      <c r="N4940" s="1" t="s">
        <v>4143</v>
      </c>
      <c r="P4940" s="1" t="s">
        <v>4145</v>
      </c>
      <c r="Q4940" s="3">
        <v>0</v>
      </c>
      <c r="R4940" s="22" t="s">
        <v>2766</v>
      </c>
      <c r="S4940" s="22" t="s">
        <v>5097</v>
      </c>
      <c r="T4940" s="51">
        <v>30</v>
      </c>
      <c r="U4940" s="3" t="s">
        <v>6342</v>
      </c>
      <c r="V4940" s="41" t="str">
        <f>HYPERLINK("http://ictvonline.org/taxonomy/p/taxonomy-history?taxnode_id=20185334","ICTVonline=20185334")</f>
        <v>ICTVonline=20185334</v>
      </c>
    </row>
    <row r="4941" spans="1:22">
      <c r="A4941" s="3">
        <v>4940</v>
      </c>
      <c r="N4941" s="1" t="s">
        <v>4143</v>
      </c>
      <c r="P4941" s="1" t="s">
        <v>4146</v>
      </c>
      <c r="Q4941" s="3">
        <v>0</v>
      </c>
      <c r="R4941" s="22" t="s">
        <v>2766</v>
      </c>
      <c r="S4941" s="22" t="s">
        <v>5097</v>
      </c>
      <c r="T4941" s="51">
        <v>30</v>
      </c>
      <c r="U4941" s="3" t="s">
        <v>6342</v>
      </c>
      <c r="V4941" s="41" t="str">
        <f>HYPERLINK("http://ictvonline.org/taxonomy/p/taxonomy-history?taxnode_id=20185335","ICTVonline=20185335")</f>
        <v>ICTVonline=20185335</v>
      </c>
    </row>
    <row r="4942" spans="1:22">
      <c r="A4942" s="3">
        <v>4941</v>
      </c>
      <c r="N4942" s="1" t="s">
        <v>4147</v>
      </c>
      <c r="P4942" s="1" t="s">
        <v>4148</v>
      </c>
      <c r="Q4942" s="3">
        <v>1</v>
      </c>
      <c r="R4942" s="22" t="s">
        <v>2766</v>
      </c>
      <c r="S4942" s="22" t="s">
        <v>5097</v>
      </c>
      <c r="T4942" s="51">
        <v>30</v>
      </c>
      <c r="U4942" s="3" t="s">
        <v>6342</v>
      </c>
      <c r="V4942" s="41" t="str">
        <f>HYPERLINK("http://ictvonline.org/taxonomy/p/taxonomy-history?taxnode_id=20185337","ICTVonline=20185337")</f>
        <v>ICTVonline=20185337</v>
      </c>
    </row>
    <row r="4943" spans="1:22">
      <c r="A4943" s="3">
        <v>4942</v>
      </c>
      <c r="N4943" s="1" t="s">
        <v>5088</v>
      </c>
      <c r="P4943" s="1" t="s">
        <v>5089</v>
      </c>
      <c r="Q4943" s="3">
        <v>1</v>
      </c>
      <c r="R4943" s="22" t="s">
        <v>2766</v>
      </c>
      <c r="S4943" s="22" t="s">
        <v>5097</v>
      </c>
      <c r="T4943" s="51">
        <v>31</v>
      </c>
      <c r="U4943" s="3" t="s">
        <v>6343</v>
      </c>
      <c r="V4943" s="41" t="str">
        <f>HYPERLINK("http://ictvonline.org/taxonomy/p/taxonomy-history?taxnode_id=20185341","ICTVonline=20185341")</f>
        <v>ICTVonline=20185341</v>
      </c>
    </row>
    <row r="4944" spans="1:22">
      <c r="A4944" s="3">
        <v>4943</v>
      </c>
      <c r="N4944" s="1" t="s">
        <v>4149</v>
      </c>
      <c r="P4944" s="1" t="s">
        <v>4150</v>
      </c>
      <c r="Q4944" s="3">
        <v>1</v>
      </c>
      <c r="R4944" s="22" t="s">
        <v>2768</v>
      </c>
      <c r="S4944" s="22" t="s">
        <v>5097</v>
      </c>
      <c r="T4944" s="51">
        <v>30</v>
      </c>
      <c r="U4944" s="3" t="s">
        <v>6344</v>
      </c>
      <c r="V4944" s="41" t="str">
        <f>HYPERLINK("http://ictvonline.org/taxonomy/p/taxonomy-history?taxnode_id=20185343","ICTVonline=20185343")</f>
        <v>ICTVonline=20185343</v>
      </c>
    </row>
    <row r="4945" spans="1:22">
      <c r="A4945" s="3">
        <v>4944</v>
      </c>
      <c r="N4945" s="1" t="s">
        <v>2005</v>
      </c>
      <c r="P4945" s="1" t="s">
        <v>2006</v>
      </c>
      <c r="Q4945" s="3">
        <v>1</v>
      </c>
      <c r="R4945" s="22" t="s">
        <v>2766</v>
      </c>
      <c r="S4945" s="22" t="s">
        <v>5102</v>
      </c>
      <c r="T4945" s="51">
        <v>25</v>
      </c>
      <c r="U4945" s="3" t="s">
        <v>6345</v>
      </c>
      <c r="V4945" s="41" t="str">
        <f>HYPERLINK("http://ictvonline.org/taxonomy/p/taxonomy-history?taxnode_id=20185345","ICTVonline=20185345")</f>
        <v>ICTVonline=20185345</v>
      </c>
    </row>
    <row r="4946" spans="1:22">
      <c r="A4946" s="3">
        <v>4945</v>
      </c>
      <c r="N4946" s="1" t="s">
        <v>2005</v>
      </c>
      <c r="P4946" s="1" t="s">
        <v>5090</v>
      </c>
      <c r="Q4946" s="3">
        <v>0</v>
      </c>
      <c r="R4946" s="22" t="s">
        <v>2766</v>
      </c>
      <c r="S4946" s="22" t="s">
        <v>5097</v>
      </c>
      <c r="T4946" s="51">
        <v>31</v>
      </c>
      <c r="U4946" s="3" t="s">
        <v>6346</v>
      </c>
      <c r="V4946" s="41" t="str">
        <f>HYPERLINK("http://ictvonline.org/taxonomy/p/taxonomy-history?taxnode_id=20185346","ICTVonline=20185346")</f>
        <v>ICTVonline=20185346</v>
      </c>
    </row>
    <row r="4947" spans="1:22">
      <c r="A4947" s="3">
        <v>4946</v>
      </c>
      <c r="N4947" s="1" t="s">
        <v>1264</v>
      </c>
      <c r="P4947" s="1" t="s">
        <v>1265</v>
      </c>
      <c r="Q4947" s="3">
        <v>1</v>
      </c>
      <c r="R4947" s="22" t="s">
        <v>2765</v>
      </c>
      <c r="S4947" s="22" t="s">
        <v>5102</v>
      </c>
      <c r="T4947" s="51">
        <v>13</v>
      </c>
      <c r="U4947" s="3" t="s">
        <v>5868</v>
      </c>
      <c r="V4947" s="41" t="str">
        <f>HYPERLINK("http://ictvonline.org/taxonomy/p/taxonomy-history?taxnode_id=20185348","ICTVonline=20185348")</f>
        <v>ICTVonline=20185348</v>
      </c>
    </row>
    <row r="4948" spans="1:22">
      <c r="A4948" s="3">
        <v>4947</v>
      </c>
      <c r="N4948" s="1" t="s">
        <v>213</v>
      </c>
      <c r="P4948" s="1" t="s">
        <v>214</v>
      </c>
      <c r="Q4948" s="3">
        <v>1</v>
      </c>
      <c r="R4948" s="22" t="s">
        <v>2764</v>
      </c>
      <c r="S4948" s="22" t="s">
        <v>5102</v>
      </c>
      <c r="T4948" s="51">
        <v>26</v>
      </c>
      <c r="U4948" s="3" t="s">
        <v>6347</v>
      </c>
      <c r="V4948" s="41" t="str">
        <f>HYPERLINK("http://ictvonline.org/taxonomy/p/taxonomy-history?taxnode_id=20185350","ICTVonline=20185350")</f>
        <v>ICTVonline=20185350</v>
      </c>
    </row>
    <row r="4949" spans="1:22">
      <c r="A4949" s="3">
        <v>4948</v>
      </c>
      <c r="N4949" s="1" t="s">
        <v>2640</v>
      </c>
      <c r="P4949" s="1" t="s">
        <v>2641</v>
      </c>
      <c r="Q4949" s="3">
        <v>1</v>
      </c>
      <c r="R4949" s="22" t="s">
        <v>2766</v>
      </c>
      <c r="S4949" s="22" t="s">
        <v>5097</v>
      </c>
      <c r="T4949" s="51">
        <v>28</v>
      </c>
      <c r="U4949" s="3" t="s">
        <v>6348</v>
      </c>
      <c r="V4949" s="41" t="str">
        <f>HYPERLINK("http://ictvonline.org/taxonomy/p/taxonomy-history?taxnode_id=20185352","ICTVonline=20185352")</f>
        <v>ICTVonline=20185352</v>
      </c>
    </row>
    <row r="4950" spans="1:22">
      <c r="A4950" s="3">
        <v>4949</v>
      </c>
      <c r="N4950" s="1" t="s">
        <v>265</v>
      </c>
      <c r="P4950" s="1" t="s">
        <v>266</v>
      </c>
      <c r="Q4950" s="3">
        <v>1</v>
      </c>
      <c r="R4950" s="22" t="s">
        <v>2766</v>
      </c>
      <c r="S4950" s="22" t="s">
        <v>5102</v>
      </c>
      <c r="T4950" s="51">
        <v>13</v>
      </c>
      <c r="U4950" s="3" t="s">
        <v>5868</v>
      </c>
      <c r="V4950" s="41" t="str">
        <f>HYPERLINK("http://ictvonline.org/taxonomy/p/taxonomy-history?taxnode_id=20185354","ICTVonline=20185354")</f>
        <v>ICTVonline=20185354</v>
      </c>
    </row>
    <row r="4951" spans="1:22">
      <c r="A4951" s="3">
        <v>4950</v>
      </c>
      <c r="N4951" s="1" t="s">
        <v>267</v>
      </c>
      <c r="P4951" s="1" t="s">
        <v>268</v>
      </c>
      <c r="Q4951" s="3">
        <v>0</v>
      </c>
      <c r="R4951" s="22" t="s">
        <v>2766</v>
      </c>
      <c r="S4951" s="22" t="s">
        <v>5097</v>
      </c>
      <c r="T4951" s="51">
        <v>18</v>
      </c>
      <c r="U4951" s="3" t="s">
        <v>5486</v>
      </c>
      <c r="V4951" s="41" t="str">
        <f>HYPERLINK("http://ictvonline.org/taxonomy/p/taxonomy-history?taxnode_id=20185356","ICTVonline=20185356")</f>
        <v>ICTVonline=20185356</v>
      </c>
    </row>
    <row r="4952" spans="1:22">
      <c r="A4952" s="3">
        <v>4951</v>
      </c>
      <c r="N4952" s="1" t="s">
        <v>267</v>
      </c>
      <c r="P4952" s="1" t="s">
        <v>269</v>
      </c>
      <c r="Q4952" s="3">
        <v>0</v>
      </c>
      <c r="R4952" s="22" t="s">
        <v>2766</v>
      </c>
      <c r="S4952" s="22" t="s">
        <v>5097</v>
      </c>
      <c r="T4952" s="51">
        <v>18</v>
      </c>
      <c r="U4952" s="3" t="s">
        <v>5486</v>
      </c>
      <c r="V4952" s="41" t="str">
        <f>HYPERLINK("http://ictvonline.org/taxonomy/p/taxonomy-history?taxnode_id=20185357","ICTVonline=20185357")</f>
        <v>ICTVonline=20185357</v>
      </c>
    </row>
    <row r="4953" spans="1:22">
      <c r="A4953" s="3">
        <v>4952</v>
      </c>
      <c r="N4953" s="1" t="s">
        <v>267</v>
      </c>
      <c r="P4953" s="1" t="s">
        <v>270</v>
      </c>
      <c r="Q4953" s="3">
        <v>1</v>
      </c>
      <c r="R4953" s="22" t="s">
        <v>2766</v>
      </c>
      <c r="S4953" s="22" t="s">
        <v>5102</v>
      </c>
      <c r="T4953" s="51">
        <v>17</v>
      </c>
      <c r="U4953" s="3" t="s">
        <v>5823</v>
      </c>
      <c r="V4953" s="41" t="str">
        <f>HYPERLINK("http://ictvonline.org/taxonomy/p/taxonomy-history?taxnode_id=20185358","ICTVonline=20185358")</f>
        <v>ICTVonline=20185358</v>
      </c>
    </row>
    <row r="4954" spans="1:22">
      <c r="A4954" s="3">
        <v>4953</v>
      </c>
      <c r="N4954" s="1" t="s">
        <v>4151</v>
      </c>
      <c r="P4954" s="1" t="s">
        <v>4152</v>
      </c>
      <c r="Q4954" s="3">
        <v>1</v>
      </c>
      <c r="R4954" s="22" t="s">
        <v>2766</v>
      </c>
      <c r="S4954" s="22" t="s">
        <v>5097</v>
      </c>
      <c r="T4954" s="51">
        <v>30</v>
      </c>
      <c r="U4954" s="3" t="s">
        <v>6342</v>
      </c>
      <c r="V4954" s="41" t="str">
        <f>HYPERLINK("http://ictvonline.org/taxonomy/p/taxonomy-history?taxnode_id=20185360","ICTVonline=20185360")</f>
        <v>ICTVonline=20185360</v>
      </c>
    </row>
    <row r="4955" spans="1:22">
      <c r="A4955" s="3">
        <v>4954</v>
      </c>
      <c r="N4955" s="1" t="s">
        <v>405</v>
      </c>
      <c r="P4955" s="1" t="s">
        <v>406</v>
      </c>
      <c r="Q4955" s="3">
        <v>1</v>
      </c>
      <c r="R4955" s="22" t="s">
        <v>2764</v>
      </c>
      <c r="S4955" s="22" t="s">
        <v>5102</v>
      </c>
      <c r="T4955" s="51">
        <v>10</v>
      </c>
      <c r="U4955" s="3" t="s">
        <v>6349</v>
      </c>
      <c r="V4955" s="41" t="str">
        <f>HYPERLINK("http://ictvonline.org/taxonomy/p/taxonomy-history?taxnode_id=20185364","ICTVonline=20185364")</f>
        <v>ICTVonline=20185364</v>
      </c>
    </row>
    <row r="4956" spans="1:22">
      <c r="A4956" s="3">
        <v>4955</v>
      </c>
      <c r="N4956" s="1" t="s">
        <v>1009</v>
      </c>
      <c r="P4956" s="1" t="s">
        <v>1010</v>
      </c>
      <c r="Q4956" s="3">
        <v>1</v>
      </c>
      <c r="R4956" s="22" t="s">
        <v>2764</v>
      </c>
      <c r="S4956" s="22" t="s">
        <v>5102</v>
      </c>
      <c r="T4956" s="51">
        <v>22</v>
      </c>
      <c r="U4956" s="3" t="s">
        <v>6350</v>
      </c>
      <c r="V4956" s="41" t="str">
        <f>HYPERLINK("http://ictvonline.org/taxonomy/p/taxonomy-history?taxnode_id=20185366","ICTVonline=20185366")</f>
        <v>ICTVonline=20185366</v>
      </c>
    </row>
    <row r="4957" spans="1:22">
      <c r="A4957" s="3">
        <v>4956</v>
      </c>
      <c r="N4957" s="1" t="s">
        <v>4153</v>
      </c>
      <c r="P4957" s="1" t="s">
        <v>4154</v>
      </c>
      <c r="Q4957" s="3">
        <v>0</v>
      </c>
      <c r="R4957" s="22" t="s">
        <v>2766</v>
      </c>
      <c r="S4957" s="22" t="s">
        <v>5097</v>
      </c>
      <c r="T4957" s="51">
        <v>30</v>
      </c>
      <c r="U4957" s="3" t="s">
        <v>6351</v>
      </c>
      <c r="V4957" s="41" t="str">
        <f>HYPERLINK("http://ictvonline.org/taxonomy/p/taxonomy-history?taxnode_id=20185368","ICTVonline=20185368")</f>
        <v>ICTVonline=20185368</v>
      </c>
    </row>
    <row r="4958" spans="1:22">
      <c r="A4958" s="3">
        <v>4957</v>
      </c>
      <c r="N4958" s="1" t="s">
        <v>4153</v>
      </c>
      <c r="P4958" s="1" t="s">
        <v>4155</v>
      </c>
      <c r="Q4958" s="3">
        <v>1</v>
      </c>
      <c r="R4958" s="22" t="s">
        <v>2766</v>
      </c>
      <c r="S4958" s="22" t="s">
        <v>5097</v>
      </c>
      <c r="T4958" s="51">
        <v>30</v>
      </c>
      <c r="U4958" s="3" t="s">
        <v>6351</v>
      </c>
      <c r="V4958" s="41" t="str">
        <f>HYPERLINK("http://ictvonline.org/taxonomy/p/taxonomy-history?taxnode_id=20185369","ICTVonline=20185369")</f>
        <v>ICTVonline=20185369</v>
      </c>
    </row>
    <row r="4959" spans="1:22">
      <c r="A4959" s="3">
        <v>4958</v>
      </c>
      <c r="N4959" s="1" t="s">
        <v>4161</v>
      </c>
      <c r="P4959" s="1" t="s">
        <v>4162</v>
      </c>
      <c r="Q4959" s="3">
        <v>1</v>
      </c>
      <c r="R4959" s="22" t="s">
        <v>2766</v>
      </c>
      <c r="S4959" s="22" t="s">
        <v>5097</v>
      </c>
      <c r="T4959" s="51">
        <v>30</v>
      </c>
      <c r="U4959" s="3" t="s">
        <v>6342</v>
      </c>
      <c r="V4959" s="41" t="str">
        <f>HYPERLINK("http://ictvonline.org/taxonomy/p/taxonomy-history?taxnode_id=20185393","ICTVonline=20185393")</f>
        <v>ICTVonline=20185393</v>
      </c>
    </row>
  </sheetData>
  <autoFilter ref="R1:R4853" xr:uid="{00000000-0009-0000-0000-000002000000}"/>
  <sortState ref="A2:V4959">
    <sortCondition ref="A2:A4959"/>
  </sortState>
  <phoneticPr fontId="1" type="noConversion"/>
  <conditionalFormatting sqref="Q1:Q1048576">
    <cfRule type="cellIs" dxfId="3" priority="15" stopIfTrue="1" operator="equal">
      <formula>1</formula>
    </cfRule>
  </conditionalFormatting>
  <conditionalFormatting sqref="B1:K1 J1:Q1048576">
    <cfRule type="expression" dxfId="2" priority="11" stopIfTrue="1">
      <formula>B1="Unassigned"</formula>
    </cfRule>
  </conditionalFormatting>
  <conditionalFormatting sqref="A1:XFD1048576">
    <cfRule type="cellIs" dxfId="1" priority="10" stopIfTrue="1" operator="equal">
      <formula>"NULL"</formula>
    </cfRule>
  </conditionalFormatting>
  <conditionalFormatting sqref="T1 U1722:U65535 U2:U1720">
    <cfRule type="cellIs" dxfId="0" priority="9" stopIfTrue="1" operator="equal">
      <formula>29</formula>
    </cfRule>
  </conditionalFormatting>
  <printOptions gridLines="1"/>
  <pageMargins left="0.75" right="0.75" top="1" bottom="1" header="0.5" footer="0.5"/>
  <pageSetup scale="54" fitToHeight="100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Version</vt:lpstr>
      <vt:lpstr>Column Definitions</vt:lpstr>
      <vt:lpstr>ICTV 2018 Master Species #33</vt:lpstr>
      <vt:lpstr>'ICTV 2018 Master Species #33'!Print_Titles</vt:lpstr>
    </vt:vector>
  </TitlesOfParts>
  <Company>UAB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Hendrickson</dc:creator>
  <cp:lastModifiedBy>Elliot J. Lefkowitz</cp:lastModifiedBy>
  <cp:lastPrinted>2009-10-04T23:39:18Z</cp:lastPrinted>
  <dcterms:created xsi:type="dcterms:W3CDTF">2009-08-13T19:43:48Z</dcterms:created>
  <dcterms:modified xsi:type="dcterms:W3CDTF">2018-10-20T14:54:07Z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b3e54a7d-6175-4c77-9337-59c65cfd6551</vt:lpwstr>
  </property>
</Properties>
</file>