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38b5537e167719/Por Revisar/Plan Para liberar Aplicativo EXTRACOUPON/Estimaciones (Nuevos cambios)/Estimaciones 21042020/Planeacion_ExtraCoupon_V2/Planeacion_Normal/"/>
    </mc:Choice>
  </mc:AlternateContent>
  <xr:revisionPtr revIDLastSave="0" documentId="114_{C2938EED-8D02-4F89-8C40-1BB43A4E97B7}" xr6:coauthVersionLast="45" xr6:coauthVersionMax="45" xr10:uidLastSave="{00000000-0000-0000-0000-000000000000}"/>
  <bookViews>
    <workbookView xWindow="-108" yWindow="-108" windowWidth="22308" windowHeight="13176" activeTab="1" xr2:uid="{00000000-000D-0000-FFFF-FFFF00000000}"/>
  </bookViews>
  <sheets>
    <sheet name="Estimación Compo-Pantallas" sheetId="3" r:id="rId1"/>
    <sheet name="Estimación de Proyecto" sheetId="4" r:id="rId2"/>
    <sheet name="Datos" sheetId="2" r:id="rId3"/>
    <sheet name="Instrucción" sheetId="5" r:id="rId4"/>
  </sheets>
  <externalReferences>
    <externalReference r:id="rId5"/>
    <externalReference r:id="rId6"/>
  </externalReferences>
  <definedNames>
    <definedName name="_xlnm._FilterDatabase" localSheetId="1" hidden="1">'Estimación de Proyecto'!$N$34:$N$34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4" l="1"/>
  <c r="S34" i="4" l="1"/>
  <c r="O34" i="4"/>
  <c r="K34" i="4"/>
  <c r="J34" i="4"/>
  <c r="AC28" i="4"/>
  <c r="AB28" i="4"/>
  <c r="Z28" i="4"/>
  <c r="AD28" i="4" s="1"/>
  <c r="W28" i="4"/>
  <c r="X28" i="4" s="1"/>
  <c r="V28" i="4"/>
  <c r="U28" i="4"/>
  <c r="AC33" i="4"/>
  <c r="AB33" i="4"/>
  <c r="Z33" i="4"/>
  <c r="AD33" i="4" s="1"/>
  <c r="W33" i="4"/>
  <c r="X33" i="4" s="1"/>
  <c r="V33" i="4"/>
  <c r="U33" i="4"/>
  <c r="AH28" i="4" l="1"/>
  <c r="AH33" i="4"/>
  <c r="AI28" i="4"/>
  <c r="AI33" i="4"/>
  <c r="U30" i="4"/>
  <c r="V30" i="4"/>
  <c r="W30" i="4"/>
  <c r="X30" i="4" s="1"/>
  <c r="Z30" i="4"/>
  <c r="AD30" i="4" s="1"/>
  <c r="AB30" i="4"/>
  <c r="AC30" i="4"/>
  <c r="U31" i="4"/>
  <c r="V31" i="4"/>
  <c r="W31" i="4"/>
  <c r="X31" i="4" s="1"/>
  <c r="Z31" i="4"/>
  <c r="AD31" i="4" s="1"/>
  <c r="AB31" i="4"/>
  <c r="AC31" i="4"/>
  <c r="U32" i="4"/>
  <c r="V32" i="4"/>
  <c r="W32" i="4"/>
  <c r="X32" i="4" s="1"/>
  <c r="Z32" i="4"/>
  <c r="AD32" i="4" s="1"/>
  <c r="AB32" i="4"/>
  <c r="AC32" i="4"/>
  <c r="AC29" i="4"/>
  <c r="AB29" i="4"/>
  <c r="Z29" i="4"/>
  <c r="AD29" i="4" s="1"/>
  <c r="W29" i="4"/>
  <c r="X29" i="4" s="1"/>
  <c r="V29" i="4"/>
  <c r="U29" i="4"/>
  <c r="AH29" i="4" l="1"/>
  <c r="AK28" i="4"/>
  <c r="AJ28" i="4"/>
  <c r="AK33" i="4"/>
  <c r="AJ33" i="4"/>
  <c r="AI30" i="4"/>
  <c r="AK30" i="4" s="1"/>
  <c r="AH32" i="4"/>
  <c r="AH31" i="4"/>
  <c r="AH30" i="4"/>
  <c r="AI31" i="4"/>
  <c r="AI32" i="4"/>
  <c r="AI29" i="4"/>
  <c r="U22" i="4"/>
  <c r="V22" i="4"/>
  <c r="W22" i="4"/>
  <c r="X22" i="4" s="1"/>
  <c r="Z22" i="4"/>
  <c r="AD22" i="4" s="1"/>
  <c r="AB22" i="4"/>
  <c r="AC22" i="4"/>
  <c r="U23" i="4"/>
  <c r="V23" i="4"/>
  <c r="W23" i="4"/>
  <c r="X23" i="4" s="1"/>
  <c r="Z23" i="4"/>
  <c r="AD23" i="4" s="1"/>
  <c r="AB23" i="4"/>
  <c r="AC23" i="4"/>
  <c r="U24" i="4"/>
  <c r="V24" i="4"/>
  <c r="W24" i="4"/>
  <c r="X24" i="4" s="1"/>
  <c r="Z24" i="4"/>
  <c r="AD24" i="4" s="1"/>
  <c r="AB24" i="4"/>
  <c r="AC24" i="4"/>
  <c r="U25" i="4"/>
  <c r="V25" i="4"/>
  <c r="W25" i="4"/>
  <c r="X25" i="4" s="1"/>
  <c r="Z25" i="4"/>
  <c r="AD25" i="4" s="1"/>
  <c r="AB25" i="4"/>
  <c r="AC25" i="4"/>
  <c r="U26" i="4"/>
  <c r="V26" i="4"/>
  <c r="W26" i="4"/>
  <c r="Z26" i="4"/>
  <c r="AD26" i="4" s="1"/>
  <c r="AB26" i="4"/>
  <c r="AC26" i="4"/>
  <c r="U27" i="4"/>
  <c r="V27" i="4"/>
  <c r="W27" i="4"/>
  <c r="X27" i="4" s="1"/>
  <c r="Z27" i="4"/>
  <c r="AD27" i="4" s="1"/>
  <c r="AB27" i="4"/>
  <c r="AC27" i="4"/>
  <c r="AN28" i="4" l="1"/>
  <c r="AL28" i="4"/>
  <c r="AM28" i="4"/>
  <c r="AL33" i="4"/>
  <c r="AM33" i="4" s="1"/>
  <c r="AN33" i="4"/>
  <c r="AJ30" i="4"/>
  <c r="AL30" i="4" s="1"/>
  <c r="AM30" i="4" s="1"/>
  <c r="AJ32" i="4"/>
  <c r="AK32" i="4"/>
  <c r="AK31" i="4"/>
  <c r="AJ31" i="4"/>
  <c r="AK29" i="4"/>
  <c r="AJ29" i="4"/>
  <c r="AL29" i="4" s="1"/>
  <c r="AH22" i="4"/>
  <c r="AI26" i="4"/>
  <c r="AK26" i="4" s="1"/>
  <c r="AI27" i="4"/>
  <c r="AK27" i="4" s="1"/>
  <c r="AI23" i="4"/>
  <c r="AJ23" i="4" s="1"/>
  <c r="AH27" i="4"/>
  <c r="AI25" i="4"/>
  <c r="AK25" i="4" s="1"/>
  <c r="AH25" i="4"/>
  <c r="AI22" i="4"/>
  <c r="AI24" i="4"/>
  <c r="AH23" i="4"/>
  <c r="X26" i="4"/>
  <c r="AH26" i="4" s="1"/>
  <c r="AH24" i="4"/>
  <c r="Z20" i="4"/>
  <c r="Z21" i="4"/>
  <c r="Z34" i="4" l="1"/>
  <c r="AN30" i="4"/>
  <c r="AN31" i="4"/>
  <c r="AL31" i="4"/>
  <c r="AM31" i="4" s="1"/>
  <c r="AL32" i="4"/>
  <c r="AM32" i="4" s="1"/>
  <c r="AN32" i="4"/>
  <c r="AM29" i="4"/>
  <c r="AN29" i="4"/>
  <c r="AJ26" i="4"/>
  <c r="AN26" i="4" s="1"/>
  <c r="AJ27" i="4"/>
  <c r="AL27" i="4" s="1"/>
  <c r="AM27" i="4" s="1"/>
  <c r="AJ25" i="4"/>
  <c r="AL25" i="4" s="1"/>
  <c r="AM25" i="4" s="1"/>
  <c r="AK23" i="4"/>
  <c r="AN23" i="4" s="1"/>
  <c r="AK22" i="4"/>
  <c r="AJ22" i="4"/>
  <c r="AK24" i="4"/>
  <c r="AJ24" i="4"/>
  <c r="AP46" i="4"/>
  <c r="AN22" i="4" l="1"/>
  <c r="AL23" i="4"/>
  <c r="AM23" i="4" s="1"/>
  <c r="AL24" i="4"/>
  <c r="AM24" i="4" s="1"/>
  <c r="AN25" i="4"/>
  <c r="AN27" i="4"/>
  <c r="AL26" i="4"/>
  <c r="AM26" i="4" s="1"/>
  <c r="AL22" i="4"/>
  <c r="AM22" i="4" s="1"/>
  <c r="AN24" i="4"/>
  <c r="AH46" i="4"/>
  <c r="AD21" i="4" l="1"/>
  <c r="AD20" i="4"/>
  <c r="AD34" i="4" l="1"/>
  <c r="V20" i="4"/>
  <c r="V21" i="4"/>
  <c r="AB20" i="4"/>
  <c r="AB21" i="4"/>
  <c r="W20" i="4"/>
  <c r="W21" i="4"/>
  <c r="X21" i="4" s="1"/>
  <c r="U20" i="4"/>
  <c r="U21" i="4"/>
  <c r="AC20" i="4"/>
  <c r="AC21" i="4"/>
  <c r="V34" i="4" l="1"/>
  <c r="AC34" i="4"/>
  <c r="AB34" i="4"/>
  <c r="U34" i="4"/>
  <c r="W34" i="4"/>
  <c r="AI20" i="4"/>
  <c r="AI21" i="4"/>
  <c r="X20" i="4"/>
  <c r="X34" i="4" l="1"/>
  <c r="AI34" i="4"/>
  <c r="AH21" i="4"/>
  <c r="AK21" i="4" l="1"/>
  <c r="AJ21" i="4"/>
  <c r="AJ20" i="4"/>
  <c r="AK20" i="4"/>
  <c r="AH20" i="4"/>
  <c r="AH34" i="4" s="1"/>
  <c r="AK34" i="4" l="1"/>
  <c r="AJ34" i="4"/>
  <c r="AL21" i="4"/>
  <c r="AM21" i="4" s="1"/>
  <c r="AL20" i="4"/>
  <c r="AM20" i="4" s="1"/>
  <c r="AN21" i="4"/>
  <c r="AN20" i="4"/>
  <c r="H17" i="3"/>
  <c r="F17" i="3"/>
  <c r="I17" i="3" s="1"/>
  <c r="H16" i="3"/>
  <c r="F16" i="3"/>
  <c r="I16" i="3" s="1"/>
  <c r="AN34" i="4" l="1"/>
  <c r="AI43" i="4" s="1"/>
  <c r="AI42" i="4" l="1"/>
  <c r="AI41" i="4"/>
  <c r="AI40" i="4"/>
  <c r="H15" i="3"/>
  <c r="F15" i="3"/>
  <c r="I15" i="3" s="1"/>
  <c r="H14" i="3"/>
  <c r="F14" i="3"/>
  <c r="I14" i="3" s="1"/>
  <c r="H13" i="3"/>
  <c r="F13" i="3"/>
  <c r="I13" i="3" s="1"/>
  <c r="I18" i="3" l="1"/>
  <c r="N24" i="2" l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Q10" i="2" l="1"/>
  <c r="Q9" i="2" l="1"/>
  <c r="AF10" i="2"/>
  <c r="H18" i="3"/>
  <c r="AM35" i="4" l="1"/>
  <c r="AK35" i="4"/>
  <c r="AH35" i="4"/>
  <c r="AI35" i="4"/>
  <c r="AJ35" i="4"/>
  <c r="AL35" i="4"/>
  <c r="AJ40" i="4" l="1"/>
  <c r="AN35" i="4"/>
  <c r="AK42" i="4" l="1"/>
  <c r="AJ42" i="4"/>
  <c r="AM42" i="4"/>
  <c r="AO42" i="4" s="1"/>
  <c r="AK40" i="4"/>
  <c r="AL40" i="4" s="1"/>
  <c r="AM40" i="4"/>
  <c r="AM41" i="4"/>
  <c r="AO41" i="4" s="1"/>
  <c r="AK41" i="4"/>
  <c r="AJ41" i="4"/>
  <c r="AK43" i="4"/>
  <c r="AJ43" i="4"/>
  <c r="AM43" i="4"/>
  <c r="AO43" i="4" s="1"/>
  <c r="AI46" i="4"/>
  <c r="AL43" i="4" l="1"/>
  <c r="AL42" i="4"/>
  <c r="AN41" i="4"/>
  <c r="AO40" i="4"/>
  <c r="AM46" i="4"/>
  <c r="AN42" i="4"/>
  <c r="AN40" i="4"/>
  <c r="AN43" i="4"/>
  <c r="AL41" i="4"/>
  <c r="AJ46" i="4"/>
  <c r="AK46" i="4"/>
  <c r="AL46" i="4" l="1"/>
  <c r="AM37" i="4" s="1"/>
  <c r="AO46" i="4"/>
  <c r="AM47" i="4"/>
  <c r="AM48" i="4" s="1"/>
  <c r="AN46" i="4"/>
  <c r="AM50" i="4" l="1"/>
  <c r="AM52" i="4" s="1"/>
  <c r="AM53" i="4" s="1"/>
  <c r="AM38" i="4"/>
</calcChain>
</file>

<file path=xl/sharedStrings.xml><?xml version="1.0" encoding="utf-8"?>
<sst xmlns="http://schemas.openxmlformats.org/spreadsheetml/2006/main" count="437" uniqueCount="216">
  <si>
    <t>Baja</t>
  </si>
  <si>
    <t>Alta</t>
  </si>
  <si>
    <t>Totales</t>
  </si>
  <si>
    <t>Tiempo total</t>
  </si>
  <si>
    <t>No. de pantallas</t>
  </si>
  <si>
    <t>Esfuerzo en horas Construcción</t>
  </si>
  <si>
    <t>Complejidad de pantalla</t>
  </si>
  <si>
    <t>Muy alta</t>
  </si>
  <si>
    <t>Media</t>
  </si>
  <si>
    <t>Complejidad de proceso background</t>
  </si>
  <si>
    <t>Tipo de pantalla</t>
  </si>
  <si>
    <t>Web</t>
  </si>
  <si>
    <t>Móvil</t>
  </si>
  <si>
    <t>Plataforma</t>
  </si>
  <si>
    <t>Web-Responsivo</t>
  </si>
  <si>
    <t>Android-Nativo</t>
  </si>
  <si>
    <t>Ios-Nativo</t>
  </si>
  <si>
    <t>Windows-Nativo</t>
  </si>
  <si>
    <t>Todas las plataformas</t>
  </si>
  <si>
    <t>Módulo</t>
  </si>
  <si>
    <t>No. de  Procesos background</t>
  </si>
  <si>
    <t>Empresa</t>
  </si>
  <si>
    <t>Nombre del proyecto</t>
  </si>
  <si>
    <t>Fecha</t>
  </si>
  <si>
    <t>Tipo comunicación con servidor central</t>
  </si>
  <si>
    <t>Protocolo comunicación</t>
  </si>
  <si>
    <t>Offline</t>
  </si>
  <si>
    <t>Online</t>
  </si>
  <si>
    <t>Web Services</t>
  </si>
  <si>
    <t>Sockets</t>
  </si>
  <si>
    <t>Ambos</t>
  </si>
  <si>
    <t>No. de Casos de Uso</t>
  </si>
  <si>
    <t>Complejidad de Caso de Uso</t>
  </si>
  <si>
    <t>Complejidad de servicio</t>
  </si>
  <si>
    <t>Comunicación con otros sistemas</t>
  </si>
  <si>
    <t>Cuantos sistemas</t>
  </si>
  <si>
    <t>Esfuerzo en horas de Construcción de pantalla</t>
  </si>
  <si>
    <t>Demasiado alta</t>
  </si>
  <si>
    <t>SI</t>
  </si>
  <si>
    <t>NO</t>
  </si>
  <si>
    <t>Tiempo en meses</t>
  </si>
  <si>
    <t>Tiempo en días</t>
  </si>
  <si>
    <t>Criterios para complejidad de Caso de Uso</t>
  </si>
  <si>
    <t>1  pantalla con complejidad baja</t>
  </si>
  <si>
    <t>Medio</t>
  </si>
  <si>
    <t>4 pantallas con completijdad baja o media</t>
  </si>
  <si>
    <t>Muy alto</t>
  </si>
  <si>
    <t>1 pantalla con complejidad Muy alta</t>
  </si>
  <si>
    <t>2 pantallas con complejidad baja o media</t>
  </si>
  <si>
    <t>3 pantallas con complejidad baja  o media</t>
  </si>
  <si>
    <t>5 pantallas con complejidad baja o media</t>
  </si>
  <si>
    <t>Demasiado alto</t>
  </si>
  <si>
    <t>Hibrido-Movil</t>
  </si>
  <si>
    <t>Esfuerzo total en horas Análisis y diseño de Requerimientos</t>
  </si>
  <si>
    <t>Esfuerzo en horas Análisis de Casos de Uso</t>
  </si>
  <si>
    <t>JAVA</t>
  </si>
  <si>
    <t>Breve descripción de su funcionalidad</t>
  </si>
  <si>
    <t>Cliente</t>
  </si>
  <si>
    <t>Pantalla</t>
  </si>
  <si>
    <t>Especificaciones técnicas consideradas para la preEstimación y Estimación de propuestas</t>
  </si>
  <si>
    <t>Tipo de componente y/o sistema</t>
  </si>
  <si>
    <t>No. de pantallas por complejidad del Módulo</t>
  </si>
  <si>
    <t>No. de  módulos</t>
  </si>
  <si>
    <t>No. de componentes</t>
  </si>
  <si>
    <t>Arquitectura</t>
  </si>
  <si>
    <t>Sistema</t>
  </si>
  <si>
    <t>No. de componentes para Arquitectura</t>
  </si>
  <si>
    <t>No. de módulos de Sistema</t>
  </si>
  <si>
    <t>Complejidad del Sistema/Arquitectura/Módulo</t>
  </si>
  <si>
    <t>Módulo, Sistema o Arquitectura</t>
  </si>
  <si>
    <t>Complejidad  Módulo, Sistema o Arquitectura</t>
  </si>
  <si>
    <t>Complejidad de Módulo</t>
  </si>
  <si>
    <t>Al elegir la opción de Sistema con base a su complejidad indicará el número de módulos. Ahora es necesario indicar la complejidad de los módulos para generar la cantidad de pantallas, las cuales a través del formato de estimación se generará las horas de esfuerzo final.</t>
  </si>
  <si>
    <t>Descripción</t>
  </si>
  <si>
    <t>Componente / Pantalla</t>
  </si>
  <si>
    <t>Tipo operación</t>
  </si>
  <si>
    <t>Componente</t>
  </si>
  <si>
    <t>Criterios de complejidad de Casos de Uso</t>
  </si>
  <si>
    <t>Esfuerzo en horas de Admón del Proyecto</t>
  </si>
  <si>
    <t>Clasificación proyecto</t>
  </si>
  <si>
    <t>Nuevo requerimiento - modificaciones</t>
  </si>
  <si>
    <t>Tipo de requerimiento</t>
  </si>
  <si>
    <t>Nuevo proyecto</t>
  </si>
  <si>
    <t>Nuevo requerimiento - de cero</t>
  </si>
  <si>
    <t>Incidencia</t>
  </si>
  <si>
    <t>Mejora</t>
  </si>
  <si>
    <t>Secuencia ruta crítica</t>
  </si>
  <si>
    <t>Secuencia           Ruta crítica</t>
  </si>
  <si>
    <t>El requerimiento implica pruebas y rollout con Afiliados</t>
  </si>
  <si>
    <t>Alcance de Implantación y Soporte</t>
  </si>
  <si>
    <t>PUNTOS DE INSTALACION</t>
  </si>
  <si>
    <t>Soporte, Instalación para rollout en horas</t>
  </si>
  <si>
    <t>CLIENTE</t>
  </si>
  <si>
    <t>EDENRED</t>
  </si>
  <si>
    <t>EFECTIVALE</t>
  </si>
  <si>
    <t>SIVALE</t>
  </si>
  <si>
    <t>SODEXO</t>
  </si>
  <si>
    <t>SORIANA</t>
  </si>
  <si>
    <t>GARIS</t>
  </si>
  <si>
    <t>SAN FCO DE ASIS</t>
  </si>
  <si>
    <t>CALIMAX</t>
  </si>
  <si>
    <t>ARTELI</t>
  </si>
  <si>
    <t>MERCO</t>
  </si>
  <si>
    <t>7-ELEVEN</t>
  </si>
  <si>
    <t>SUPER FARMACIA GUADALAJARA</t>
  </si>
  <si>
    <t>Esfuerzo en horas en Análisis y Diseño de Componentes</t>
  </si>
  <si>
    <t>COMERCIAL MEXICANA</t>
  </si>
  <si>
    <t>No. De Servicios SQL para operar con la DB</t>
  </si>
  <si>
    <t>EMISORA Y CADENAS</t>
  </si>
  <si>
    <t>CADENAS</t>
  </si>
  <si>
    <t>TOKS</t>
  </si>
  <si>
    <t>AZ</t>
  </si>
  <si>
    <t>CONTROL</t>
  </si>
  <si>
    <t>Tamaño de proyecto</t>
  </si>
  <si>
    <t>Tamaño de proyecto en base al # de horas</t>
  </si>
  <si>
    <t>Clasificación Proyecto</t>
  </si>
  <si>
    <t>CHICO</t>
  </si>
  <si>
    <t>MEDIANO A</t>
  </si>
  <si>
    <t>MEDIANO B</t>
  </si>
  <si>
    <t xml:space="preserve">GRANDE A </t>
  </si>
  <si>
    <t>GRANDE B</t>
  </si>
  <si>
    <t>GRANDE C</t>
  </si>
  <si>
    <t>MUY GRANDE A</t>
  </si>
  <si>
    <t>MUY GRANDE B</t>
  </si>
  <si>
    <t>MUY GRANDE C</t>
  </si>
  <si>
    <t>MUY GRANDE D</t>
  </si>
  <si>
    <t>Total de esfuerzo en hrs</t>
  </si>
  <si>
    <t>Costo por hora</t>
  </si>
  <si>
    <t>Subtotal</t>
  </si>
  <si>
    <t>Costo final</t>
  </si>
  <si>
    <t>% de descuento</t>
  </si>
  <si>
    <t>Monto descuento</t>
  </si>
  <si>
    <t>Generación de pre-Estimado a partir de un módulo, arquitectura o sistema para generar pantallas y componentes. Con el resultado de pantallas y componentes  son las entradas para  la estimación del proyecto</t>
  </si>
  <si>
    <t>Al elegir la opción de Módulo se elige su complejidad e indicará la cantidad de pantallas que puede tener. Con este resultado de pantallas son las entradas para obtener la estimación del proyecto.</t>
  </si>
  <si>
    <t>Al elegir la opción de Arquitectura  con base a su complejidad indicará el número de componentes. Con el número total de componentes a través del formato de estimación se generará las horas de esfuerzo del proyecto.</t>
  </si>
  <si>
    <t>Base de datos</t>
  </si>
  <si>
    <t>No. de Tablas de DB</t>
  </si>
  <si>
    <t>Gestión de la calidad</t>
  </si>
  <si>
    <t>Esfuerzo en horas de Construcción de servicios</t>
  </si>
  <si>
    <t>Standalone</t>
  </si>
  <si>
    <t>Tipo de pantalla / Standalone</t>
  </si>
  <si>
    <t xml:space="preserve">Esfuerzo en horas Diseño de Pantallas </t>
  </si>
  <si>
    <t>Esfuerzo en horas Diseño de Base de Datos</t>
  </si>
  <si>
    <t>Complejidad de pantallas, componentes</t>
  </si>
  <si>
    <t>Complejidad de tablas de DB</t>
  </si>
  <si>
    <t>Esfuerzo en horas de Construcción de componentes</t>
  </si>
  <si>
    <t>% de fase</t>
  </si>
  <si>
    <t>Fase</t>
  </si>
  <si>
    <t>Hrs x fase</t>
  </si>
  <si>
    <t>dias x fase</t>
  </si>
  <si>
    <t>meses x fase</t>
  </si>
  <si>
    <t>Análisis y Diseño</t>
  </si>
  <si>
    <t>Construccion</t>
  </si>
  <si>
    <t>Testing</t>
  </si>
  <si>
    <t>Implantacion</t>
  </si>
  <si>
    <t>Pruebas(Ver y VAL)</t>
  </si>
  <si>
    <t>Minimo</t>
  </si>
  <si>
    <t>Maximo</t>
  </si>
  <si>
    <t>Personas en desarrollo</t>
  </si>
  <si>
    <t>Total</t>
  </si>
  <si>
    <t>Hrs gestion</t>
  </si>
  <si>
    <t>Hrs calidad</t>
  </si>
  <si>
    <t>Personal calidad</t>
  </si>
  <si>
    <t xml:space="preserve">Personal Gestion </t>
  </si>
  <si>
    <t>total de hrs x fase</t>
  </si>
  <si>
    <t>personal del area de la fase</t>
  </si>
  <si>
    <t>dias de fase con gestion y calidad</t>
  </si>
  <si>
    <t>Incluye servicios EFUSION</t>
  </si>
  <si>
    <t>Autor:</t>
  </si>
  <si>
    <t>MAGR</t>
  </si>
  <si>
    <t>Fecha creación:</t>
  </si>
  <si>
    <t>Fecha Actualización:</t>
  </si>
  <si>
    <t>Hoja:</t>
  </si>
  <si>
    <t>Versión:</t>
  </si>
  <si>
    <t>Autor</t>
  </si>
  <si>
    <t>Versión Aprobada</t>
  </si>
  <si>
    <t>Referencia al cambio</t>
  </si>
  <si>
    <t>Ennovasoft</t>
  </si>
  <si>
    <t>No ha habido cambios</t>
  </si>
  <si>
    <t>Elaborado por</t>
  </si>
  <si>
    <t>ESTIMACIÓN DE ESFUERZO</t>
  </si>
  <si>
    <t xml:space="preserve">Nota: </t>
  </si>
  <si>
    <t xml:space="preserve">Este documento no podra ser unido, es decir que debera contarse con estimación de esfuerzo para cada una de las plantarformas </t>
  </si>
  <si>
    <t xml:space="preserve">Diana Suckey Alvarado Domínguez </t>
  </si>
  <si>
    <t>ExtraCoupon_Admin</t>
  </si>
  <si>
    <t>16/04/2020</t>
  </si>
  <si>
    <t>dd/mm/aaaa</t>
  </si>
  <si>
    <t>x.z</t>
  </si>
  <si>
    <t xml:space="preserve">Añadir montos maximos y minimos para retiros de efectivo y recargas de saldo, agregar el % para conciliar pagos en línea ya que este será diferente a lo configurado en el PDV. </t>
  </si>
  <si>
    <t xml:space="preserve">Modificar el menú de acuerdo a los módulos nuevos y adecuaciones en todos los perfiles </t>
  </si>
  <si>
    <t xml:space="preserve">Modificar montons mínimos y máximos por operación y agregar el concepto por retiros de efectivo. </t>
  </si>
  <si>
    <t xml:space="preserve">Añadir las comisiones por retiro de acuerdo al saldo (TDC, TDD, PDV, Remesas) </t>
  </si>
  <si>
    <t xml:space="preserve">Configurar el orden del consumo de saldo (TDC, TDD, PDV, Remesas) </t>
  </si>
  <si>
    <t xml:space="preserve">El usuario podra añadir nuevas configuraciónes de puntos, podrá visuallizar un historico de configuraciones y configurar el estatus de los registros. </t>
  </si>
  <si>
    <t xml:space="preserve">Se concentrara información de los pagos en línea realizados y se podrá confirgurar el estatus de los registros. </t>
  </si>
  <si>
    <t>Control de notificaciones Pop Up o Push</t>
  </si>
  <si>
    <t>Se almacena información de todos los retiros realizados por los clientes en los puntos de venta de los afiliados y seran consilidados por afiliado de acuerdo al mes correspondiente.</t>
  </si>
  <si>
    <t xml:space="preserve">Almacena la información de los pagos referidos por afiliados, por mes de las transacciones realizadas en la plataforma online. </t>
  </si>
  <si>
    <t>Agregar los nuevos conceptos como pago en línea, retiro de efectivo y pagos referidos online</t>
  </si>
  <si>
    <t>Se podra visualizar un concentradi de la información de las recompensas y el detalle de cada una de ellas.</t>
  </si>
  <si>
    <t xml:space="preserve">Actualizar la forma de realizar la configuración de las promociones y estos puedan ser visibles en los aplicativos moviles. </t>
  </si>
  <si>
    <t>Afiliados</t>
  </si>
  <si>
    <t>Configuración de puntos</t>
  </si>
  <si>
    <t>Menú principal</t>
  </si>
  <si>
    <t>Configuración general</t>
  </si>
  <si>
    <t>Consolidado de pagos en línea</t>
  </si>
  <si>
    <t>Consolidado de pagos referenciados</t>
  </si>
  <si>
    <t>Consolidado de retiro de efetivo</t>
  </si>
  <si>
    <t>Consolidado de comisiones</t>
  </si>
  <si>
    <t>Estado de cuenta</t>
  </si>
  <si>
    <t>Orden de consumo de saldo</t>
  </si>
  <si>
    <t>Configuración de notificaciones</t>
  </si>
  <si>
    <t>MarketPlace</t>
  </si>
  <si>
    <t>Consolidado de recompensas ExtraCoupon</t>
  </si>
  <si>
    <t>Se podran controlar los modulos con los que  va interacturar el usuario en los aplicativos móviles cuando registre su INE O NSS</t>
  </si>
  <si>
    <t>administrador de operaciones INE - 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</si>
</sst>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"/>
    <numFmt numFmtId="166" formatCode="0.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0" tint="-4.9989318521683403E-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0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rgb="FFFF0000"/>
      <name val="Arial"/>
      <family val="2"/>
    </font>
    <font>
      <b/>
      <sz val="16"/>
      <color theme="1" tint="0.34998626667073579"/>
      <name val="Calibri"/>
      <family val="2"/>
      <scheme val="minor"/>
    </font>
    <font>
      <b/>
      <sz val="8"/>
      <color theme="1" tint="0.34998626667073579"/>
      <name val="Century Gothic"/>
      <family val="2"/>
    </font>
    <font>
      <sz val="8"/>
      <color theme="1" tint="0.34998626667073579"/>
      <name val="Century Gothic"/>
      <family val="2"/>
    </font>
    <font>
      <b/>
      <sz val="24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34998626667073579"/>
      <name val="Century Gothic"/>
      <family val="2"/>
    </font>
    <font>
      <sz val="14"/>
      <color theme="0"/>
      <name val="Century Gothic"/>
      <family val="2"/>
    </font>
    <font>
      <i/>
      <sz val="10"/>
      <color theme="1" tint="0.34998626667073579"/>
      <name val="Century Gothic"/>
      <family val="2"/>
    </font>
    <font>
      <i/>
      <sz val="12"/>
      <color theme="0" tint="-0.34998626667073579"/>
      <name val="Arial"/>
      <family val="2"/>
    </font>
    <font>
      <sz val="14"/>
      <name val="Arial"/>
      <family val="2"/>
    </font>
    <font>
      <i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57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center" vertical="center"/>
    </xf>
    <xf numFmtId="1" fontId="0" fillId="0" borderId="0" xfId="0" applyNumberFormat="1"/>
    <xf numFmtId="49" fontId="1" fillId="0" borderId="0" xfId="0" applyNumberFormat="1" applyFont="1" applyBorder="1" applyAlignment="1">
      <alignment wrapText="1"/>
    </xf>
    <xf numFmtId="3" fontId="0" fillId="0" borderId="0" xfId="0" applyNumberFormat="1" applyBorder="1" applyAlignment="1">
      <alignment horizontal="center" wrapText="1"/>
    </xf>
    <xf numFmtId="49" fontId="3" fillId="0" borderId="3" xfId="0" applyNumberFormat="1" applyFont="1" applyBorder="1" applyAlignment="1">
      <alignment wrapText="1"/>
    </xf>
    <xf numFmtId="49" fontId="3" fillId="0" borderId="2" xfId="0" applyNumberFormat="1" applyFont="1" applyBorder="1" applyAlignment="1">
      <alignment wrapText="1"/>
    </xf>
    <xf numFmtId="0" fontId="4" fillId="0" borderId="0" xfId="0" applyFont="1"/>
    <xf numFmtId="49" fontId="2" fillId="0" borderId="5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horizontal="left" wrapText="1"/>
    </xf>
    <xf numFmtId="1" fontId="5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wrapText="1"/>
    </xf>
    <xf numFmtId="49" fontId="5" fillId="0" borderId="5" xfId="0" applyNumberFormat="1" applyFont="1" applyBorder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8" fillId="6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49" fontId="9" fillId="0" borderId="5" xfId="0" applyNumberFormat="1" applyFont="1" applyBorder="1" applyAlignment="1">
      <alignment wrapText="1"/>
    </xf>
    <xf numFmtId="0" fontId="11" fillId="0" borderId="0" xfId="0" applyFont="1"/>
    <xf numFmtId="0" fontId="0" fillId="0" borderId="0" xfId="0" applyAlignment="1">
      <alignment horizontal="center"/>
    </xf>
    <xf numFmtId="0" fontId="10" fillId="0" borderId="5" xfId="0" applyNumberFormat="1" applyFont="1" applyBorder="1" applyAlignment="1">
      <alignment horizontal="center" vertical="center" wrapText="1"/>
    </xf>
    <xf numFmtId="0" fontId="12" fillId="0" borderId="0" xfId="0" applyFont="1"/>
    <xf numFmtId="49" fontId="10" fillId="0" borderId="5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left" vertical="center" wrapText="1" indent="2"/>
    </xf>
    <xf numFmtId="49" fontId="3" fillId="0" borderId="3" xfId="0" applyNumberFormat="1" applyFont="1" applyBorder="1" applyAlignment="1">
      <alignment horizont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wrapText="1"/>
    </xf>
    <xf numFmtId="49" fontId="2" fillId="0" borderId="5" xfId="0" applyNumberFormat="1" applyFont="1" applyBorder="1" applyAlignment="1">
      <alignment vertical="center" wrapText="1"/>
    </xf>
    <xf numFmtId="49" fontId="14" fillId="7" borderId="4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5" fillId="0" borderId="6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11" fillId="0" borderId="5" xfId="0" applyFont="1" applyBorder="1"/>
    <xf numFmtId="49" fontId="10" fillId="0" borderId="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49" fontId="17" fillId="8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0" fontId="18" fillId="0" borderId="0" xfId="0" applyFont="1"/>
    <xf numFmtId="1" fontId="19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0" fontId="20" fillId="0" borderId="0" xfId="0" applyFont="1"/>
    <xf numFmtId="9" fontId="18" fillId="0" borderId="0" xfId="1" applyFont="1"/>
    <xf numFmtId="9" fontId="20" fillId="0" borderId="0" xfId="1" applyFont="1"/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9" fontId="5" fillId="0" borderId="5" xfId="0" applyNumberFormat="1" applyFont="1" applyBorder="1" applyAlignment="1">
      <alignment horizontal="center" vertical="center"/>
    </xf>
    <xf numFmtId="10" fontId="15" fillId="0" borderId="5" xfId="0" applyNumberFormat="1" applyFont="1" applyBorder="1" applyAlignment="1">
      <alignment horizontal="center" vertical="center" wrapText="1"/>
    </xf>
    <xf numFmtId="3" fontId="15" fillId="0" borderId="10" xfId="0" applyNumberFormat="1" applyFont="1" applyBorder="1" applyAlignment="1">
      <alignment horizontal="center" vertical="center"/>
    </xf>
    <xf numFmtId="9" fontId="15" fillId="0" borderId="5" xfId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3" fontId="15" fillId="9" borderId="10" xfId="0" applyNumberFormat="1" applyFont="1" applyFill="1" applyBorder="1" applyAlignment="1">
      <alignment horizontal="center" vertical="center"/>
    </xf>
    <xf numFmtId="9" fontId="15" fillId="9" borderId="10" xfId="1" applyFont="1" applyFill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9" borderId="10" xfId="0" applyNumberFormat="1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3" fontId="15" fillId="0" borderId="5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3" fontId="15" fillId="9" borderId="5" xfId="0" applyNumberFormat="1" applyFont="1" applyFill="1" applyBorder="1" applyAlignment="1">
      <alignment horizontal="center" vertical="center"/>
    </xf>
    <xf numFmtId="0" fontId="0" fillId="0" borderId="0" xfId="0" applyBorder="1"/>
    <xf numFmtId="3" fontId="15" fillId="0" borderId="0" xfId="0" applyNumberFormat="1" applyFont="1" applyBorder="1" applyAlignment="1">
      <alignment horizontal="center" vertical="center"/>
    </xf>
    <xf numFmtId="10" fontId="15" fillId="0" borderId="0" xfId="0" applyNumberFormat="1" applyFont="1" applyBorder="1" applyAlignment="1">
      <alignment horizontal="center" vertical="center" wrapText="1"/>
    </xf>
    <xf numFmtId="9" fontId="15" fillId="0" borderId="0" xfId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Fill="1" applyBorder="1"/>
    <xf numFmtId="3" fontId="15" fillId="0" borderId="0" xfId="0" applyNumberFormat="1" applyFont="1" applyFill="1" applyBorder="1" applyAlignment="1">
      <alignment horizontal="center" vertical="center"/>
    </xf>
    <xf numFmtId="9" fontId="15" fillId="0" borderId="0" xfId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/>
    <xf numFmtId="0" fontId="24" fillId="0" borderId="16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14" fontId="25" fillId="0" borderId="15" xfId="0" applyNumberFormat="1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4" fillId="0" borderId="15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/>
    </xf>
    <xf numFmtId="0" fontId="27" fillId="0" borderId="0" xfId="0" applyFont="1"/>
    <xf numFmtId="49" fontId="27" fillId="0" borderId="0" xfId="0" applyNumberFormat="1" applyFont="1" applyAlignment="1">
      <alignment wrapText="1"/>
    </xf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7" fillId="0" borderId="0" xfId="0" applyNumberFormat="1" applyFont="1" applyAlignment="1">
      <alignment horizontal="center" vertical="center"/>
    </xf>
    <xf numFmtId="0" fontId="29" fillId="10" borderId="5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 wrapText="1" indent="2"/>
    </xf>
    <xf numFmtId="49" fontId="5" fillId="0" borderId="5" xfId="0" applyNumberFormat="1" applyFont="1" applyBorder="1" applyAlignment="1">
      <alignment vertical="center" wrapText="1"/>
    </xf>
    <xf numFmtId="166" fontId="25" fillId="0" borderId="15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vertical="center" wrapText="1"/>
    </xf>
    <xf numFmtId="49" fontId="31" fillId="0" borderId="0" xfId="0" applyNumberFormat="1" applyFont="1" applyFill="1" applyBorder="1" applyAlignment="1">
      <alignment horizontal="left" vertical="top" wrapText="1"/>
    </xf>
    <xf numFmtId="49" fontId="30" fillId="0" borderId="5" xfId="0" applyNumberFormat="1" applyFont="1" applyBorder="1" applyAlignment="1">
      <alignment horizontal="center" vertical="center"/>
    </xf>
    <xf numFmtId="14" fontId="30" fillId="0" borderId="5" xfId="0" applyNumberFormat="1" applyFont="1" applyBorder="1" applyAlignment="1">
      <alignment horizontal="center" vertical="center"/>
    </xf>
    <xf numFmtId="49" fontId="32" fillId="0" borderId="5" xfId="0" applyNumberFormat="1" applyFont="1" applyBorder="1" applyAlignment="1">
      <alignment vertical="center" wrapText="1"/>
    </xf>
    <xf numFmtId="49" fontId="33" fillId="0" borderId="5" xfId="0" applyNumberFormat="1" applyFont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center" vertical="center"/>
    </xf>
    <xf numFmtId="10" fontId="22" fillId="0" borderId="5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 wrapText="1"/>
    </xf>
    <xf numFmtId="3" fontId="15" fillId="0" borderId="5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 wrapText="1"/>
    </xf>
    <xf numFmtId="3" fontId="16" fillId="0" borderId="5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4" fontId="15" fillId="0" borderId="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3" fontId="15" fillId="0" borderId="12" xfId="0" applyNumberFormat="1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 vertical="center"/>
    </xf>
    <xf numFmtId="3" fontId="15" fillId="9" borderId="10" xfId="0" applyNumberFormat="1" applyFont="1" applyFill="1" applyBorder="1" applyAlignment="1">
      <alignment horizontal="center" vertical="center"/>
    </xf>
    <xf numFmtId="3" fontId="15" fillId="9" borderId="14" xfId="0" applyNumberFormat="1" applyFont="1" applyFill="1" applyBorder="1" applyAlignment="1">
      <alignment horizontal="center" vertical="center"/>
    </xf>
    <xf numFmtId="3" fontId="15" fillId="9" borderId="6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0" fontId="29" fillId="10" borderId="10" xfId="0" applyFont="1" applyFill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9" fillId="10" borderId="14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1209675</xdr:colOff>
      <xdr:row>1</xdr:row>
      <xdr:rowOff>61913</xdr:rowOff>
    </xdr:from>
    <xdr:to>
      <xdr:col>4</xdr:col>
      <xdr:colOff>2440781</xdr:colOff>
      <xdr:row>5</xdr:row>
      <xdr:rowOff>43484</xdr:rowOff>
    </xdr:to>
    <xdr:pic>
      <xdr:nvPicPr>
        <xdr:cNvPr id="4" name="2 Imagen">
          <a:extLst>
            <a:ext uri="{FF2B5EF4-FFF2-40B4-BE49-F238E27FC236}">
              <a16:creationId xmlns:a16="http://schemas.microsoft.com/office/drawing/2014/main" id="{4A9E921B-0275-4A0F-9EB8-239ADA0E9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3581" y="264319"/>
          <a:ext cx="1231106" cy="791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ne\Desktop\Repositorio%20Ennovasoft\Proyectos%20Internos\DERAPIDO-PAGO\Web\An&#225;lisis%20y%20Dise&#241;o\Estimacion\EEF_DERAPIDOPAGO_we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porte\AppData\Local\Microsoft\Windows\Temporary%20Internet%20Files\Content.Outlook\NH8XR7HU\Copia%20de%20Estimaci&#243;n%20Requerimiento%20DESARROLLO%20%20REDPRAY%20M&#211;VIL%2012Jun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8"/>
  <sheetViews>
    <sheetView topLeftCell="A3" zoomScaleNormal="100" workbookViewId="0">
      <selection activeCell="C3" sqref="C3"/>
    </sheetView>
  </sheetViews>
  <sheetFormatPr baseColWidth="10" defaultColWidth="11.44140625" defaultRowHeight="14.4" x14ac:dyDescent="0.3"/>
  <cols>
    <col min="1" max="1" width="11.44140625" style="35"/>
    <col min="2" max="2" width="28.88671875" style="35" customWidth="1"/>
    <col min="3" max="3" width="42.88671875" style="35" customWidth="1"/>
    <col min="4" max="4" width="28" style="60" customWidth="1"/>
    <col min="5" max="7" width="24.33203125" style="60" customWidth="1"/>
    <col min="8" max="8" width="28.6640625" style="60" customWidth="1"/>
    <col min="9" max="9" width="25" style="60" customWidth="1"/>
    <col min="10" max="10" width="16.33203125" style="35" customWidth="1"/>
    <col min="11" max="11" width="19.5546875" style="35" customWidth="1"/>
    <col min="12" max="16384" width="11.44140625" style="35"/>
  </cols>
  <sheetData>
    <row r="3" spans="2:9" ht="23.25" customHeight="1" x14ac:dyDescent="0.3">
      <c r="B3" s="34" t="s">
        <v>23</v>
      </c>
      <c r="C3" s="48"/>
      <c r="D3" s="59"/>
    </row>
    <row r="4" spans="2:9" ht="23.25" customHeight="1" x14ac:dyDescent="0.3">
      <c r="B4" s="34" t="s">
        <v>57</v>
      </c>
      <c r="C4" s="48"/>
      <c r="D4" s="59"/>
    </row>
    <row r="5" spans="2:9" ht="23.25" customHeight="1" x14ac:dyDescent="0.3">
      <c r="B5" s="34" t="s">
        <v>22</v>
      </c>
      <c r="C5" s="48"/>
      <c r="D5" s="59"/>
    </row>
    <row r="6" spans="2:9" x14ac:dyDescent="0.3">
      <c r="C6" s="60"/>
    </row>
    <row r="7" spans="2:9" x14ac:dyDescent="0.3">
      <c r="B7" s="38" t="s">
        <v>132</v>
      </c>
      <c r="C7" s="60"/>
    </row>
    <row r="8" spans="2:9" x14ac:dyDescent="0.3">
      <c r="B8" s="38" t="s">
        <v>133</v>
      </c>
    </row>
    <row r="9" spans="2:9" x14ac:dyDescent="0.3">
      <c r="B9" s="38" t="s">
        <v>72</v>
      </c>
    </row>
    <row r="10" spans="2:9" x14ac:dyDescent="0.3">
      <c r="B10" s="38" t="s">
        <v>134</v>
      </c>
    </row>
    <row r="11" spans="2:9" ht="15" thickBot="1" x14ac:dyDescent="0.35"/>
    <row r="12" spans="2:9" ht="52.8" thickBot="1" x14ac:dyDescent="0.35">
      <c r="B12" s="20" t="s">
        <v>73</v>
      </c>
      <c r="C12" s="20" t="s">
        <v>56</v>
      </c>
      <c r="D12" s="20" t="s">
        <v>69</v>
      </c>
      <c r="E12" s="20" t="s">
        <v>70</v>
      </c>
      <c r="F12" s="20" t="s">
        <v>62</v>
      </c>
      <c r="G12" s="20" t="s">
        <v>71</v>
      </c>
      <c r="H12" s="20" t="s">
        <v>63</v>
      </c>
      <c r="I12" s="20" t="s">
        <v>4</v>
      </c>
    </row>
    <row r="13" spans="2:9" ht="17.399999999999999" x14ac:dyDescent="0.3">
      <c r="B13" s="63"/>
      <c r="C13" s="29"/>
      <c r="D13" s="39" t="s">
        <v>19</v>
      </c>
      <c r="E13" s="39" t="s">
        <v>8</v>
      </c>
      <c r="F13" s="37">
        <f>IF(EXACT("Sistema",D13),1,0)*IF(EXACT("Baja",E13),Datos!$J$4,IF(EXACT("Media",E13),Datos!$J$5,IF(EXACT("Alta",E13),Datos!$J$6,IF(EXACT("Muy alta",E13),Datos!$J$7,IF(EXACT("Demasiado alta",E13),Datos!$J$8,0)))))</f>
        <v>0</v>
      </c>
      <c r="G13" s="37" t="s">
        <v>8</v>
      </c>
      <c r="H13" s="37">
        <f>IF(EXACT("Arquitectura",D13),1,0)*IF(EXACT("Baja",'Estimación Compo-Pantallas'!E13),Datos!$I$4,IF(EXACT("Media",'Estimación Compo-Pantallas'!E13),Datos!$I$5,IF(EXACT("Alta",'Estimación Compo-Pantallas'!E13),Datos!$I$6,IF(EXACT("Muy alta",'Estimación Compo-Pantallas'!E13),Datos!$I$7,IF(EXACT("Demasiado alta",'Estimación Compo-Pantallas'!E13),Datos!$I$8,0)))))</f>
        <v>0</v>
      </c>
      <c r="I13" s="37">
        <f>IF(EXACT("Módulo",D13),1,0)*IF(EXACT("Baja",E13),Datos!$K$4,IF(EXACT("Media",E13),Datos!$K$5,IF(EXACT("Alta",E13),Datos!$K$6,IF(EXACT("Muy alta",E13),Datos!$K$7,IF(EXACT("Demasiado alta",E13),Datos!$K$8,0)))))+IF(EXACT("Sistema",D13),1,0)*F13*IF(EXACT("Baja",G13),Datos!$K$4,IF(EXACT("Media",G13),Datos!$K$5,IF(EXACT("Alta",G13),Datos!$K$6,IF(EXACT("Muy alta",G13),Datos!$K$7,IF(EXACT("Demasiado alta",G13),Datos!$K$8,0)))))</f>
        <v>5</v>
      </c>
    </row>
    <row r="14" spans="2:9" ht="17.399999999999999" x14ac:dyDescent="0.3">
      <c r="B14" s="63"/>
      <c r="C14" s="29"/>
      <c r="D14" s="39" t="s">
        <v>19</v>
      </c>
      <c r="E14" s="39" t="s">
        <v>8</v>
      </c>
      <c r="F14" s="37">
        <f>IF(EXACT("Sistema",D14),1,0)*IF(EXACT("Baja",E14),Datos!$J$4,IF(EXACT("Media",E14),Datos!$J$5,IF(EXACT("Alta",E14),Datos!$J$6,IF(EXACT("Muy alta",E14),Datos!$J$7,IF(EXACT("Demasiado alta",E14),Datos!$J$8,0)))))</f>
        <v>0</v>
      </c>
      <c r="G14" s="37" t="s">
        <v>8</v>
      </c>
      <c r="H14" s="37">
        <f>IF(EXACT("Arquitectura",D14),1,0)*IF(EXACT("Baja",'Estimación Compo-Pantallas'!E14),Datos!$I$4,IF(EXACT("Media",'Estimación Compo-Pantallas'!E14),Datos!$I$5,IF(EXACT("Alta",'Estimación Compo-Pantallas'!E14),Datos!$I$6,IF(EXACT("Muy alta",'Estimación Compo-Pantallas'!E14),Datos!$I$7,IF(EXACT("Demasiado alta",'Estimación Compo-Pantallas'!E14),Datos!$I$8,0)))))</f>
        <v>0</v>
      </c>
      <c r="I14" s="37">
        <f>IF(EXACT("Módulo",D14),1,0)*IF(EXACT("Baja",E14),Datos!$K$4,IF(EXACT("Media",E14),Datos!$K$5,IF(EXACT("Alta",E14),Datos!$K$6,IF(EXACT("Muy alta",E14),Datos!$K$7,IF(EXACT("Demasiado alta",E14),Datos!$K$8,0)))))+IF(EXACT("Sistema",D14),1,0)*F14*IF(EXACT("Baja",G14),Datos!$K$4,IF(EXACT("Media",G14),Datos!$K$5,IF(EXACT("Alta",G14),Datos!$K$6,IF(EXACT("Muy alta",G14),Datos!$K$7,IF(EXACT("Demasiado alta",G14),Datos!$K$8,0)))))</f>
        <v>5</v>
      </c>
    </row>
    <row r="15" spans="2:9" ht="17.399999999999999" x14ac:dyDescent="0.3">
      <c r="B15" s="63"/>
      <c r="C15" s="29"/>
      <c r="D15" s="39" t="s">
        <v>65</v>
      </c>
      <c r="E15" s="39" t="s">
        <v>1</v>
      </c>
      <c r="F15" s="37">
        <f>IF(EXACT("Sistema",D15),1,0)*IF(EXACT("Baja",E15),Datos!$J$4,IF(EXACT("Media",E15),Datos!$J$5,IF(EXACT("Alta",E15),Datos!$J$6,IF(EXACT("Muy alta",E15),Datos!$J$7,IF(EXACT("Demasiado alta",E15),Datos!$J$8,0)))))</f>
        <v>20</v>
      </c>
      <c r="G15" s="37" t="s">
        <v>1</v>
      </c>
      <c r="H15" s="37">
        <f>IF(EXACT("Arquitectura",D15),1,0)*IF(EXACT("Baja",'Estimación Compo-Pantallas'!E15),Datos!$I$4,IF(EXACT("Media",'Estimación Compo-Pantallas'!E15),Datos!$I$5,IF(EXACT("Alta",'Estimación Compo-Pantallas'!E15),Datos!$I$6,IF(EXACT("Muy alta",'Estimación Compo-Pantallas'!E15),Datos!$I$7,IF(EXACT("Demasiado alta",'Estimación Compo-Pantallas'!E15),Datos!$I$8,0)))))</f>
        <v>0</v>
      </c>
      <c r="I15" s="37">
        <f>IF(EXACT("Módulo",D15),1,0)*IF(EXACT("Baja",E15),Datos!$K$4,IF(EXACT("Media",E15),Datos!$K$5,IF(EXACT("Alta",E15),Datos!$K$6,IF(EXACT("Muy alta",E15),Datos!$K$7,IF(EXACT("Demasiado alta",E15),Datos!$K$8,0)))))+IF(EXACT("Sistema",D15),1,0)*F15*IF(EXACT("Baja",G15),Datos!$K$4,IF(EXACT("Media",G15),Datos!$K$5,IF(EXACT("Alta",G15),Datos!$K$6,IF(EXACT("Muy alta",G15),Datos!$K$7,IF(EXACT("Demasiado alta",G15),Datos!$K$8,0)))))</f>
        <v>200</v>
      </c>
    </row>
    <row r="16" spans="2:9" ht="17.399999999999999" x14ac:dyDescent="0.3">
      <c r="B16" s="63"/>
      <c r="C16" s="29"/>
      <c r="D16" s="39" t="s">
        <v>19</v>
      </c>
      <c r="E16" s="39" t="s">
        <v>8</v>
      </c>
      <c r="F16" s="37">
        <f>IF(EXACT("Sistema",D16),1,0)*IF(EXACT("Baja",E16),Datos!$J$4,IF(EXACT("Media",E16),Datos!$J$5,IF(EXACT("Alta",E16),Datos!$J$6,IF(EXACT("Muy alta",E16),Datos!$J$7,IF(EXACT("Demasiado alta",E16),Datos!$J$8,0)))))</f>
        <v>0</v>
      </c>
      <c r="G16" s="37" t="s">
        <v>8</v>
      </c>
      <c r="H16" s="37">
        <f>IF(EXACT("Arquitectura",D16),1,0)*IF(EXACT("Baja",'Estimación Compo-Pantallas'!E16),Datos!$I$4,IF(EXACT("Media",'Estimación Compo-Pantallas'!E16),Datos!$I$5,IF(EXACT("Alta",'Estimación Compo-Pantallas'!E16),Datos!$I$6,IF(EXACT("Muy alta",'Estimación Compo-Pantallas'!E16),Datos!$I$7,IF(EXACT("Demasiado alta",'Estimación Compo-Pantallas'!E16),Datos!$I$8,0)))))</f>
        <v>0</v>
      </c>
      <c r="I16" s="37">
        <f>IF(EXACT("Módulo",D16),1,0)*IF(EXACT("Baja",E16),Datos!$K$4,IF(EXACT("Media",E16),Datos!$K$5,IF(EXACT("Alta",E16),Datos!$K$6,IF(EXACT("Muy alta",E16),Datos!$K$7,IF(EXACT("Demasiado alta",E16),Datos!$K$8,0)))))+IF(EXACT("Sistema",D16),1,0)*F16*IF(EXACT("Baja",G16),Datos!$K$4,IF(EXACT("Media",G16),Datos!$K$5,IF(EXACT("Alta",G16),Datos!$K$6,IF(EXACT("Muy alta",G16),Datos!$K$7,IF(EXACT("Demasiado alta",G16),Datos!$K$8,0)))))</f>
        <v>5</v>
      </c>
    </row>
    <row r="17" spans="2:9" ht="17.399999999999999" x14ac:dyDescent="0.3">
      <c r="B17" s="63"/>
      <c r="C17" s="29"/>
      <c r="D17" s="39" t="s">
        <v>19</v>
      </c>
      <c r="E17" s="39" t="s">
        <v>8</v>
      </c>
      <c r="F17" s="37">
        <f>IF(EXACT("Sistema",D17),1,0)*IF(EXACT("Baja",E17),Datos!$J$4,IF(EXACT("Media",E17),Datos!$J$5,IF(EXACT("Alta",E17),Datos!$J$6,IF(EXACT("Muy alta",E17),Datos!$J$7,IF(EXACT("Demasiado alta",E17),Datos!$J$8,0)))))</f>
        <v>0</v>
      </c>
      <c r="G17" s="37" t="s">
        <v>8</v>
      </c>
      <c r="H17" s="37">
        <f>IF(EXACT("Arquitectura",D17),1,0)*IF(EXACT("Baja",'Estimación Compo-Pantallas'!E17),Datos!$I$4,IF(EXACT("Media",'Estimación Compo-Pantallas'!E17),Datos!$I$5,IF(EXACT("Alta",'Estimación Compo-Pantallas'!E17),Datos!$I$6,IF(EXACT("Muy alta",'Estimación Compo-Pantallas'!E17),Datos!$I$7,IF(EXACT("Demasiado alta",'Estimación Compo-Pantallas'!E17),Datos!$I$8,0)))))</f>
        <v>0</v>
      </c>
      <c r="I17" s="37">
        <f>IF(EXACT("Módulo",D17),1,0)*IF(EXACT("Baja",E17),Datos!$K$4,IF(EXACT("Media",E17),Datos!$K$5,IF(EXACT("Alta",E17),Datos!$K$6,IF(EXACT("Muy alta",E17),Datos!$K$7,IF(EXACT("Demasiado alta",E17),Datos!$K$8,0)))))+IF(EXACT("Sistema",D17),1,0)*F17*IF(EXACT("Baja",G17),Datos!$K$4,IF(EXACT("Media",G17),Datos!$K$5,IF(EXACT("Alta",G17),Datos!$K$6,IF(EXACT("Muy alta",G17),Datos!$K$7,IF(EXACT("Demasiado alta",G17),Datos!$K$8,0)))))</f>
        <v>5</v>
      </c>
    </row>
    <row r="18" spans="2:9" ht="17.399999999999999" x14ac:dyDescent="0.3">
      <c r="B18" s="58"/>
      <c r="C18" s="58"/>
      <c r="D18" s="61"/>
      <c r="E18" s="61"/>
      <c r="F18" s="61"/>
      <c r="G18" s="52" t="s">
        <v>2</v>
      </c>
      <c r="H18" s="55">
        <f>SUM(H8:H15)</f>
        <v>0</v>
      </c>
      <c r="I18" s="55">
        <f>SUM(I13:I17)</f>
        <v>220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Datos!$L$4:$L$7</xm:f>
          </x14:formula1>
          <xm:sqref>D13:D17</xm:sqref>
        </x14:dataValidation>
        <x14:dataValidation type="list" allowBlank="1" showInputMessage="1" showErrorMessage="1" xr:uid="{00000000-0002-0000-0000-000001000000}">
          <x14:formula1>
            <xm:f>Datos!$H$4:$H$8</xm:f>
          </x14:formula1>
          <xm:sqref>E13:E17 G13:G17</xm:sqref>
        </x14:dataValidation>
        <x14:dataValidation type="list" allowBlank="1" showInputMessage="1" showErrorMessage="1" xr:uid="{00000000-0002-0000-0000-000002000000}">
          <x14:formula1>
            <xm:f>'C:\Users\Aline\Desktop\Repositorio Ennovasoft\Proyectos Internos\DERAPIDO-PAGO\Web\Análisis y Diseño\Estimacion\[EEF_DERAPIDOPAGO_web.XLSX]Datos'!#REF!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BO243"/>
  <sheetViews>
    <sheetView showGridLines="0" tabSelected="1" topLeftCell="A16" zoomScale="85" zoomScaleNormal="85" workbookViewId="0">
      <selection activeCell="J27" sqref="J27"/>
    </sheetView>
  </sheetViews>
  <sheetFormatPr baseColWidth="10" defaultRowHeight="14.4" x14ac:dyDescent="0.3"/>
  <cols>
    <col min="4" max="4" width="34.44140625" style="1" customWidth="1"/>
    <col min="5" max="5" width="54.109375" style="25" customWidth="1"/>
    <col min="6" max="6" width="23.44140625" style="25" customWidth="1"/>
    <col min="7" max="7" width="21.33203125" style="25" customWidth="1"/>
    <col min="8" max="8" width="19" style="18" customWidth="1"/>
    <col min="9" max="9" width="27.6640625" style="18" customWidth="1"/>
    <col min="10" max="10" width="21.5546875" style="31" customWidth="1"/>
    <col min="11" max="12" width="17.6640625" style="1" customWidth="1"/>
    <col min="13" max="13" width="21.109375" style="1" customWidth="1"/>
    <col min="14" max="14" width="22.5546875" style="1" customWidth="1"/>
    <col min="15" max="15" width="25.5546875" style="1" customWidth="1"/>
    <col min="16" max="16" width="19.109375" style="1" customWidth="1"/>
    <col min="17" max="17" width="21" style="1" customWidth="1"/>
    <col min="18" max="20" width="22.6640625" style="1" customWidth="1"/>
    <col min="21" max="21" width="27.109375" style="1" customWidth="1"/>
    <col min="22" max="22" width="23.109375" style="1" customWidth="1"/>
    <col min="23" max="23" width="20.33203125" style="1" customWidth="1"/>
    <col min="24" max="24" width="22.33203125" style="1" customWidth="1"/>
    <col min="25" max="25" width="18.109375" style="1" customWidth="1"/>
    <col min="26" max="27" width="28.33203125" style="1" customWidth="1"/>
    <col min="28" max="28" width="21.44140625" style="1" customWidth="1"/>
    <col min="29" max="29" width="22" style="1" customWidth="1"/>
    <col min="30" max="30" width="21.33203125" style="1" customWidth="1"/>
    <col min="31" max="31" width="22.5546875" style="1" customWidth="1"/>
    <col min="32" max="32" width="18.88671875" style="1" customWidth="1"/>
    <col min="33" max="33" width="42.109375" style="1" customWidth="1"/>
    <col min="34" max="34" width="31.6640625" style="1" customWidth="1"/>
    <col min="35" max="35" width="44.88671875" style="2" customWidth="1"/>
    <col min="36" max="36" width="26.44140625" customWidth="1"/>
    <col min="37" max="37" width="26" customWidth="1"/>
    <col min="38" max="38" width="29.33203125" style="30" customWidth="1"/>
    <col min="39" max="39" width="33.5546875" style="30" customWidth="1"/>
    <col min="40" max="40" width="22.109375" customWidth="1"/>
    <col min="41" max="41" width="24.33203125" customWidth="1"/>
    <col min="42" max="42" width="31.44140625" customWidth="1"/>
    <col min="43" max="45" width="31.44140625" style="30" customWidth="1"/>
    <col min="46" max="46" width="28.5546875" customWidth="1"/>
    <col min="47" max="47" width="24.6640625" customWidth="1"/>
    <col min="48" max="48" width="28.44140625" customWidth="1"/>
    <col min="49" max="49" width="33.33203125" customWidth="1"/>
    <col min="50" max="50" width="32.44140625" customWidth="1"/>
    <col min="51" max="53" width="32.44140625" style="30" customWidth="1"/>
    <col min="54" max="54" width="19" customWidth="1"/>
    <col min="55" max="55" width="19" style="30" customWidth="1"/>
    <col min="56" max="56" width="23.109375" customWidth="1"/>
    <col min="57" max="57" width="29.6640625" customWidth="1"/>
    <col min="58" max="58" width="21.109375" customWidth="1"/>
    <col min="59" max="59" width="23.33203125" customWidth="1"/>
    <col min="60" max="60" width="21.109375" customWidth="1"/>
    <col min="61" max="61" width="26.109375" customWidth="1"/>
    <col min="62" max="62" width="28.6640625" customWidth="1"/>
    <col min="63" max="63" width="27.88671875" customWidth="1"/>
    <col min="64" max="64" width="31.88671875" customWidth="1"/>
    <col min="65" max="65" width="14.33203125" customWidth="1"/>
    <col min="66" max="66" width="27.88671875" customWidth="1"/>
    <col min="67" max="67" width="40" customWidth="1"/>
    <col min="68" max="68" width="22.109375" customWidth="1"/>
    <col min="69" max="69" width="18.33203125" customWidth="1"/>
  </cols>
  <sheetData>
    <row r="1" spans="4:45" s="30" customFormat="1" ht="15" thickBot="1" x14ac:dyDescent="0.35">
      <c r="D1" s="1"/>
      <c r="E1" s="25"/>
      <c r="F1" s="25"/>
      <c r="G1" s="25"/>
      <c r="H1" s="33"/>
      <c r="I1" s="33"/>
      <c r="J1" s="3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/>
    </row>
    <row r="2" spans="4:45" s="30" customFormat="1" ht="15" thickBot="1" x14ac:dyDescent="0.35">
      <c r="D2" s="1"/>
      <c r="E2" s="137"/>
      <c r="F2" s="138" t="s">
        <v>180</v>
      </c>
      <c r="G2" s="138"/>
      <c r="H2" s="138"/>
      <c r="I2" s="138"/>
      <c r="J2" s="138"/>
      <c r="K2" s="138"/>
      <c r="L2" s="138"/>
      <c r="M2" s="101" t="s">
        <v>168</v>
      </c>
      <c r="N2" s="102" t="s">
        <v>169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</row>
    <row r="3" spans="4:45" s="30" customFormat="1" ht="15.75" customHeight="1" thickBot="1" x14ac:dyDescent="0.35">
      <c r="D3" s="1"/>
      <c r="E3" s="137"/>
      <c r="F3" s="138"/>
      <c r="G3" s="138"/>
      <c r="H3" s="138"/>
      <c r="I3" s="138"/>
      <c r="J3" s="138"/>
      <c r="K3" s="138"/>
      <c r="L3" s="138"/>
      <c r="M3" s="101" t="s">
        <v>170</v>
      </c>
      <c r="N3" s="103">
        <v>41402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2"/>
    </row>
    <row r="4" spans="4:45" s="30" customFormat="1" ht="15.75" customHeight="1" thickBot="1" x14ac:dyDescent="0.35">
      <c r="D4" s="1"/>
      <c r="E4" s="137"/>
      <c r="F4" s="138"/>
      <c r="G4" s="138"/>
      <c r="H4" s="138"/>
      <c r="I4" s="138"/>
      <c r="J4" s="138"/>
      <c r="K4" s="138"/>
      <c r="L4" s="138"/>
      <c r="M4" s="101" t="s">
        <v>171</v>
      </c>
      <c r="N4" s="103">
        <v>43678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"/>
    </row>
    <row r="5" spans="4:45" s="30" customFormat="1" ht="15.75" customHeight="1" thickBot="1" x14ac:dyDescent="0.35">
      <c r="D5" s="1"/>
      <c r="E5" s="137"/>
      <c r="F5" s="138"/>
      <c r="G5" s="138"/>
      <c r="H5" s="138"/>
      <c r="I5" s="138"/>
      <c r="J5" s="138"/>
      <c r="K5" s="138"/>
      <c r="L5" s="138"/>
      <c r="M5" s="101" t="s">
        <v>172</v>
      </c>
      <c r="N5" s="104"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2"/>
    </row>
    <row r="6" spans="4:45" ht="15.75" customHeight="1" thickBot="1" x14ac:dyDescent="0.35">
      <c r="E6" s="137"/>
      <c r="F6" s="138"/>
      <c r="G6" s="138"/>
      <c r="H6" s="138"/>
      <c r="I6" s="138"/>
      <c r="J6" s="138"/>
      <c r="K6" s="138"/>
      <c r="L6" s="139"/>
      <c r="M6" s="105" t="s">
        <v>173</v>
      </c>
      <c r="N6" s="118">
        <v>3</v>
      </c>
    </row>
    <row r="7" spans="4:45" s="30" customFormat="1" ht="15.75" customHeight="1" x14ac:dyDescent="0.3">
      <c r="D7" s="1"/>
      <c r="E7" s="106"/>
      <c r="F7" s="107"/>
      <c r="G7" s="107"/>
      <c r="H7" s="107"/>
      <c r="I7" s="107"/>
      <c r="J7" s="107"/>
      <c r="K7" s="107"/>
      <c r="L7" s="107"/>
      <c r="M7" s="108"/>
      <c r="N7" s="10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/>
    </row>
    <row r="8" spans="4:45" s="30" customFormat="1" ht="15.75" customHeight="1" x14ac:dyDescent="0.3">
      <c r="D8" s="1"/>
      <c r="E8" s="106"/>
      <c r="F8" s="115" t="s">
        <v>23</v>
      </c>
      <c r="G8" s="148" t="s">
        <v>174</v>
      </c>
      <c r="H8" s="149"/>
      <c r="I8" s="115" t="s">
        <v>175</v>
      </c>
      <c r="J8" s="148" t="s">
        <v>176</v>
      </c>
      <c r="K8" s="152"/>
      <c r="L8" s="152"/>
      <c r="M8" s="149"/>
      <c r="N8" s="10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"/>
    </row>
    <row r="9" spans="4:45" s="110" customFormat="1" ht="15.75" customHeight="1" x14ac:dyDescent="0.3">
      <c r="D9" s="111"/>
      <c r="E9" s="112"/>
      <c r="F9" s="122" t="s">
        <v>186</v>
      </c>
      <c r="G9" s="150" t="s">
        <v>177</v>
      </c>
      <c r="H9" s="151"/>
      <c r="I9" s="121" t="s">
        <v>187</v>
      </c>
      <c r="J9" s="150" t="s">
        <v>178</v>
      </c>
      <c r="K9" s="153"/>
      <c r="L9" s="153"/>
      <c r="M9" s="151"/>
      <c r="N9" s="113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4"/>
    </row>
    <row r="10" spans="4:45" s="30" customFormat="1" ht="15.75" customHeight="1" x14ac:dyDescent="0.3">
      <c r="D10" s="1"/>
      <c r="E10" s="106"/>
      <c r="F10" s="107"/>
      <c r="G10" s="107"/>
      <c r="H10" s="107"/>
      <c r="I10" s="107"/>
      <c r="J10" s="107"/>
      <c r="K10" s="107"/>
      <c r="L10" s="107"/>
      <c r="M10" s="108"/>
      <c r="N10" s="10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2"/>
    </row>
    <row r="11" spans="4:45" ht="18.75" customHeight="1" x14ac:dyDescent="0.3">
      <c r="D11" s="15" t="s">
        <v>23</v>
      </c>
      <c r="E11" s="123" t="s">
        <v>185</v>
      </c>
      <c r="F11" s="40"/>
      <c r="G11" s="33"/>
      <c r="H11" s="33"/>
      <c r="I11" s="33"/>
    </row>
    <row r="12" spans="4:45" ht="18.75" customHeight="1" x14ac:dyDescent="0.3">
      <c r="D12" s="15" t="s">
        <v>21</v>
      </c>
      <c r="E12" s="123" t="s">
        <v>177</v>
      </c>
      <c r="F12" s="40"/>
      <c r="G12" s="33"/>
      <c r="H12" s="33"/>
      <c r="I12" s="33"/>
    </row>
    <row r="13" spans="4:45" ht="21.75" customHeight="1" x14ac:dyDescent="0.3">
      <c r="D13" s="15" t="s">
        <v>22</v>
      </c>
      <c r="E13" s="123" t="s">
        <v>184</v>
      </c>
      <c r="F13" s="40"/>
      <c r="G13" s="33"/>
      <c r="H13" s="33"/>
      <c r="I13" s="33"/>
    </row>
    <row r="14" spans="4:45" ht="20.399999999999999" x14ac:dyDescent="0.35">
      <c r="D14" s="15" t="s">
        <v>79</v>
      </c>
      <c r="E14" s="123" t="s">
        <v>85</v>
      </c>
      <c r="F14" s="40"/>
      <c r="G14" s="33"/>
      <c r="H14" s="33"/>
      <c r="I14" s="33"/>
      <c r="AO14" s="8"/>
      <c r="AP14" s="8"/>
      <c r="AQ14" s="8"/>
      <c r="AR14" s="8"/>
      <c r="AS14" s="8"/>
    </row>
    <row r="15" spans="4:45" s="30" customFormat="1" ht="20.399999999999999" x14ac:dyDescent="0.35">
      <c r="D15" s="117" t="s">
        <v>179</v>
      </c>
      <c r="E15" s="124" t="s">
        <v>183</v>
      </c>
      <c r="F15" s="116"/>
      <c r="G15" s="33"/>
      <c r="H15" s="33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2"/>
      <c r="AO15" s="8"/>
      <c r="AP15" s="8"/>
      <c r="AQ15" s="8"/>
      <c r="AR15" s="8"/>
      <c r="AS15" s="8"/>
    </row>
    <row r="16" spans="4:45" s="30" customFormat="1" ht="17.25" customHeight="1" x14ac:dyDescent="0.35">
      <c r="D16" s="119"/>
      <c r="E16" s="120"/>
      <c r="F16" s="116"/>
      <c r="G16" s="33"/>
      <c r="H16" s="33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2"/>
      <c r="AO16" s="8"/>
      <c r="AP16" s="8"/>
      <c r="AQ16" s="8"/>
      <c r="AR16" s="8"/>
      <c r="AS16" s="8"/>
    </row>
    <row r="17" spans="4:45" ht="15" customHeight="1" thickBot="1" x14ac:dyDescent="0.4">
      <c r="AO17" s="8"/>
      <c r="AP17" s="8"/>
      <c r="AQ17" s="8"/>
      <c r="AR17" s="8"/>
      <c r="AS17" s="8"/>
    </row>
    <row r="18" spans="4:45" s="8" customFormat="1" ht="21.6" thickBot="1" x14ac:dyDescent="0.45">
      <c r="D18" s="146"/>
      <c r="E18" s="147"/>
      <c r="F18" s="41"/>
      <c r="G18" s="41"/>
      <c r="H18" s="19"/>
      <c r="I18" s="19"/>
      <c r="J18" s="1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7"/>
    </row>
    <row r="19" spans="4:45" ht="70.2" thickBot="1" x14ac:dyDescent="0.4">
      <c r="D19" s="46" t="s">
        <v>19</v>
      </c>
      <c r="E19" s="24" t="s">
        <v>56</v>
      </c>
      <c r="F19" s="20" t="s">
        <v>87</v>
      </c>
      <c r="G19" s="20" t="s">
        <v>74</v>
      </c>
      <c r="H19" s="20" t="s">
        <v>140</v>
      </c>
      <c r="I19" s="20" t="s">
        <v>13</v>
      </c>
      <c r="J19" s="20" t="s">
        <v>63</v>
      </c>
      <c r="K19" s="20" t="s">
        <v>4</v>
      </c>
      <c r="L19" s="20" t="s">
        <v>136</v>
      </c>
      <c r="M19" s="20" t="s">
        <v>143</v>
      </c>
      <c r="N19" s="20" t="s">
        <v>144</v>
      </c>
      <c r="O19" s="20" t="s">
        <v>20</v>
      </c>
      <c r="P19" s="20" t="s">
        <v>9</v>
      </c>
      <c r="Q19" s="20" t="s">
        <v>24</v>
      </c>
      <c r="R19" s="20" t="s">
        <v>25</v>
      </c>
      <c r="S19" s="23" t="s">
        <v>31</v>
      </c>
      <c r="T19" s="23" t="s">
        <v>32</v>
      </c>
      <c r="U19" s="23" t="s">
        <v>105</v>
      </c>
      <c r="V19" s="23" t="s">
        <v>54</v>
      </c>
      <c r="W19" s="23" t="s">
        <v>141</v>
      </c>
      <c r="X19" s="23" t="s">
        <v>142</v>
      </c>
      <c r="Y19" s="43" t="s">
        <v>167</v>
      </c>
      <c r="Z19" s="43" t="s">
        <v>107</v>
      </c>
      <c r="AA19" s="43" t="s">
        <v>33</v>
      </c>
      <c r="AB19" s="43" t="s">
        <v>36</v>
      </c>
      <c r="AC19" s="43" t="s">
        <v>145</v>
      </c>
      <c r="AD19" s="43" t="s">
        <v>138</v>
      </c>
      <c r="AE19" s="43" t="s">
        <v>34</v>
      </c>
      <c r="AF19" s="43" t="s">
        <v>35</v>
      </c>
      <c r="AG19" s="44" t="s">
        <v>88</v>
      </c>
      <c r="AH19" s="23" t="s">
        <v>53</v>
      </c>
      <c r="AI19" s="43" t="s">
        <v>5</v>
      </c>
      <c r="AJ19" s="44" t="s">
        <v>155</v>
      </c>
      <c r="AK19" s="45" t="s">
        <v>154</v>
      </c>
      <c r="AL19" s="49" t="s">
        <v>78</v>
      </c>
      <c r="AM19" s="62" t="s">
        <v>137</v>
      </c>
      <c r="AN19" s="20" t="s">
        <v>3</v>
      </c>
      <c r="AO19" s="8"/>
      <c r="AP19" s="8"/>
      <c r="AQ19" s="8"/>
      <c r="AR19" s="8"/>
      <c r="AS19" s="8"/>
    </row>
    <row r="20" spans="4:45" s="30" customFormat="1" ht="60" x14ac:dyDescent="0.35">
      <c r="D20" s="85" t="s">
        <v>201</v>
      </c>
      <c r="E20" s="83" t="s">
        <v>188</v>
      </c>
      <c r="F20" s="56">
        <v>1</v>
      </c>
      <c r="G20" s="54" t="s">
        <v>58</v>
      </c>
      <c r="H20" s="84" t="s">
        <v>12</v>
      </c>
      <c r="I20" s="84" t="s">
        <v>14</v>
      </c>
      <c r="J20" s="53">
        <v>1</v>
      </c>
      <c r="K20" s="55">
        <v>2</v>
      </c>
      <c r="L20" s="53">
        <v>2</v>
      </c>
      <c r="M20" s="53" t="s">
        <v>0</v>
      </c>
      <c r="N20" s="53" t="s">
        <v>0</v>
      </c>
      <c r="O20" s="53">
        <v>1</v>
      </c>
      <c r="P20" s="53" t="s">
        <v>0</v>
      </c>
      <c r="Q20" s="53" t="s">
        <v>27</v>
      </c>
      <c r="R20" s="53" t="s">
        <v>28</v>
      </c>
      <c r="S20" s="53">
        <v>1</v>
      </c>
      <c r="T20" s="53" t="s">
        <v>0</v>
      </c>
      <c r="U20" s="53">
        <f t="shared" ref="U20:U21" si="0">IF(EXACT("Baja",M20),4,IF(EXACT("Media",M20),8,IF(EXACT("Alta",M20),12,IF(EXACT("Muy alta",M20),16,IF(EXACT("Demasiado alta",M20),20,0)))))*(J20)*IF(EXACT("Nuevo proyecto",$E$14),1,IF(EXACT("Nuevo requerimiento - modificaciones",$E$14),0.25,IF(EXACT("Nuevo requerimiento - de cero",$E$14),1,IF(EXACT("Incidencia",$E$14),0.25,IF(EXACT("Mejora",$E$14),0.5,0)))))</f>
        <v>2</v>
      </c>
      <c r="V20" s="53">
        <f t="shared" ref="V20:V21" si="1">IF(EXACT("Baja",T20),4,IF(EXACT("Media",T20),4.5,IF(EXACT("Alta",T20),12,IF(EXACT("Muy alta",T20),16,IF(EXACT("Demasiado alta",T20),20,0)))))*S20*IF(EXACT("Nuevo proyecto",$E$14),1,IF(EXACT("Nuevo requerimiento - modificaciones",$E$14),0.25,IF(EXACT("Nuevo requerimiento - de cero",$E$14),1,IF(EXACT("Incidencia",$E$14),0.25,IF(EXACT("Mejora",$E$14),0.5,0)))))</f>
        <v>2</v>
      </c>
      <c r="W20" s="53">
        <f t="shared" ref="W20:W21" si="2">((IF(EXACT(H20,"Standalone"),V20*1.25,0))+IF(EXACT("Baja",M20),3,IF(EXACT("Media",M20),6,IF(EXACT("Alta",M20),9,IF(EXACT("Muy alta",M20),12,IF(EXACT("Demasiado alta",M20),15,0))))))*K20</f>
        <v>6</v>
      </c>
      <c r="X20" s="53">
        <f t="shared" ref="X20:X21" si="3">((IF(EXACT(I20,"Standalone"),W20*0,W20*1.25))+IF(EXACT("Baja",N20),1,IF(EXACT("Media",N20),2,IF(EXACT("Alta",N20),4,IF(EXACT("Muy alta",N20),6,IF(EXACT("Demasiado alta",N20),8,0))))))*L20</f>
        <v>17</v>
      </c>
      <c r="Y20" s="53" t="s">
        <v>38</v>
      </c>
      <c r="Z20" s="53">
        <f t="shared" ref="Z20:Z21" si="4">IF(EXACT("Baja",AA20),3,IF(EXACT("Medio",AA20),6,IF(EXACT("Alta",AA20),9,IF(EXACT("Muy alta",AA20),12,IF(EXACT("Demasiado alta",AA20),15,0)))))*IF(EXACT(Y20,"SI"),1,0)</f>
        <v>3</v>
      </c>
      <c r="AA20" s="53" t="s">
        <v>0</v>
      </c>
      <c r="AB20" s="53">
        <f t="shared" ref="AB20:AB21" si="5">IF(EXACT("Baja",M20),14,IF(EXACT("Media",M20),17,IF(EXACT("Alta",M20),21.5,IF(EXACT("Muy alta",M20),25.25,IF(EXACT("Demasiado alta",M20),29,0)))))*(K20)*IF(EXACT("Nuevo proyecto",$E$14),1,IF(EXACT("Nuevo requerimiento - modificaciones",$E$14),0.25,IF(EXACT("Nuevo requerimiento - de cero",$E$14),1,IF(EXACT("Incidencia",$E$14),0.25,IF(EXACT("Mejora",$E$14),0.5,0)))))</f>
        <v>14</v>
      </c>
      <c r="AC20" s="53">
        <f t="shared" ref="AC20:AC21" si="6">IF(EXACT("Baja",M20),15,IF(EXACT("Media",M20),18,IF(EXACT("Alta",M20),22.5,IF(EXACT("Muy alta",M20),26.25,IF(EXACT("Demasiado alta",M20),30,0)))))*(J20)*IF(EXACT("Nuevo proyecto",$E$14),1,IF(EXACT("Nuevo requerimiento - modificaciones",$E$14),0.25,IF(EXACT("Nuevo requerimiento - de cero",$E$14),1,IF(EXACT("Incidencia",$E$14),0.25,IF(EXACT("Mejora",$E$14),0.5,0)))))</f>
        <v>7.5</v>
      </c>
      <c r="AD20" s="53">
        <f t="shared" ref="AD20:AD21" si="7">IF(EXACT("Baja",AA20),2,IF(EXACT("Medio",AA20),4,IF(EXACT("Alta",AA20),6,IF(EXACT("Muy alta",AA20),8,IF(EXACT("Demasiado alta",AA20),12,0)))))*Z20*IF(EXACT("Nuevo proyecto",$E$14),1,IF(EXACT("Nuevo requerimiento - modificaciones",$E$14),0.25,IF(EXACT("Nuevo requerimiento - de cero",$E$14),1,IF(EXACT("Incidencia",$E$14),0.25,IF(EXACT("Mejora",$E$14),0.5,0)))))</f>
        <v>3</v>
      </c>
      <c r="AE20" s="53" t="s">
        <v>38</v>
      </c>
      <c r="AF20" s="53">
        <v>1</v>
      </c>
      <c r="AG20" s="57" t="s">
        <v>92</v>
      </c>
      <c r="AH20" s="53">
        <f t="shared" ref="AH20:AH21" si="8">SUM(U20:X20)</f>
        <v>27</v>
      </c>
      <c r="AI20" s="53">
        <f t="shared" ref="AI20:AI21" si="9">AB20+AC20+AD20</f>
        <v>24.5</v>
      </c>
      <c r="AJ20" s="53">
        <f t="shared" ref="AJ20:AJ21" si="10">AI20*0.38</f>
        <v>9.31</v>
      </c>
      <c r="AK20" s="53">
        <f t="shared" ref="AK20:AK21" si="11">AI20*0.12</f>
        <v>2.94</v>
      </c>
      <c r="AL20" s="53">
        <f t="shared" ref="AL20:AL21" si="12">SUM(AH20:AK20)*0.09</f>
        <v>5.7374999999999998</v>
      </c>
      <c r="AM20" s="53">
        <f t="shared" ref="AM20:AM21" si="13">SUM(AH20:AL20)*0.075</f>
        <v>5.2115624999999994</v>
      </c>
      <c r="AN20" s="53">
        <f t="shared" ref="AN20:AN21" si="14">SUM(AH20:AK20)</f>
        <v>63.75</v>
      </c>
      <c r="AO20" s="8"/>
      <c r="AP20" s="8"/>
      <c r="AQ20" s="8"/>
      <c r="AR20" s="8"/>
      <c r="AS20" s="8"/>
    </row>
    <row r="21" spans="4:45" s="30" customFormat="1" ht="60" x14ac:dyDescent="0.35">
      <c r="D21" s="85" t="s">
        <v>202</v>
      </c>
      <c r="E21" s="83" t="s">
        <v>193</v>
      </c>
      <c r="F21" s="56">
        <v>2</v>
      </c>
      <c r="G21" s="54" t="s">
        <v>58</v>
      </c>
      <c r="H21" s="84" t="s">
        <v>12</v>
      </c>
      <c r="I21" s="84" t="s">
        <v>14</v>
      </c>
      <c r="J21" s="53">
        <v>1</v>
      </c>
      <c r="K21" s="55">
        <v>3</v>
      </c>
      <c r="L21" s="53">
        <v>2</v>
      </c>
      <c r="M21" s="53" t="s">
        <v>8</v>
      </c>
      <c r="N21" s="53" t="s">
        <v>0</v>
      </c>
      <c r="O21" s="53">
        <v>1</v>
      </c>
      <c r="P21" s="53" t="s">
        <v>8</v>
      </c>
      <c r="Q21" s="53" t="s">
        <v>27</v>
      </c>
      <c r="R21" s="53" t="s">
        <v>28</v>
      </c>
      <c r="S21" s="53">
        <v>2</v>
      </c>
      <c r="T21" s="53" t="s">
        <v>0</v>
      </c>
      <c r="U21" s="53">
        <f t="shared" si="0"/>
        <v>4</v>
      </c>
      <c r="V21" s="53">
        <f t="shared" si="1"/>
        <v>4</v>
      </c>
      <c r="W21" s="53">
        <f t="shared" si="2"/>
        <v>18</v>
      </c>
      <c r="X21" s="53">
        <f t="shared" si="3"/>
        <v>47</v>
      </c>
      <c r="Y21" s="53" t="s">
        <v>38</v>
      </c>
      <c r="Z21" s="53">
        <f t="shared" si="4"/>
        <v>6</v>
      </c>
      <c r="AA21" s="53" t="s">
        <v>44</v>
      </c>
      <c r="AB21" s="53">
        <f t="shared" si="5"/>
        <v>25.5</v>
      </c>
      <c r="AC21" s="53">
        <f t="shared" si="6"/>
        <v>9</v>
      </c>
      <c r="AD21" s="53">
        <f t="shared" si="7"/>
        <v>12</v>
      </c>
      <c r="AE21" s="53" t="s">
        <v>38</v>
      </c>
      <c r="AF21" s="53">
        <v>1</v>
      </c>
      <c r="AG21" s="57" t="s">
        <v>92</v>
      </c>
      <c r="AH21" s="53">
        <f t="shared" si="8"/>
        <v>73</v>
      </c>
      <c r="AI21" s="53">
        <f t="shared" si="9"/>
        <v>46.5</v>
      </c>
      <c r="AJ21" s="53">
        <f t="shared" si="10"/>
        <v>17.670000000000002</v>
      </c>
      <c r="AK21" s="53">
        <f t="shared" si="11"/>
        <v>5.58</v>
      </c>
      <c r="AL21" s="53">
        <f t="shared" si="12"/>
        <v>12.847500000000002</v>
      </c>
      <c r="AM21" s="53">
        <f t="shared" si="13"/>
        <v>11.669812500000001</v>
      </c>
      <c r="AN21" s="53">
        <f t="shared" si="14"/>
        <v>142.75000000000003</v>
      </c>
      <c r="AO21" s="8"/>
      <c r="AP21" s="8"/>
      <c r="AQ21" s="8"/>
      <c r="AR21" s="8"/>
      <c r="AS21" s="8"/>
    </row>
    <row r="22" spans="4:45" s="30" customFormat="1" ht="30" x14ac:dyDescent="0.35">
      <c r="D22" s="85" t="s">
        <v>203</v>
      </c>
      <c r="E22" s="83" t="s">
        <v>189</v>
      </c>
      <c r="F22" s="56">
        <v>3</v>
      </c>
      <c r="G22" s="84" t="s">
        <v>58</v>
      </c>
      <c r="H22" s="84" t="s">
        <v>12</v>
      </c>
      <c r="I22" s="84" t="s">
        <v>14</v>
      </c>
      <c r="J22" s="53">
        <v>1</v>
      </c>
      <c r="K22" s="55">
        <v>7</v>
      </c>
      <c r="L22" s="53">
        <v>0</v>
      </c>
      <c r="M22" s="53" t="s">
        <v>0</v>
      </c>
      <c r="N22" s="53" t="s">
        <v>0</v>
      </c>
      <c r="O22" s="53">
        <v>1</v>
      </c>
      <c r="P22" s="53" t="s">
        <v>0</v>
      </c>
      <c r="Q22" s="53" t="s">
        <v>27</v>
      </c>
      <c r="R22" s="53" t="s">
        <v>28</v>
      </c>
      <c r="S22" s="53">
        <v>1</v>
      </c>
      <c r="T22" s="53" t="s">
        <v>0</v>
      </c>
      <c r="U22" s="53">
        <f t="shared" ref="U22:U28" si="15">IF(EXACT("Baja",M22),4,IF(EXACT("Media",M22),8,IF(EXACT("Alta",M22),12,IF(EXACT("Muy alta",M22),16,IF(EXACT("Demasiado alta",M22),20,0)))))*(J22)*IF(EXACT("Nuevo proyecto",$E$14),1,IF(EXACT("Nuevo requerimiento - modificaciones",$E$14),0.25,IF(EXACT("Nuevo requerimiento - de cero",$E$14),1,IF(EXACT("Incidencia",$E$14),0.25,IF(EXACT("Mejora",$E$14),0.5,0)))))</f>
        <v>2</v>
      </c>
      <c r="V22" s="53">
        <f t="shared" ref="V22:V28" si="16">IF(EXACT("Baja",T22),4,IF(EXACT("Media",T22),4.5,IF(EXACT("Alta",T22),12,IF(EXACT("Muy alta",T22),16,IF(EXACT("Demasiado alta",T22),20,0)))))*S22*IF(EXACT("Nuevo proyecto",$E$14),1,IF(EXACT("Nuevo requerimiento - modificaciones",$E$14),0.25,IF(EXACT("Nuevo requerimiento - de cero",$E$14),1,IF(EXACT("Incidencia",$E$14),0.25,IF(EXACT("Mejora",$E$14),0.5,0)))))</f>
        <v>2</v>
      </c>
      <c r="W22" s="53">
        <f t="shared" ref="W22:W28" si="17">((IF(EXACT(H22,"Standalone"),V22*1.25,0))+IF(EXACT("Baja",M22),3,IF(EXACT("Media",M22),6,IF(EXACT("Alta",M22),9,IF(EXACT("Muy alta",M22),12,IF(EXACT("Demasiado alta",M22),15,0))))))*K22</f>
        <v>21</v>
      </c>
      <c r="X22" s="53">
        <f t="shared" ref="X22:X28" si="18">((IF(EXACT(I22,"Standalone"),W22*0,W22*1.25))+IF(EXACT("Baja",N22),1,IF(EXACT("Media",N22),2,IF(EXACT("Alta",N22),4,IF(EXACT("Muy alta",N22),6,IF(EXACT("Demasiado alta",N22),8,0))))))*L22</f>
        <v>0</v>
      </c>
      <c r="Y22" s="53" t="s">
        <v>38</v>
      </c>
      <c r="Z22" s="53">
        <f t="shared" ref="Z22:Z28" si="19">IF(EXACT("Baja",AA22),3,IF(EXACT("Medio",AA22),6,IF(EXACT("Alta",AA22),9,IF(EXACT("Muy alta",AA22),12,IF(EXACT("Demasiado alta",AA22),15,0)))))*IF(EXACT(Y22,"SI"),1,0)</f>
        <v>3</v>
      </c>
      <c r="AA22" s="53" t="s">
        <v>0</v>
      </c>
      <c r="AB22" s="53">
        <f t="shared" ref="AB22:AB28" si="20">IF(EXACT("Baja",M22),14,IF(EXACT("Media",M22),17,IF(EXACT("Alta",M22),21.5,IF(EXACT("Muy alta",M22),25.25,IF(EXACT("Demasiado alta",M22),29,0)))))*(K22)*IF(EXACT("Nuevo proyecto",$E$14),1,IF(EXACT("Nuevo requerimiento - modificaciones",$E$14),0.25,IF(EXACT("Nuevo requerimiento - de cero",$E$14),1,IF(EXACT("Incidencia",$E$14),0.25,IF(EXACT("Mejora",$E$14),0.5,0)))))</f>
        <v>49</v>
      </c>
      <c r="AC22" s="53">
        <f t="shared" ref="AC22:AC28" si="21">IF(EXACT("Baja",M22),15,IF(EXACT("Media",M22),18,IF(EXACT("Alta",M22),22.5,IF(EXACT("Muy alta",M22),26.25,IF(EXACT("Demasiado alta",M22),30,0)))))*(J22)*IF(EXACT("Nuevo proyecto",$E$14),1,IF(EXACT("Nuevo requerimiento - modificaciones",$E$14),0.25,IF(EXACT("Nuevo requerimiento - de cero",$E$14),1,IF(EXACT("Incidencia",$E$14),0.25,IF(EXACT("Mejora",$E$14),0.5,0)))))</f>
        <v>7.5</v>
      </c>
      <c r="AD22" s="53">
        <f t="shared" ref="AD22:AD28" si="22">IF(EXACT("Baja",AA22),2,IF(EXACT("Medio",AA22),4,IF(EXACT("Alta",AA22),6,IF(EXACT("Muy alta",AA22),8,IF(EXACT("Demasiado alta",AA22),12,0)))))*Z22*IF(EXACT("Nuevo proyecto",$E$14),1,IF(EXACT("Nuevo requerimiento - modificaciones",$E$14),0.25,IF(EXACT("Nuevo requerimiento - de cero",$E$14),1,IF(EXACT("Incidencia",$E$14),0.25,IF(EXACT("Mejora",$E$14),0.5,0)))))</f>
        <v>3</v>
      </c>
      <c r="AE22" s="53" t="s">
        <v>38</v>
      </c>
      <c r="AF22" s="53">
        <v>2</v>
      </c>
      <c r="AG22" s="57" t="s">
        <v>92</v>
      </c>
      <c r="AH22" s="53">
        <f t="shared" ref="AH22:AH28" si="23">SUM(U22:X22)</f>
        <v>25</v>
      </c>
      <c r="AI22" s="53">
        <f t="shared" ref="AI22:AI28" si="24">AB22+AC22+AD22</f>
        <v>59.5</v>
      </c>
      <c r="AJ22" s="53">
        <f t="shared" ref="AJ22:AJ28" si="25">AI22*0.38</f>
        <v>22.61</v>
      </c>
      <c r="AK22" s="53">
        <f t="shared" ref="AK22:AK28" si="26">AI22*0.12</f>
        <v>7.14</v>
      </c>
      <c r="AL22" s="53">
        <f t="shared" ref="AL22:AL28" si="27">SUM(AH22:AK22)*0.09</f>
        <v>10.282499999999999</v>
      </c>
      <c r="AM22" s="53">
        <f t="shared" ref="AM22:AM28" si="28">SUM(AH22:AL22)*0.075</f>
        <v>9.3399374999999996</v>
      </c>
      <c r="AN22" s="53">
        <f t="shared" ref="AN22:AN28" si="29">SUM(AH22:AK22)</f>
        <v>114.25</v>
      </c>
      <c r="AO22" s="8"/>
      <c r="AP22" s="8"/>
      <c r="AQ22" s="8"/>
      <c r="AR22" s="8"/>
      <c r="AS22" s="8"/>
    </row>
    <row r="23" spans="4:45" s="30" customFormat="1" ht="30" x14ac:dyDescent="0.35">
      <c r="D23" s="85" t="s">
        <v>204</v>
      </c>
      <c r="E23" s="83" t="s">
        <v>190</v>
      </c>
      <c r="F23" s="56">
        <v>4</v>
      </c>
      <c r="G23" s="84" t="s">
        <v>58</v>
      </c>
      <c r="H23" s="84" t="s">
        <v>12</v>
      </c>
      <c r="I23" s="84" t="s">
        <v>14</v>
      </c>
      <c r="J23" s="53">
        <v>1</v>
      </c>
      <c r="K23" s="55">
        <v>2</v>
      </c>
      <c r="L23" s="53">
        <v>2</v>
      </c>
      <c r="M23" s="53" t="s">
        <v>0</v>
      </c>
      <c r="N23" s="53" t="s">
        <v>8</v>
      </c>
      <c r="O23" s="53">
        <v>1</v>
      </c>
      <c r="P23" s="53" t="s">
        <v>8</v>
      </c>
      <c r="Q23" s="53" t="s">
        <v>27</v>
      </c>
      <c r="R23" s="53" t="s">
        <v>28</v>
      </c>
      <c r="S23" s="53">
        <v>1</v>
      </c>
      <c r="T23" s="53" t="s">
        <v>0</v>
      </c>
      <c r="U23" s="53">
        <f t="shared" si="15"/>
        <v>2</v>
      </c>
      <c r="V23" s="53">
        <f t="shared" si="16"/>
        <v>2</v>
      </c>
      <c r="W23" s="53">
        <f t="shared" si="17"/>
        <v>6</v>
      </c>
      <c r="X23" s="53">
        <f t="shared" si="18"/>
        <v>19</v>
      </c>
      <c r="Y23" s="53" t="s">
        <v>38</v>
      </c>
      <c r="Z23" s="53">
        <f t="shared" si="19"/>
        <v>6</v>
      </c>
      <c r="AA23" s="53" t="s">
        <v>44</v>
      </c>
      <c r="AB23" s="53">
        <f t="shared" si="20"/>
        <v>14</v>
      </c>
      <c r="AC23" s="53">
        <f t="shared" si="21"/>
        <v>7.5</v>
      </c>
      <c r="AD23" s="53">
        <f t="shared" si="22"/>
        <v>12</v>
      </c>
      <c r="AE23" s="53" t="s">
        <v>38</v>
      </c>
      <c r="AF23" s="53">
        <v>3</v>
      </c>
      <c r="AG23" s="57" t="s">
        <v>92</v>
      </c>
      <c r="AH23" s="53">
        <f t="shared" si="23"/>
        <v>29</v>
      </c>
      <c r="AI23" s="53">
        <f t="shared" si="24"/>
        <v>33.5</v>
      </c>
      <c r="AJ23" s="53">
        <f t="shared" si="25"/>
        <v>12.73</v>
      </c>
      <c r="AK23" s="53">
        <f t="shared" si="26"/>
        <v>4.0199999999999996</v>
      </c>
      <c r="AL23" s="53">
        <f t="shared" si="27"/>
        <v>7.1324999999999994</v>
      </c>
      <c r="AM23" s="53">
        <f t="shared" si="28"/>
        <v>6.4786874999999995</v>
      </c>
      <c r="AN23" s="53">
        <f t="shared" si="29"/>
        <v>79.25</v>
      </c>
      <c r="AO23" s="8"/>
      <c r="AP23" s="8"/>
      <c r="AQ23" s="8"/>
      <c r="AR23" s="8"/>
      <c r="AS23" s="8"/>
    </row>
    <row r="24" spans="4:45" s="30" customFormat="1" ht="45" x14ac:dyDescent="0.35">
      <c r="D24" s="85" t="s">
        <v>205</v>
      </c>
      <c r="E24" s="83" t="s">
        <v>194</v>
      </c>
      <c r="F24" s="56">
        <v>5</v>
      </c>
      <c r="G24" s="84" t="s">
        <v>58</v>
      </c>
      <c r="H24" s="84" t="s">
        <v>12</v>
      </c>
      <c r="I24" s="84" t="s">
        <v>14</v>
      </c>
      <c r="J24" s="53">
        <v>1</v>
      </c>
      <c r="K24" s="55">
        <v>2</v>
      </c>
      <c r="L24" s="53">
        <v>2</v>
      </c>
      <c r="M24" s="53" t="s">
        <v>8</v>
      </c>
      <c r="N24" s="53" t="s">
        <v>8</v>
      </c>
      <c r="O24" s="53">
        <v>1</v>
      </c>
      <c r="P24" s="53" t="s">
        <v>8</v>
      </c>
      <c r="Q24" s="53" t="s">
        <v>27</v>
      </c>
      <c r="R24" s="53" t="s">
        <v>28</v>
      </c>
      <c r="S24" s="53">
        <v>2</v>
      </c>
      <c r="T24" s="53" t="s">
        <v>0</v>
      </c>
      <c r="U24" s="53">
        <f t="shared" si="15"/>
        <v>4</v>
      </c>
      <c r="V24" s="53">
        <f t="shared" si="16"/>
        <v>4</v>
      </c>
      <c r="W24" s="53">
        <f t="shared" si="17"/>
        <v>12</v>
      </c>
      <c r="X24" s="53">
        <f t="shared" si="18"/>
        <v>34</v>
      </c>
      <c r="Y24" s="53" t="s">
        <v>38</v>
      </c>
      <c r="Z24" s="53">
        <f t="shared" si="19"/>
        <v>6</v>
      </c>
      <c r="AA24" s="53" t="s">
        <v>44</v>
      </c>
      <c r="AB24" s="53">
        <f t="shared" si="20"/>
        <v>17</v>
      </c>
      <c r="AC24" s="53">
        <f t="shared" si="21"/>
        <v>9</v>
      </c>
      <c r="AD24" s="53">
        <f t="shared" si="22"/>
        <v>12</v>
      </c>
      <c r="AE24" s="53" t="s">
        <v>38</v>
      </c>
      <c r="AF24" s="53">
        <v>4</v>
      </c>
      <c r="AG24" s="57" t="s">
        <v>92</v>
      </c>
      <c r="AH24" s="53">
        <f t="shared" si="23"/>
        <v>54</v>
      </c>
      <c r="AI24" s="53">
        <f t="shared" si="24"/>
        <v>38</v>
      </c>
      <c r="AJ24" s="53">
        <f t="shared" si="25"/>
        <v>14.44</v>
      </c>
      <c r="AK24" s="53">
        <f t="shared" si="26"/>
        <v>4.5599999999999996</v>
      </c>
      <c r="AL24" s="53">
        <f t="shared" si="27"/>
        <v>9.99</v>
      </c>
      <c r="AM24" s="53">
        <f t="shared" si="28"/>
        <v>9.0742499999999993</v>
      </c>
      <c r="AN24" s="53">
        <f t="shared" si="29"/>
        <v>111</v>
      </c>
      <c r="AO24" s="8"/>
      <c r="AP24" s="8"/>
      <c r="AQ24" s="8"/>
      <c r="AR24" s="8"/>
      <c r="AS24" s="8"/>
    </row>
    <row r="25" spans="4:45" s="30" customFormat="1" ht="45" x14ac:dyDescent="0.35">
      <c r="D25" s="85" t="s">
        <v>206</v>
      </c>
      <c r="E25" s="125" t="s">
        <v>197</v>
      </c>
      <c r="F25" s="56">
        <v>6</v>
      </c>
      <c r="G25" s="84" t="s">
        <v>58</v>
      </c>
      <c r="H25" s="84" t="s">
        <v>12</v>
      </c>
      <c r="I25" s="84" t="s">
        <v>14</v>
      </c>
      <c r="J25" s="53">
        <v>1</v>
      </c>
      <c r="K25" s="55">
        <v>2</v>
      </c>
      <c r="L25" s="53">
        <v>2</v>
      </c>
      <c r="M25" s="53" t="s">
        <v>8</v>
      </c>
      <c r="N25" s="53" t="s">
        <v>8</v>
      </c>
      <c r="O25" s="53">
        <v>1</v>
      </c>
      <c r="P25" s="53" t="s">
        <v>8</v>
      </c>
      <c r="Q25" s="53" t="s">
        <v>27</v>
      </c>
      <c r="R25" s="53" t="s">
        <v>28</v>
      </c>
      <c r="S25" s="53">
        <v>2</v>
      </c>
      <c r="T25" s="53" t="s">
        <v>0</v>
      </c>
      <c r="U25" s="53">
        <f t="shared" si="15"/>
        <v>4</v>
      </c>
      <c r="V25" s="53">
        <f t="shared" si="16"/>
        <v>4</v>
      </c>
      <c r="W25" s="53">
        <f t="shared" si="17"/>
        <v>12</v>
      </c>
      <c r="X25" s="53">
        <f t="shared" si="18"/>
        <v>34</v>
      </c>
      <c r="Y25" s="53" t="s">
        <v>38</v>
      </c>
      <c r="Z25" s="53">
        <f t="shared" si="19"/>
        <v>6</v>
      </c>
      <c r="AA25" s="53" t="s">
        <v>44</v>
      </c>
      <c r="AB25" s="53">
        <f t="shared" si="20"/>
        <v>17</v>
      </c>
      <c r="AC25" s="53">
        <f t="shared" si="21"/>
        <v>9</v>
      </c>
      <c r="AD25" s="53">
        <f t="shared" si="22"/>
        <v>12</v>
      </c>
      <c r="AE25" s="53" t="s">
        <v>38</v>
      </c>
      <c r="AF25" s="53">
        <v>5</v>
      </c>
      <c r="AG25" s="57" t="s">
        <v>92</v>
      </c>
      <c r="AH25" s="53">
        <f t="shared" si="23"/>
        <v>54</v>
      </c>
      <c r="AI25" s="53">
        <f t="shared" si="24"/>
        <v>38</v>
      </c>
      <c r="AJ25" s="53">
        <f t="shared" si="25"/>
        <v>14.44</v>
      </c>
      <c r="AK25" s="53">
        <f t="shared" si="26"/>
        <v>4.5599999999999996</v>
      </c>
      <c r="AL25" s="53">
        <f t="shared" si="27"/>
        <v>9.99</v>
      </c>
      <c r="AM25" s="53">
        <f t="shared" si="28"/>
        <v>9.0742499999999993</v>
      </c>
      <c r="AN25" s="53">
        <f t="shared" si="29"/>
        <v>111</v>
      </c>
      <c r="AO25" s="8"/>
      <c r="AP25" s="8"/>
      <c r="AQ25" s="8"/>
      <c r="AR25" s="8"/>
      <c r="AS25" s="8"/>
    </row>
    <row r="26" spans="4:45" s="30" customFormat="1" ht="60" x14ac:dyDescent="0.35">
      <c r="D26" s="85" t="s">
        <v>207</v>
      </c>
      <c r="E26" s="83" t="s">
        <v>196</v>
      </c>
      <c r="F26" s="56">
        <v>7</v>
      </c>
      <c r="G26" s="84" t="s">
        <v>58</v>
      </c>
      <c r="H26" s="84" t="s">
        <v>12</v>
      </c>
      <c r="I26" s="84" t="s">
        <v>14</v>
      </c>
      <c r="J26" s="53">
        <v>1</v>
      </c>
      <c r="K26" s="55">
        <v>2</v>
      </c>
      <c r="L26" s="53">
        <v>2</v>
      </c>
      <c r="M26" s="53" t="s">
        <v>8</v>
      </c>
      <c r="N26" s="53" t="s">
        <v>8</v>
      </c>
      <c r="O26" s="53">
        <v>1</v>
      </c>
      <c r="P26" s="53" t="s">
        <v>8</v>
      </c>
      <c r="Q26" s="53" t="s">
        <v>27</v>
      </c>
      <c r="R26" s="53" t="s">
        <v>28</v>
      </c>
      <c r="S26" s="53">
        <v>2</v>
      </c>
      <c r="T26" s="53" t="s">
        <v>0</v>
      </c>
      <c r="U26" s="53">
        <f t="shared" si="15"/>
        <v>4</v>
      </c>
      <c r="V26" s="53">
        <f t="shared" si="16"/>
        <v>4</v>
      </c>
      <c r="W26" s="53">
        <f t="shared" si="17"/>
        <v>12</v>
      </c>
      <c r="X26" s="53">
        <f t="shared" si="18"/>
        <v>34</v>
      </c>
      <c r="Y26" s="53" t="s">
        <v>38</v>
      </c>
      <c r="Z26" s="53">
        <f t="shared" si="19"/>
        <v>6</v>
      </c>
      <c r="AA26" s="53" t="s">
        <v>44</v>
      </c>
      <c r="AB26" s="53">
        <f t="shared" si="20"/>
        <v>17</v>
      </c>
      <c r="AC26" s="53">
        <f t="shared" si="21"/>
        <v>9</v>
      </c>
      <c r="AD26" s="53">
        <f t="shared" si="22"/>
        <v>12</v>
      </c>
      <c r="AE26" s="53" t="s">
        <v>38</v>
      </c>
      <c r="AF26" s="53">
        <v>6</v>
      </c>
      <c r="AG26" s="57" t="s">
        <v>92</v>
      </c>
      <c r="AH26" s="53">
        <f t="shared" si="23"/>
        <v>54</v>
      </c>
      <c r="AI26" s="53">
        <f t="shared" si="24"/>
        <v>38</v>
      </c>
      <c r="AJ26" s="53">
        <f t="shared" si="25"/>
        <v>14.44</v>
      </c>
      <c r="AK26" s="53">
        <f t="shared" si="26"/>
        <v>4.5599999999999996</v>
      </c>
      <c r="AL26" s="53">
        <f t="shared" si="27"/>
        <v>9.99</v>
      </c>
      <c r="AM26" s="53">
        <f t="shared" si="28"/>
        <v>9.0742499999999993</v>
      </c>
      <c r="AN26" s="53">
        <f t="shared" si="29"/>
        <v>111</v>
      </c>
      <c r="AO26" s="8"/>
      <c r="AP26" s="8"/>
      <c r="AQ26" s="8"/>
      <c r="AR26" s="8"/>
      <c r="AS26" s="8"/>
    </row>
    <row r="27" spans="4:45" s="30" customFormat="1" ht="30" x14ac:dyDescent="0.35">
      <c r="D27" s="85" t="s">
        <v>208</v>
      </c>
      <c r="E27" s="83" t="s">
        <v>191</v>
      </c>
      <c r="F27" s="56">
        <v>8</v>
      </c>
      <c r="G27" s="84" t="s">
        <v>58</v>
      </c>
      <c r="H27" s="84" t="s">
        <v>12</v>
      </c>
      <c r="I27" s="84" t="s">
        <v>14</v>
      </c>
      <c r="J27" s="53">
        <v>1</v>
      </c>
      <c r="K27" s="55">
        <v>2</v>
      </c>
      <c r="L27" s="53">
        <v>2</v>
      </c>
      <c r="M27" s="53" t="s">
        <v>8</v>
      </c>
      <c r="N27" s="53" t="s">
        <v>8</v>
      </c>
      <c r="O27" s="53">
        <v>1</v>
      </c>
      <c r="P27" s="53" t="s">
        <v>8</v>
      </c>
      <c r="Q27" s="53" t="s">
        <v>27</v>
      </c>
      <c r="R27" s="53" t="s">
        <v>28</v>
      </c>
      <c r="S27" s="53">
        <v>2</v>
      </c>
      <c r="T27" s="53" t="s">
        <v>0</v>
      </c>
      <c r="U27" s="53">
        <f t="shared" si="15"/>
        <v>4</v>
      </c>
      <c r="V27" s="53">
        <f t="shared" si="16"/>
        <v>4</v>
      </c>
      <c r="W27" s="53">
        <f t="shared" si="17"/>
        <v>12</v>
      </c>
      <c r="X27" s="53">
        <f t="shared" si="18"/>
        <v>34</v>
      </c>
      <c r="Y27" s="53" t="s">
        <v>38</v>
      </c>
      <c r="Z27" s="53">
        <f t="shared" si="19"/>
        <v>6</v>
      </c>
      <c r="AA27" s="53" t="s">
        <v>44</v>
      </c>
      <c r="AB27" s="53">
        <f t="shared" si="20"/>
        <v>17</v>
      </c>
      <c r="AC27" s="53">
        <f t="shared" si="21"/>
        <v>9</v>
      </c>
      <c r="AD27" s="53">
        <f t="shared" si="22"/>
        <v>12</v>
      </c>
      <c r="AE27" s="53" t="s">
        <v>38</v>
      </c>
      <c r="AF27" s="53">
        <v>7</v>
      </c>
      <c r="AG27" s="57" t="s">
        <v>92</v>
      </c>
      <c r="AH27" s="53">
        <f t="shared" si="23"/>
        <v>54</v>
      </c>
      <c r="AI27" s="53">
        <f t="shared" si="24"/>
        <v>38</v>
      </c>
      <c r="AJ27" s="53">
        <f t="shared" si="25"/>
        <v>14.44</v>
      </c>
      <c r="AK27" s="53">
        <f t="shared" si="26"/>
        <v>4.5599999999999996</v>
      </c>
      <c r="AL27" s="53">
        <f t="shared" si="27"/>
        <v>9.99</v>
      </c>
      <c r="AM27" s="53">
        <f t="shared" si="28"/>
        <v>9.0742499999999993</v>
      </c>
      <c r="AN27" s="53">
        <f t="shared" si="29"/>
        <v>111</v>
      </c>
      <c r="AO27" s="8"/>
      <c r="AP27" s="8"/>
      <c r="AQ27" s="8"/>
      <c r="AR27" s="8"/>
      <c r="AS27" s="8"/>
    </row>
    <row r="28" spans="4:45" s="30" customFormat="1" ht="30" x14ac:dyDescent="0.35">
      <c r="D28" s="85" t="s">
        <v>209</v>
      </c>
      <c r="E28" s="86" t="s">
        <v>198</v>
      </c>
      <c r="F28" s="56">
        <v>9</v>
      </c>
      <c r="G28" s="84" t="s">
        <v>58</v>
      </c>
      <c r="H28" s="84" t="s">
        <v>12</v>
      </c>
      <c r="I28" s="84" t="s">
        <v>14</v>
      </c>
      <c r="J28" s="53">
        <v>1</v>
      </c>
      <c r="K28" s="55">
        <v>2</v>
      </c>
      <c r="L28" s="53">
        <v>2</v>
      </c>
      <c r="M28" s="53" t="s">
        <v>8</v>
      </c>
      <c r="N28" s="53" t="s">
        <v>8</v>
      </c>
      <c r="O28" s="53">
        <v>1</v>
      </c>
      <c r="P28" s="53" t="s">
        <v>8</v>
      </c>
      <c r="Q28" s="53" t="s">
        <v>27</v>
      </c>
      <c r="R28" s="53" t="s">
        <v>28</v>
      </c>
      <c r="S28" s="53">
        <v>1</v>
      </c>
      <c r="T28" s="53" t="s">
        <v>0</v>
      </c>
      <c r="U28" s="53">
        <f t="shared" si="15"/>
        <v>4</v>
      </c>
      <c r="V28" s="53">
        <f t="shared" si="16"/>
        <v>2</v>
      </c>
      <c r="W28" s="53">
        <f t="shared" si="17"/>
        <v>12</v>
      </c>
      <c r="X28" s="53">
        <f t="shared" si="18"/>
        <v>34</v>
      </c>
      <c r="Y28" s="53" t="s">
        <v>38</v>
      </c>
      <c r="Z28" s="53">
        <f t="shared" si="19"/>
        <v>6</v>
      </c>
      <c r="AA28" s="53" t="s">
        <v>44</v>
      </c>
      <c r="AB28" s="53">
        <f t="shared" si="20"/>
        <v>17</v>
      </c>
      <c r="AC28" s="53">
        <f t="shared" si="21"/>
        <v>9</v>
      </c>
      <c r="AD28" s="53">
        <f t="shared" si="22"/>
        <v>12</v>
      </c>
      <c r="AE28" s="53" t="s">
        <v>38</v>
      </c>
      <c r="AF28" s="53">
        <v>10</v>
      </c>
      <c r="AG28" s="57" t="s">
        <v>92</v>
      </c>
      <c r="AH28" s="53">
        <f t="shared" si="23"/>
        <v>52</v>
      </c>
      <c r="AI28" s="53">
        <f t="shared" si="24"/>
        <v>38</v>
      </c>
      <c r="AJ28" s="53">
        <f t="shared" si="25"/>
        <v>14.44</v>
      </c>
      <c r="AK28" s="53">
        <f t="shared" si="26"/>
        <v>4.5599999999999996</v>
      </c>
      <c r="AL28" s="53">
        <f t="shared" si="27"/>
        <v>9.81</v>
      </c>
      <c r="AM28" s="53">
        <f t="shared" si="28"/>
        <v>8.9107500000000002</v>
      </c>
      <c r="AN28" s="53">
        <f t="shared" si="29"/>
        <v>109</v>
      </c>
      <c r="AO28" s="8"/>
      <c r="AP28" s="8"/>
      <c r="AQ28" s="8"/>
      <c r="AR28" s="8"/>
      <c r="AS28" s="8"/>
    </row>
    <row r="29" spans="4:45" s="30" customFormat="1" ht="30" x14ac:dyDescent="0.35">
      <c r="D29" s="85" t="s">
        <v>210</v>
      </c>
      <c r="E29" s="86" t="s">
        <v>192</v>
      </c>
      <c r="F29" s="56">
        <v>10</v>
      </c>
      <c r="G29" s="84" t="s">
        <v>58</v>
      </c>
      <c r="H29" s="84" t="s">
        <v>12</v>
      </c>
      <c r="I29" s="84" t="s">
        <v>14</v>
      </c>
      <c r="J29" s="53">
        <v>1</v>
      </c>
      <c r="K29" s="55">
        <v>2</v>
      </c>
      <c r="L29" s="53">
        <v>2</v>
      </c>
      <c r="M29" s="53" t="s">
        <v>8</v>
      </c>
      <c r="N29" s="53" t="s">
        <v>8</v>
      </c>
      <c r="O29" s="53">
        <v>1</v>
      </c>
      <c r="P29" s="53" t="s">
        <v>8</v>
      </c>
      <c r="Q29" s="53" t="s">
        <v>27</v>
      </c>
      <c r="R29" s="53" t="s">
        <v>28</v>
      </c>
      <c r="S29" s="53">
        <v>1</v>
      </c>
      <c r="T29" s="53" t="s">
        <v>0</v>
      </c>
      <c r="U29" s="53">
        <f t="shared" ref="U29" si="30">IF(EXACT("Baja",M29),4,IF(EXACT("Media",M29),8,IF(EXACT("Alta",M29),12,IF(EXACT("Muy alta",M29),16,IF(EXACT("Demasiado alta",M29),20,0)))))*(J29)*IF(EXACT("Nuevo proyecto",$E$14),1,IF(EXACT("Nuevo requerimiento - modificaciones",$E$14),0.25,IF(EXACT("Nuevo requerimiento - de cero",$E$14),1,IF(EXACT("Incidencia",$E$14),0.25,IF(EXACT("Mejora",$E$14),0.5,0)))))</f>
        <v>4</v>
      </c>
      <c r="V29" s="53">
        <f t="shared" ref="V29" si="31">IF(EXACT("Baja",T29),4,IF(EXACT("Media",T29),4.5,IF(EXACT("Alta",T29),12,IF(EXACT("Muy alta",T29),16,IF(EXACT("Demasiado alta",T29),20,0)))))*S29*IF(EXACT("Nuevo proyecto",$E$14),1,IF(EXACT("Nuevo requerimiento - modificaciones",$E$14),0.25,IF(EXACT("Nuevo requerimiento - de cero",$E$14),1,IF(EXACT("Incidencia",$E$14),0.25,IF(EXACT("Mejora",$E$14),0.5,0)))))</f>
        <v>2</v>
      </c>
      <c r="W29" s="53">
        <f t="shared" ref="W29" si="32">((IF(EXACT(H29,"Standalone"),V29*1.25,0))+IF(EXACT("Baja",M29),3,IF(EXACT("Media",M29),6,IF(EXACT("Alta",M29),9,IF(EXACT("Muy alta",M29),12,IF(EXACT("Demasiado alta",M29),15,0))))))*K29</f>
        <v>12</v>
      </c>
      <c r="X29" s="53">
        <f t="shared" ref="X29" si="33">((IF(EXACT(I29,"Standalone"),W29*0,W29*1.25))+IF(EXACT("Baja",N29),1,IF(EXACT("Media",N29),2,IF(EXACT("Alta",N29),4,IF(EXACT("Muy alta",N29),6,IF(EXACT("Demasiado alta",N29),8,0))))))*L29</f>
        <v>34</v>
      </c>
      <c r="Y29" s="53" t="s">
        <v>38</v>
      </c>
      <c r="Z29" s="53">
        <f t="shared" ref="Z29" si="34">IF(EXACT("Baja",AA29),3,IF(EXACT("Medio",AA29),6,IF(EXACT("Alta",AA29),9,IF(EXACT("Muy alta",AA29),12,IF(EXACT("Demasiado alta",AA29),15,0)))))*IF(EXACT(Y29,"SI"),1,0)</f>
        <v>6</v>
      </c>
      <c r="AA29" s="53" t="s">
        <v>44</v>
      </c>
      <c r="AB29" s="53">
        <f t="shared" ref="AB29" si="35">IF(EXACT("Baja",M29),14,IF(EXACT("Media",M29),17,IF(EXACT("Alta",M29),21.5,IF(EXACT("Muy alta",M29),25.25,IF(EXACT("Demasiado alta",M29),29,0)))))*(K29)*IF(EXACT("Nuevo proyecto",$E$14),1,IF(EXACT("Nuevo requerimiento - modificaciones",$E$14),0.25,IF(EXACT("Nuevo requerimiento - de cero",$E$14),1,IF(EXACT("Incidencia",$E$14),0.25,IF(EXACT("Mejora",$E$14),0.5,0)))))</f>
        <v>17</v>
      </c>
      <c r="AC29" s="53">
        <f t="shared" ref="AC29" si="36">IF(EXACT("Baja",M29),15,IF(EXACT("Media",M29),18,IF(EXACT("Alta",M29),22.5,IF(EXACT("Muy alta",M29),26.25,IF(EXACT("Demasiado alta",M29),30,0)))))*(J29)*IF(EXACT("Nuevo proyecto",$E$14),1,IF(EXACT("Nuevo requerimiento - modificaciones",$E$14),0.25,IF(EXACT("Nuevo requerimiento - de cero",$E$14),1,IF(EXACT("Incidencia",$E$14),0.25,IF(EXACT("Mejora",$E$14),0.5,0)))))</f>
        <v>9</v>
      </c>
      <c r="AD29" s="53">
        <f t="shared" ref="AD29" si="37">IF(EXACT("Baja",AA29),2,IF(EXACT("Medio",AA29),4,IF(EXACT("Alta",AA29),6,IF(EXACT("Muy alta",AA29),8,IF(EXACT("Demasiado alta",AA29),12,0)))))*Z29*IF(EXACT("Nuevo proyecto",$E$14),1,IF(EXACT("Nuevo requerimiento - modificaciones",$E$14),0.25,IF(EXACT("Nuevo requerimiento - de cero",$E$14),1,IF(EXACT("Incidencia",$E$14),0.25,IF(EXACT("Mejora",$E$14),0.5,0)))))</f>
        <v>12</v>
      </c>
      <c r="AE29" s="53" t="s">
        <v>38</v>
      </c>
      <c r="AF29" s="53">
        <v>10</v>
      </c>
      <c r="AG29" s="57" t="s">
        <v>92</v>
      </c>
      <c r="AH29" s="53">
        <f t="shared" ref="AH29" si="38">SUM(U29:X29)</f>
        <v>52</v>
      </c>
      <c r="AI29" s="53">
        <f t="shared" ref="AI29" si="39">AB29+AC29+AD29</f>
        <v>38</v>
      </c>
      <c r="AJ29" s="53">
        <f t="shared" ref="AJ29" si="40">AI29*0.38</f>
        <v>14.44</v>
      </c>
      <c r="AK29" s="53">
        <f t="shared" ref="AK29" si="41">AI29*0.12</f>
        <v>4.5599999999999996</v>
      </c>
      <c r="AL29" s="53">
        <f t="shared" ref="AL29" si="42">SUM(AH29:AK29)*0.09</f>
        <v>9.81</v>
      </c>
      <c r="AM29" s="53">
        <f t="shared" ref="AM29" si="43">SUM(AH29:AL29)*0.075</f>
        <v>8.9107500000000002</v>
      </c>
      <c r="AN29" s="53">
        <f t="shared" ref="AN29" si="44">SUM(AH29:AK29)</f>
        <v>109</v>
      </c>
      <c r="AO29" s="8"/>
      <c r="AP29" s="8"/>
      <c r="AQ29" s="8"/>
      <c r="AR29" s="8"/>
      <c r="AS29" s="8"/>
    </row>
    <row r="30" spans="4:45" s="30" customFormat="1" ht="34.799999999999997" x14ac:dyDescent="0.35">
      <c r="D30" s="85" t="s">
        <v>211</v>
      </c>
      <c r="E30" s="86" t="s">
        <v>195</v>
      </c>
      <c r="F30" s="56">
        <v>11</v>
      </c>
      <c r="G30" s="84" t="s">
        <v>58</v>
      </c>
      <c r="H30" s="84" t="s">
        <v>12</v>
      </c>
      <c r="I30" s="84" t="s">
        <v>14</v>
      </c>
      <c r="J30" s="53">
        <v>1</v>
      </c>
      <c r="K30" s="55">
        <v>1</v>
      </c>
      <c r="L30" s="53">
        <v>1</v>
      </c>
      <c r="M30" s="53" t="s">
        <v>0</v>
      </c>
      <c r="N30" s="53" t="s">
        <v>0</v>
      </c>
      <c r="O30" s="53">
        <v>1</v>
      </c>
      <c r="P30" s="53" t="s">
        <v>0</v>
      </c>
      <c r="Q30" s="53" t="s">
        <v>27</v>
      </c>
      <c r="R30" s="53" t="s">
        <v>28</v>
      </c>
      <c r="S30" s="53">
        <v>1</v>
      </c>
      <c r="T30" s="53" t="s">
        <v>0</v>
      </c>
      <c r="U30" s="53">
        <f t="shared" ref="U30:U32" si="45">IF(EXACT("Baja",M30),4,IF(EXACT("Media",M30),8,IF(EXACT("Alta",M30),12,IF(EXACT("Muy alta",M30),16,IF(EXACT("Demasiado alta",M30),20,0)))))*(J30)*IF(EXACT("Nuevo proyecto",$E$14),1,IF(EXACT("Nuevo requerimiento - modificaciones",$E$14),0.25,IF(EXACT("Nuevo requerimiento - de cero",$E$14),1,IF(EXACT("Incidencia",$E$14),0.25,IF(EXACT("Mejora",$E$14),0.5,0)))))</f>
        <v>2</v>
      </c>
      <c r="V30" s="53">
        <f t="shared" ref="V30:V32" si="46">IF(EXACT("Baja",T30),4,IF(EXACT("Media",T30),4.5,IF(EXACT("Alta",T30),12,IF(EXACT("Muy alta",T30),16,IF(EXACT("Demasiado alta",T30),20,0)))))*S30*IF(EXACT("Nuevo proyecto",$E$14),1,IF(EXACT("Nuevo requerimiento - modificaciones",$E$14),0.25,IF(EXACT("Nuevo requerimiento - de cero",$E$14),1,IF(EXACT("Incidencia",$E$14),0.25,IF(EXACT("Mejora",$E$14),0.5,0)))))</f>
        <v>2</v>
      </c>
      <c r="W30" s="53">
        <f t="shared" ref="W30:W32" si="47">((IF(EXACT(H30,"Standalone"),V30*1.25,0))+IF(EXACT("Baja",M30),3,IF(EXACT("Media",M30),6,IF(EXACT("Alta",M30),9,IF(EXACT("Muy alta",M30),12,IF(EXACT("Demasiado alta",M30),15,0))))))*K30</f>
        <v>3</v>
      </c>
      <c r="X30" s="53">
        <f t="shared" ref="X30:X32" si="48">((IF(EXACT(I30,"Standalone"),W30*0,W30*1.25))+IF(EXACT("Baja",N30),1,IF(EXACT("Media",N30),2,IF(EXACT("Alta",N30),4,IF(EXACT("Muy alta",N30),6,IF(EXACT("Demasiado alta",N30),8,0))))))*L30</f>
        <v>4.75</v>
      </c>
      <c r="Y30" s="53" t="s">
        <v>38</v>
      </c>
      <c r="Z30" s="53">
        <f t="shared" ref="Z30:Z32" si="49">IF(EXACT("Baja",AA30),3,IF(EXACT("Medio",AA30),6,IF(EXACT("Alta",AA30),9,IF(EXACT("Muy alta",AA30),12,IF(EXACT("Demasiado alta",AA30),15,0)))))*IF(EXACT(Y30,"SI"),1,0)</f>
        <v>6</v>
      </c>
      <c r="AA30" s="53" t="s">
        <v>44</v>
      </c>
      <c r="AB30" s="53">
        <f t="shared" ref="AB30:AB32" si="50">IF(EXACT("Baja",M30),14,IF(EXACT("Media",M30),17,IF(EXACT("Alta",M30),21.5,IF(EXACT("Muy alta",M30),25.25,IF(EXACT("Demasiado alta",M30),29,0)))))*(K30)*IF(EXACT("Nuevo proyecto",$E$14),1,IF(EXACT("Nuevo requerimiento - modificaciones",$E$14),0.25,IF(EXACT("Nuevo requerimiento - de cero",$E$14),1,IF(EXACT("Incidencia",$E$14),0.25,IF(EXACT("Mejora",$E$14),0.5,0)))))</f>
        <v>7</v>
      </c>
      <c r="AC30" s="53">
        <f t="shared" ref="AC30:AC32" si="51">IF(EXACT("Baja",M30),15,IF(EXACT("Media",M30),18,IF(EXACT("Alta",M30),22.5,IF(EXACT("Muy alta",M30),26.25,IF(EXACT("Demasiado alta",M30),30,0)))))*(J30)*IF(EXACT("Nuevo proyecto",$E$14),1,IF(EXACT("Nuevo requerimiento - modificaciones",$E$14),0.25,IF(EXACT("Nuevo requerimiento - de cero",$E$14),1,IF(EXACT("Incidencia",$E$14),0.25,IF(EXACT("Mejora",$E$14),0.5,0)))))</f>
        <v>7.5</v>
      </c>
      <c r="AD30" s="53">
        <f t="shared" ref="AD30:AD32" si="52">IF(EXACT("Baja",AA30),2,IF(EXACT("Medio",AA30),4,IF(EXACT("Alta",AA30),6,IF(EXACT("Muy alta",AA30),8,IF(EXACT("Demasiado alta",AA30),12,0)))))*Z30*IF(EXACT("Nuevo proyecto",$E$14),1,IF(EXACT("Nuevo requerimiento - modificaciones",$E$14),0.25,IF(EXACT("Nuevo requerimiento - de cero",$E$14),1,IF(EXACT("Incidencia",$E$14),0.25,IF(EXACT("Mejora",$E$14),0.5,0)))))</f>
        <v>12</v>
      </c>
      <c r="AE30" s="53" t="s">
        <v>38</v>
      </c>
      <c r="AF30" s="53">
        <v>12</v>
      </c>
      <c r="AG30" s="57" t="s">
        <v>92</v>
      </c>
      <c r="AH30" s="53">
        <f t="shared" ref="AH30:AH32" si="53">SUM(U30:X30)</f>
        <v>11.75</v>
      </c>
      <c r="AI30" s="53">
        <f t="shared" ref="AI30:AI32" si="54">AB30+AC30+AD30</f>
        <v>26.5</v>
      </c>
      <c r="AJ30" s="53">
        <f t="shared" ref="AJ30:AJ32" si="55">AI30*0.38</f>
        <v>10.07</v>
      </c>
      <c r="AK30" s="53">
        <f t="shared" ref="AK30:AK32" si="56">AI30*0.12</f>
        <v>3.1799999999999997</v>
      </c>
      <c r="AL30" s="53">
        <f t="shared" ref="AL30:AL32" si="57">SUM(AH30:AK30)*0.09</f>
        <v>4.6349999999999998</v>
      </c>
      <c r="AM30" s="53">
        <f t="shared" ref="AM30:AM32" si="58">SUM(AH30:AL30)*0.075</f>
        <v>4.2101249999999997</v>
      </c>
      <c r="AN30" s="53">
        <f t="shared" ref="AN30:AN32" si="59">SUM(AH30:AK30)</f>
        <v>51.5</v>
      </c>
      <c r="AO30" s="8"/>
      <c r="AP30" s="8"/>
      <c r="AQ30" s="8"/>
      <c r="AR30" s="8"/>
      <c r="AS30" s="8"/>
    </row>
    <row r="31" spans="4:45" s="30" customFormat="1" ht="45" x14ac:dyDescent="0.35">
      <c r="D31" s="85" t="s">
        <v>212</v>
      </c>
      <c r="E31" s="86" t="s">
        <v>200</v>
      </c>
      <c r="F31" s="56">
        <v>12</v>
      </c>
      <c r="G31" s="84" t="s">
        <v>58</v>
      </c>
      <c r="H31" s="84" t="s">
        <v>12</v>
      </c>
      <c r="I31" s="84" t="s">
        <v>14</v>
      </c>
      <c r="J31" s="53">
        <v>1</v>
      </c>
      <c r="K31" s="55">
        <v>1</v>
      </c>
      <c r="L31" s="53">
        <v>2</v>
      </c>
      <c r="M31" s="53" t="s">
        <v>8</v>
      </c>
      <c r="N31" s="53" t="s">
        <v>8</v>
      </c>
      <c r="O31" s="53">
        <v>1</v>
      </c>
      <c r="P31" s="53" t="s">
        <v>8</v>
      </c>
      <c r="Q31" s="53" t="s">
        <v>27</v>
      </c>
      <c r="R31" s="53" t="s">
        <v>28</v>
      </c>
      <c r="S31" s="53">
        <v>1</v>
      </c>
      <c r="T31" s="53" t="s">
        <v>0</v>
      </c>
      <c r="U31" s="53">
        <f t="shared" si="45"/>
        <v>4</v>
      </c>
      <c r="V31" s="53">
        <f t="shared" si="46"/>
        <v>2</v>
      </c>
      <c r="W31" s="53">
        <f t="shared" si="47"/>
        <v>6</v>
      </c>
      <c r="X31" s="53">
        <f t="shared" si="48"/>
        <v>19</v>
      </c>
      <c r="Y31" s="53" t="s">
        <v>38</v>
      </c>
      <c r="Z31" s="53">
        <f t="shared" si="49"/>
        <v>6</v>
      </c>
      <c r="AA31" s="53" t="s">
        <v>44</v>
      </c>
      <c r="AB31" s="53">
        <f t="shared" si="50"/>
        <v>8.5</v>
      </c>
      <c r="AC31" s="53">
        <f t="shared" si="51"/>
        <v>9</v>
      </c>
      <c r="AD31" s="53">
        <f t="shared" si="52"/>
        <v>12</v>
      </c>
      <c r="AE31" s="53" t="s">
        <v>38</v>
      </c>
      <c r="AF31" s="53">
        <v>14</v>
      </c>
      <c r="AG31" s="57" t="s">
        <v>92</v>
      </c>
      <c r="AH31" s="53">
        <f t="shared" si="53"/>
        <v>31</v>
      </c>
      <c r="AI31" s="53">
        <f t="shared" si="54"/>
        <v>29.5</v>
      </c>
      <c r="AJ31" s="53">
        <f t="shared" si="55"/>
        <v>11.21</v>
      </c>
      <c r="AK31" s="53">
        <f t="shared" si="56"/>
        <v>3.54</v>
      </c>
      <c r="AL31" s="53">
        <f t="shared" si="57"/>
        <v>6.7725000000000009</v>
      </c>
      <c r="AM31" s="53">
        <f t="shared" si="58"/>
        <v>6.1516875000000004</v>
      </c>
      <c r="AN31" s="53">
        <f t="shared" si="59"/>
        <v>75.250000000000014</v>
      </c>
      <c r="AO31" s="8"/>
      <c r="AP31" s="8"/>
      <c r="AQ31" s="8"/>
      <c r="AR31" s="8"/>
      <c r="AS31" s="8"/>
    </row>
    <row r="32" spans="4:45" s="30" customFormat="1" ht="45" x14ac:dyDescent="0.35">
      <c r="D32" s="85" t="s">
        <v>213</v>
      </c>
      <c r="E32" s="86" t="s">
        <v>199</v>
      </c>
      <c r="F32" s="56">
        <v>13</v>
      </c>
      <c r="G32" s="84" t="s">
        <v>58</v>
      </c>
      <c r="H32" s="84" t="s">
        <v>12</v>
      </c>
      <c r="I32" s="84" t="s">
        <v>14</v>
      </c>
      <c r="J32" s="53">
        <v>1</v>
      </c>
      <c r="K32" s="55">
        <v>2</v>
      </c>
      <c r="L32" s="53">
        <v>2</v>
      </c>
      <c r="M32" s="53" t="s">
        <v>8</v>
      </c>
      <c r="N32" s="53" t="s">
        <v>8</v>
      </c>
      <c r="O32" s="53">
        <v>1</v>
      </c>
      <c r="P32" s="53" t="s">
        <v>8</v>
      </c>
      <c r="Q32" s="53" t="s">
        <v>27</v>
      </c>
      <c r="R32" s="53" t="s">
        <v>28</v>
      </c>
      <c r="S32" s="53">
        <v>2</v>
      </c>
      <c r="T32" s="53" t="s">
        <v>0</v>
      </c>
      <c r="U32" s="53">
        <f t="shared" si="45"/>
        <v>4</v>
      </c>
      <c r="V32" s="53">
        <f t="shared" si="46"/>
        <v>4</v>
      </c>
      <c r="W32" s="53">
        <f t="shared" si="47"/>
        <v>12</v>
      </c>
      <c r="X32" s="53">
        <f t="shared" si="48"/>
        <v>34</v>
      </c>
      <c r="Y32" s="53" t="s">
        <v>38</v>
      </c>
      <c r="Z32" s="53">
        <f t="shared" si="49"/>
        <v>6</v>
      </c>
      <c r="AA32" s="53" t="s">
        <v>44</v>
      </c>
      <c r="AB32" s="53">
        <f t="shared" si="50"/>
        <v>17</v>
      </c>
      <c r="AC32" s="53">
        <f t="shared" si="51"/>
        <v>9</v>
      </c>
      <c r="AD32" s="53">
        <f t="shared" si="52"/>
        <v>12</v>
      </c>
      <c r="AE32" s="53" t="s">
        <v>38</v>
      </c>
      <c r="AF32" s="53">
        <v>15</v>
      </c>
      <c r="AG32" s="57" t="s">
        <v>92</v>
      </c>
      <c r="AH32" s="53">
        <f t="shared" si="53"/>
        <v>54</v>
      </c>
      <c r="AI32" s="53">
        <f t="shared" si="54"/>
        <v>38</v>
      </c>
      <c r="AJ32" s="53">
        <f t="shared" si="55"/>
        <v>14.44</v>
      </c>
      <c r="AK32" s="53">
        <f t="shared" si="56"/>
        <v>4.5599999999999996</v>
      </c>
      <c r="AL32" s="53">
        <f t="shared" si="57"/>
        <v>9.99</v>
      </c>
      <c r="AM32" s="53">
        <f t="shared" si="58"/>
        <v>9.0742499999999993</v>
      </c>
      <c r="AN32" s="53">
        <f t="shared" si="59"/>
        <v>111</v>
      </c>
      <c r="AO32" s="8"/>
      <c r="AP32" s="8"/>
      <c r="AQ32" s="8"/>
      <c r="AR32" s="8"/>
      <c r="AS32" s="8"/>
    </row>
    <row r="33" spans="4:67" s="30" customFormat="1" ht="45" x14ac:dyDescent="0.35">
      <c r="D33" s="85" t="s">
        <v>215</v>
      </c>
      <c r="E33" s="86" t="s">
        <v>214</v>
      </c>
      <c r="F33" s="56">
        <v>14</v>
      </c>
      <c r="G33" s="84" t="s">
        <v>58</v>
      </c>
      <c r="H33" s="84" t="s">
        <v>12</v>
      </c>
      <c r="I33" s="84" t="s">
        <v>14</v>
      </c>
      <c r="J33" s="53">
        <v>1</v>
      </c>
      <c r="K33" s="55">
        <v>3</v>
      </c>
      <c r="L33" s="53">
        <v>2</v>
      </c>
      <c r="M33" s="53" t="s">
        <v>8</v>
      </c>
      <c r="N33" s="53" t="s">
        <v>8</v>
      </c>
      <c r="O33" s="53">
        <v>1</v>
      </c>
      <c r="P33" s="53" t="s">
        <v>8</v>
      </c>
      <c r="Q33" s="53" t="s">
        <v>27</v>
      </c>
      <c r="R33" s="53" t="s">
        <v>28</v>
      </c>
      <c r="S33" s="53">
        <v>1</v>
      </c>
      <c r="T33" s="53" t="s">
        <v>0</v>
      </c>
      <c r="U33" s="53">
        <f t="shared" ref="U33" si="60">IF(EXACT("Baja",M33),4,IF(EXACT("Media",M33),8,IF(EXACT("Alta",M33),12,IF(EXACT("Muy alta",M33),16,IF(EXACT("Demasiado alta",M33),20,0)))))*(J33)*IF(EXACT("Nuevo proyecto",$E$14),1,IF(EXACT("Nuevo requerimiento - modificaciones",$E$14),0.25,IF(EXACT("Nuevo requerimiento - de cero",$E$14),1,IF(EXACT("Incidencia",$E$14),0.25,IF(EXACT("Mejora",$E$14),0.5,0)))))</f>
        <v>4</v>
      </c>
      <c r="V33" s="53">
        <f t="shared" ref="V33" si="61">IF(EXACT("Baja",T33),4,IF(EXACT("Media",T33),4.5,IF(EXACT("Alta",T33),12,IF(EXACT("Muy alta",T33),16,IF(EXACT("Demasiado alta",T33),20,0)))))*S33*IF(EXACT("Nuevo proyecto",$E$14),1,IF(EXACT("Nuevo requerimiento - modificaciones",$E$14),0.25,IF(EXACT("Nuevo requerimiento - de cero",$E$14),1,IF(EXACT("Incidencia",$E$14),0.25,IF(EXACT("Mejora",$E$14),0.5,0)))))</f>
        <v>2</v>
      </c>
      <c r="W33" s="53">
        <f t="shared" ref="W33" si="62">((IF(EXACT(H33,"Standalone"),V33*1.25,0))+IF(EXACT("Baja",M33),3,IF(EXACT("Media",M33),6,IF(EXACT("Alta",M33),9,IF(EXACT("Muy alta",M33),12,IF(EXACT("Demasiado alta",M33),15,0))))))*K33</f>
        <v>18</v>
      </c>
      <c r="X33" s="53">
        <f t="shared" ref="X33" si="63">((IF(EXACT(I33,"Standalone"),W33*0,W33*1.25))+IF(EXACT("Baja",N33),1,IF(EXACT("Media",N33),2,IF(EXACT("Alta",N33),4,IF(EXACT("Muy alta",N33),6,IF(EXACT("Demasiado alta",N33),8,0))))))*L33</f>
        <v>49</v>
      </c>
      <c r="Y33" s="53" t="s">
        <v>38</v>
      </c>
      <c r="Z33" s="53">
        <f t="shared" ref="Z33" si="64">IF(EXACT("Baja",AA33),3,IF(EXACT("Medio",AA33),6,IF(EXACT("Alta",AA33),9,IF(EXACT("Muy alta",AA33),12,IF(EXACT("Demasiado alta",AA33),15,0)))))*IF(EXACT(Y33,"SI"),1,0)</f>
        <v>6</v>
      </c>
      <c r="AA33" s="53" t="s">
        <v>44</v>
      </c>
      <c r="AB33" s="53">
        <f t="shared" ref="AB33" si="65">IF(EXACT("Baja",M33),14,IF(EXACT("Media",M33),17,IF(EXACT("Alta",M33),21.5,IF(EXACT("Muy alta",M33),25.25,IF(EXACT("Demasiado alta",M33),29,0)))))*(K33)*IF(EXACT("Nuevo proyecto",$E$14),1,IF(EXACT("Nuevo requerimiento - modificaciones",$E$14),0.25,IF(EXACT("Nuevo requerimiento - de cero",$E$14),1,IF(EXACT("Incidencia",$E$14),0.25,IF(EXACT("Mejora",$E$14),0.5,0)))))</f>
        <v>25.5</v>
      </c>
      <c r="AC33" s="53">
        <f t="shared" ref="AC33" si="66">IF(EXACT("Baja",M33),15,IF(EXACT("Media",M33),18,IF(EXACT("Alta",M33),22.5,IF(EXACT("Muy alta",M33),26.25,IF(EXACT("Demasiado alta",M33),30,0)))))*(J33)*IF(EXACT("Nuevo proyecto",$E$14),1,IF(EXACT("Nuevo requerimiento - modificaciones",$E$14),0.25,IF(EXACT("Nuevo requerimiento - de cero",$E$14),1,IF(EXACT("Incidencia",$E$14),0.25,IF(EXACT("Mejora",$E$14),0.5,0)))))</f>
        <v>9</v>
      </c>
      <c r="AD33" s="53">
        <f t="shared" ref="AD33" si="67">IF(EXACT("Baja",AA33),2,IF(EXACT("Medio",AA33),4,IF(EXACT("Alta",AA33),6,IF(EXACT("Muy alta",AA33),8,IF(EXACT("Demasiado alta",AA33),12,0)))))*Z33*IF(EXACT("Nuevo proyecto",$E$14),1,IF(EXACT("Nuevo requerimiento - modificaciones",$E$14),0.25,IF(EXACT("Nuevo requerimiento - de cero",$E$14),1,IF(EXACT("Incidencia",$E$14),0.25,IF(EXACT("Mejora",$E$14),0.5,0)))))</f>
        <v>12</v>
      </c>
      <c r="AE33" s="53" t="s">
        <v>38</v>
      </c>
      <c r="AF33" s="53">
        <v>10</v>
      </c>
      <c r="AG33" s="57" t="s">
        <v>92</v>
      </c>
      <c r="AH33" s="53">
        <f t="shared" ref="AH33" si="68">SUM(U33:X33)</f>
        <v>73</v>
      </c>
      <c r="AI33" s="53">
        <f t="shared" ref="AI33" si="69">AB33+AC33+AD33</f>
        <v>46.5</v>
      </c>
      <c r="AJ33" s="53">
        <f t="shared" ref="AJ33" si="70">AI33*0.38</f>
        <v>17.670000000000002</v>
      </c>
      <c r="AK33" s="53">
        <f t="shared" ref="AK33" si="71">AI33*0.12</f>
        <v>5.58</v>
      </c>
      <c r="AL33" s="53">
        <f t="shared" ref="AL33" si="72">SUM(AH33:AK33)*0.09</f>
        <v>12.847500000000002</v>
      </c>
      <c r="AM33" s="53">
        <f t="shared" ref="AM33" si="73">SUM(AH33:AL33)*0.075</f>
        <v>11.669812500000001</v>
      </c>
      <c r="AN33" s="53">
        <f t="shared" ref="AN33" si="74">SUM(AH33:AK33)</f>
        <v>142.75000000000003</v>
      </c>
      <c r="AO33" s="8"/>
      <c r="AP33" s="8"/>
      <c r="AQ33" s="8"/>
      <c r="AR33" s="8"/>
      <c r="AS33" s="8"/>
    </row>
    <row r="34" spans="4:67" s="30" customFormat="1" ht="20.25" customHeight="1" x14ac:dyDescent="0.35">
      <c r="D34" s="9"/>
      <c r="E34" s="26" t="s">
        <v>2</v>
      </c>
      <c r="F34" s="51">
        <f>MAX(F20:F33)</f>
        <v>14</v>
      </c>
      <c r="G34" s="42"/>
      <c r="H34" s="21"/>
      <c r="I34" s="21"/>
      <c r="J34" s="11">
        <f>SUM(J20:J33)</f>
        <v>14</v>
      </c>
      <c r="K34" s="11">
        <f>SUM(K20:K33)</f>
        <v>33</v>
      </c>
      <c r="L34" s="11"/>
      <c r="M34" s="10"/>
      <c r="N34" s="10"/>
      <c r="O34" s="11">
        <f>SUM(O20:O33)</f>
        <v>14</v>
      </c>
      <c r="P34" s="11"/>
      <c r="Q34" s="11"/>
      <c r="R34" s="11"/>
      <c r="S34" s="64">
        <f>SUM(S20:S33)</f>
        <v>20</v>
      </c>
      <c r="T34" s="64"/>
      <c r="U34" s="64">
        <f>SUM(U20:U33)</f>
        <v>48</v>
      </c>
      <c r="V34" s="64">
        <f>SUM(V20:V33)</f>
        <v>40</v>
      </c>
      <c r="W34" s="64">
        <f>SUM(W20:W33)</f>
        <v>162</v>
      </c>
      <c r="X34" s="64">
        <f>SUM(X20:X33)</f>
        <v>393.75</v>
      </c>
      <c r="Y34" s="64"/>
      <c r="Z34" s="64">
        <f>SUM(Z20:Z33)</f>
        <v>78</v>
      </c>
      <c r="AA34" s="64"/>
      <c r="AB34" s="64">
        <f>SUM(AB20:AB33)</f>
        <v>262.5</v>
      </c>
      <c r="AC34" s="64">
        <f>SUM(AC20:AC33)</f>
        <v>120</v>
      </c>
      <c r="AD34" s="64">
        <f>SUM(AD20:AD33)</f>
        <v>150</v>
      </c>
      <c r="AE34" s="64"/>
      <c r="AF34" s="64"/>
      <c r="AG34" s="64"/>
      <c r="AH34" s="64">
        <f>SUM(AH20:AH33)</f>
        <v>643.75</v>
      </c>
      <c r="AI34" s="64">
        <f>SUM(AI20:AI33)</f>
        <v>532.5</v>
      </c>
      <c r="AJ34" s="64">
        <f>SUM(AJ20:AJ33)</f>
        <v>202.35000000000002</v>
      </c>
      <c r="AK34" s="64">
        <f>SUM(AK20:AK33)</f>
        <v>63.900000000000006</v>
      </c>
      <c r="AL34" s="64"/>
      <c r="AM34" s="64"/>
      <c r="AN34" s="53">
        <f>SUM(AH34:AK34)</f>
        <v>1442.5</v>
      </c>
      <c r="AO34" s="8"/>
      <c r="AP34" s="8"/>
      <c r="AQ34" s="8"/>
      <c r="AR34" s="8"/>
      <c r="AS34" s="8"/>
    </row>
    <row r="35" spans="4:67" s="30" customFormat="1" ht="20.25" customHeight="1" x14ac:dyDescent="0.35">
      <c r="D35" s="12"/>
      <c r="E35" s="12"/>
      <c r="F35" s="12"/>
      <c r="G35" s="12"/>
      <c r="H35" s="17"/>
      <c r="I35" s="17"/>
      <c r="J35" s="1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74">
        <f>AH34/$AN$34</f>
        <v>0.44627383015597921</v>
      </c>
      <c r="AI35" s="74">
        <f>AI34/$AN$34</f>
        <v>0.36915077989601386</v>
      </c>
      <c r="AJ35" s="74">
        <f>AJ34/$AN$34</f>
        <v>0.14027729636048528</v>
      </c>
      <c r="AK35" s="74">
        <f>AK34/$AN$34</f>
        <v>4.4298093587521667E-2</v>
      </c>
      <c r="AL35" s="74">
        <f t="shared" ref="AL35:AM35" si="75">AL34/$AN$34</f>
        <v>0</v>
      </c>
      <c r="AM35" s="74">
        <f t="shared" si="75"/>
        <v>0</v>
      </c>
      <c r="AN35" s="74">
        <f>SUM(AH35:AM35)</f>
        <v>1</v>
      </c>
      <c r="AP35" s="8"/>
      <c r="AQ35" s="8"/>
      <c r="AR35" s="8"/>
      <c r="AS35" s="8"/>
    </row>
    <row r="36" spans="4:67" s="30" customFormat="1" ht="20.25" customHeight="1" x14ac:dyDescent="0.35">
      <c r="D36" s="12"/>
      <c r="E36" s="12"/>
      <c r="F36" s="12"/>
      <c r="G36" s="12"/>
      <c r="H36" s="17"/>
      <c r="I36" s="17"/>
      <c r="J36" s="17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78"/>
      <c r="AI36" s="78"/>
      <c r="AJ36" s="74"/>
      <c r="AK36" s="74"/>
      <c r="AL36" s="74"/>
      <c r="AM36" s="74"/>
      <c r="AN36" s="74"/>
      <c r="AP36" s="8"/>
      <c r="AQ36" s="8"/>
      <c r="AR36" s="8"/>
      <c r="AS36" s="8"/>
    </row>
    <row r="37" spans="4:67" s="30" customFormat="1" ht="30" customHeight="1" x14ac:dyDescent="0.35">
      <c r="D37" s="14"/>
      <c r="E37" s="27"/>
      <c r="F37" s="27"/>
      <c r="G37" s="27"/>
      <c r="H37" s="22"/>
      <c r="I37" s="22"/>
      <c r="J37" s="2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I37" s="14"/>
      <c r="AJ37" s="129" t="s">
        <v>126</v>
      </c>
      <c r="AK37" s="129"/>
      <c r="AL37" s="129"/>
      <c r="AM37" s="133">
        <f>AL46</f>
        <v>1673.3</v>
      </c>
      <c r="AN37" s="133"/>
      <c r="AP37" s="8"/>
      <c r="AQ37" s="8"/>
      <c r="AR37" s="8"/>
      <c r="AS37" s="8"/>
    </row>
    <row r="38" spans="4:67" s="30" customFormat="1" ht="30" x14ac:dyDescent="0.35">
      <c r="D38" s="14"/>
      <c r="E38" s="27"/>
      <c r="F38" s="27"/>
      <c r="G38" s="27"/>
      <c r="H38" s="22"/>
      <c r="I38" s="22"/>
      <c r="J38" s="2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I38" s="14"/>
      <c r="AJ38" s="129" t="s">
        <v>113</v>
      </c>
      <c r="AK38" s="129"/>
      <c r="AL38" s="129"/>
      <c r="AM38" s="134" t="str">
        <f>IF(AM37&lt;=Datos!S5,Datos!T4,IF(AM37&lt;=Datos!S6,Datos!T5,IF(AM37&lt;=Datos!S7,Datos!T6,IF(AM37&lt;=Datos!S8,Datos!T7,IF(AM37&lt;=Datos!S9,Datos!T8,IF(AM37&lt;=Datos!S10,Datos!T9,IF(AM37&lt;=Datos!S11,Datos!T10,IF(AM37&lt;=Datos!S12,Datos!T11,IF(AM37&lt;=Datos!S13,Datos!T12,IF(AH&lt;=Datos!S113,Datos!T13,Datos!T13))))))))))</f>
        <v>CHICO</v>
      </c>
      <c r="AN38" s="135"/>
      <c r="AO38" s="8"/>
      <c r="AP38" s="8"/>
      <c r="AQ38" s="8"/>
      <c r="AR38" s="8"/>
      <c r="AS38" s="8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</row>
    <row r="39" spans="4:67" s="30" customFormat="1" ht="68.400000000000006" x14ac:dyDescent="0.3">
      <c r="D39" s="14"/>
      <c r="E39" s="27"/>
      <c r="F39" s="27"/>
      <c r="G39" s="27"/>
      <c r="H39" s="22"/>
      <c r="I39" s="22"/>
      <c r="J39" s="2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76" t="s">
        <v>147</v>
      </c>
      <c r="AH39" s="75" t="s">
        <v>146</v>
      </c>
      <c r="AI39" s="75" t="s">
        <v>148</v>
      </c>
      <c r="AJ39" s="75" t="s">
        <v>160</v>
      </c>
      <c r="AK39" s="75" t="s">
        <v>161</v>
      </c>
      <c r="AL39" s="75" t="s">
        <v>164</v>
      </c>
      <c r="AM39" s="75" t="s">
        <v>149</v>
      </c>
      <c r="AN39" s="75" t="s">
        <v>166</v>
      </c>
      <c r="AO39" s="75" t="s">
        <v>150</v>
      </c>
      <c r="AP39" s="75" t="s">
        <v>165</v>
      </c>
      <c r="AQ39" s="75" t="s">
        <v>163</v>
      </c>
      <c r="AR39" s="75" t="s">
        <v>162</v>
      </c>
      <c r="AU39" s="90"/>
      <c r="AV39" s="91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0"/>
      <c r="BI39" s="90"/>
    </row>
    <row r="40" spans="4:67" s="30" customFormat="1" ht="22.8" x14ac:dyDescent="0.3">
      <c r="D40" s="14"/>
      <c r="E40" s="27"/>
      <c r="F40" s="27"/>
      <c r="G40" s="27"/>
      <c r="H40" s="22"/>
      <c r="I40" s="22"/>
      <c r="J40" s="2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76" t="s">
        <v>151</v>
      </c>
      <c r="AH40" s="77">
        <v>0.33</v>
      </c>
      <c r="AI40" s="76">
        <f>$AN$34*AH40</f>
        <v>476.02500000000003</v>
      </c>
      <c r="AJ40" s="76">
        <f>((AI40*0.09)/$AQ$40)</f>
        <v>42.84225</v>
      </c>
      <c r="AK40" s="76">
        <f>((AI40*0.07)/$AR$40)</f>
        <v>33.321750000000009</v>
      </c>
      <c r="AL40" s="87">
        <f>AI40+AJ40+AK40</f>
        <v>552.18900000000008</v>
      </c>
      <c r="AM40" s="87">
        <f>ROUND((AI40/(160*AP40))*20,0)</f>
        <v>30</v>
      </c>
      <c r="AN40" s="87">
        <f>ROUND(((AJ40+AK40)/(160*($AQ$40+$AR$40)))*20,0) + AM40</f>
        <v>35</v>
      </c>
      <c r="AO40" s="88">
        <f>AM40/20</f>
        <v>1.5</v>
      </c>
      <c r="AP40" s="87">
        <v>2</v>
      </c>
      <c r="AQ40" s="140">
        <v>1</v>
      </c>
      <c r="AR40" s="140">
        <v>1</v>
      </c>
      <c r="AU40" s="90"/>
      <c r="AV40" s="91"/>
      <c r="AW40" s="93"/>
      <c r="AX40" s="91"/>
      <c r="AY40" s="91"/>
      <c r="AZ40" s="91"/>
      <c r="BA40" s="91"/>
      <c r="BB40" s="91"/>
      <c r="BC40" s="91"/>
      <c r="BD40" s="94"/>
      <c r="BE40" s="91"/>
      <c r="BF40" s="91"/>
      <c r="BG40" s="91"/>
      <c r="BH40" s="90"/>
      <c r="BI40" s="90"/>
    </row>
    <row r="41" spans="4:67" s="30" customFormat="1" ht="22.8" x14ac:dyDescent="0.3">
      <c r="D41" s="14"/>
      <c r="E41" s="27"/>
      <c r="F41" s="27"/>
      <c r="G41" s="27"/>
      <c r="H41" s="22"/>
      <c r="I41" s="22"/>
      <c r="J41" s="2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76" t="s">
        <v>152</v>
      </c>
      <c r="AH41" s="77">
        <v>0.43</v>
      </c>
      <c r="AI41" s="76">
        <f t="shared" ref="AI41:AI43" si="76">$AN$34*AH41</f>
        <v>620.27499999999998</v>
      </c>
      <c r="AJ41" s="76">
        <f>((AI41*0.09)/$AQ$40)</f>
        <v>55.824749999999995</v>
      </c>
      <c r="AK41" s="76">
        <f>((AI41*0.07)/$AR$40)</f>
        <v>43.419250000000005</v>
      </c>
      <c r="AL41" s="87">
        <f t="shared" ref="AL41:AL43" si="77">AI41+AJ41+AK41</f>
        <v>719.51900000000001</v>
      </c>
      <c r="AM41" s="87">
        <f t="shared" ref="AM41:AM43" si="78">ROUND((AI41/(160*AP41))*20,0)</f>
        <v>26</v>
      </c>
      <c r="AN41" s="87">
        <f>ROUND(((AJ41+AK41)/(160*($AQ$40+$AR$40)))*20,0) + AM41</f>
        <v>32</v>
      </c>
      <c r="AO41" s="88">
        <f t="shared" ref="AO41:AO43" si="79">AM41/20</f>
        <v>1.3</v>
      </c>
      <c r="AP41" s="87">
        <v>3</v>
      </c>
      <c r="AQ41" s="141"/>
      <c r="AR41" s="141"/>
      <c r="AU41" s="90"/>
      <c r="AV41" s="91"/>
      <c r="AW41" s="93"/>
      <c r="AX41" s="91"/>
      <c r="AY41" s="91"/>
      <c r="AZ41" s="91"/>
      <c r="BA41" s="91"/>
      <c r="BB41" s="91"/>
      <c r="BC41" s="91"/>
      <c r="BD41" s="94"/>
      <c r="BE41" s="91"/>
      <c r="BF41" s="91"/>
      <c r="BG41" s="91"/>
      <c r="BH41" s="90"/>
      <c r="BI41" s="90"/>
    </row>
    <row r="42" spans="4:67" s="30" customFormat="1" ht="22.8" x14ac:dyDescent="0.3">
      <c r="D42" s="14"/>
      <c r="E42" s="27"/>
      <c r="F42" s="27"/>
      <c r="G42" s="27"/>
      <c r="H42" s="22"/>
      <c r="I42" s="22"/>
      <c r="J42" s="2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76" t="s">
        <v>153</v>
      </c>
      <c r="AH42" s="77">
        <v>0.18</v>
      </c>
      <c r="AI42" s="76">
        <f t="shared" si="76"/>
        <v>259.64999999999998</v>
      </c>
      <c r="AJ42" s="76">
        <f>((AI42*0.09)/$AQ$40)</f>
        <v>23.368499999999997</v>
      </c>
      <c r="AK42" s="76">
        <f>((AI42*0.07)/$AR$40)</f>
        <v>18.1755</v>
      </c>
      <c r="AL42" s="87">
        <f t="shared" si="77"/>
        <v>301.19399999999996</v>
      </c>
      <c r="AM42" s="87">
        <f t="shared" si="78"/>
        <v>32</v>
      </c>
      <c r="AN42" s="87">
        <f>ROUND(((AJ42+AK42)/(160*($AQ$40+$AR$40)))*20,0) + AM42</f>
        <v>35</v>
      </c>
      <c r="AO42" s="88">
        <f t="shared" si="79"/>
        <v>1.6</v>
      </c>
      <c r="AP42" s="87">
        <v>1</v>
      </c>
      <c r="AQ42" s="141"/>
      <c r="AR42" s="141"/>
      <c r="AU42" s="90"/>
      <c r="AV42" s="91"/>
      <c r="AW42" s="93"/>
      <c r="AX42" s="91"/>
      <c r="AY42" s="91"/>
      <c r="AZ42" s="91"/>
      <c r="BA42" s="91"/>
      <c r="BB42" s="91"/>
      <c r="BC42" s="91"/>
      <c r="BD42" s="94"/>
      <c r="BE42" s="91"/>
      <c r="BF42" s="91"/>
      <c r="BG42" s="91"/>
      <c r="BH42" s="90"/>
      <c r="BI42" s="90"/>
    </row>
    <row r="43" spans="4:67" s="30" customFormat="1" ht="22.8" x14ac:dyDescent="0.3">
      <c r="D43" s="14"/>
      <c r="E43" s="27"/>
      <c r="F43" s="27"/>
      <c r="G43" s="27"/>
      <c r="H43" s="22"/>
      <c r="I43" s="22"/>
      <c r="J43" s="2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76" t="s">
        <v>154</v>
      </c>
      <c r="AH43" s="77">
        <v>0.06</v>
      </c>
      <c r="AI43" s="76">
        <f t="shared" si="76"/>
        <v>86.55</v>
      </c>
      <c r="AJ43" s="76">
        <f>((AI43*0.09)/$AQ$40)</f>
        <v>7.7894999999999994</v>
      </c>
      <c r="AK43" s="76">
        <f>((AI43*0.07)/$AR$40)</f>
        <v>6.0585000000000004</v>
      </c>
      <c r="AL43" s="87">
        <f t="shared" si="77"/>
        <v>100.398</v>
      </c>
      <c r="AM43" s="87">
        <f t="shared" si="78"/>
        <v>11</v>
      </c>
      <c r="AN43" s="87">
        <f>ROUND(((AJ43+AK43)/(160*($AQ$40+$AR$40)))*20,0) + AM43</f>
        <v>12</v>
      </c>
      <c r="AO43" s="88">
        <f t="shared" si="79"/>
        <v>0.55000000000000004</v>
      </c>
      <c r="AP43" s="87">
        <v>1</v>
      </c>
      <c r="AQ43" s="142"/>
      <c r="AR43" s="142"/>
      <c r="AU43" s="90"/>
      <c r="AV43" s="91"/>
      <c r="AW43" s="93"/>
      <c r="AX43" s="91"/>
      <c r="AY43" s="91"/>
      <c r="AZ43" s="91"/>
      <c r="BA43" s="91"/>
      <c r="BB43" s="91"/>
      <c r="BC43" s="91"/>
      <c r="BD43" s="94"/>
      <c r="BE43" s="91"/>
      <c r="BF43" s="91"/>
      <c r="BG43" s="91"/>
      <c r="BH43" s="90"/>
      <c r="BI43" s="90"/>
    </row>
    <row r="44" spans="4:67" s="30" customFormat="1" ht="22.8" x14ac:dyDescent="0.3">
      <c r="D44" s="14"/>
      <c r="E44" s="27"/>
      <c r="F44" s="27"/>
      <c r="G44" s="27"/>
      <c r="H44" s="22"/>
      <c r="I44" s="22"/>
      <c r="J44" s="2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76"/>
      <c r="AH44" s="77"/>
      <c r="AI44" s="76"/>
      <c r="AJ44" s="76"/>
      <c r="AK44" s="81"/>
      <c r="AL44" s="87"/>
      <c r="AM44" s="87"/>
      <c r="AN44" s="87"/>
      <c r="AO44" s="87"/>
      <c r="AP44" s="87"/>
      <c r="AQ44" s="87"/>
      <c r="AR44" s="87"/>
      <c r="AU44" s="96"/>
      <c r="AV44" s="97"/>
      <c r="AW44" s="98"/>
      <c r="AX44" s="97"/>
      <c r="AY44" s="97"/>
      <c r="AZ44" s="97"/>
      <c r="BA44" s="97"/>
      <c r="BB44" s="97"/>
      <c r="BC44" s="97"/>
      <c r="BD44" s="99"/>
      <c r="BE44" s="97"/>
      <c r="BF44" s="91"/>
      <c r="BG44" s="91"/>
      <c r="BH44" s="90"/>
      <c r="BI44" s="90"/>
    </row>
    <row r="45" spans="4:67" s="30" customFormat="1" ht="22.8" x14ac:dyDescent="0.3">
      <c r="D45" s="14"/>
      <c r="E45" s="27"/>
      <c r="F45" s="27"/>
      <c r="G45" s="27"/>
      <c r="H45" s="22"/>
      <c r="I45" s="22"/>
      <c r="J45" s="2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76"/>
      <c r="AH45" s="77"/>
      <c r="AI45" s="76"/>
      <c r="AJ45" s="76"/>
      <c r="AK45" s="81"/>
      <c r="AL45" s="87"/>
      <c r="AM45" s="87"/>
      <c r="AN45" s="87"/>
      <c r="AO45" s="87"/>
      <c r="AP45" s="87"/>
      <c r="AQ45" s="87"/>
      <c r="AR45" s="87"/>
      <c r="AU45" s="96"/>
      <c r="AV45" s="97"/>
      <c r="AW45" s="98"/>
      <c r="AX45" s="97"/>
      <c r="AY45" s="97"/>
      <c r="AZ45" s="97"/>
      <c r="BA45" s="97"/>
      <c r="BB45" s="97"/>
      <c r="BC45" s="97"/>
      <c r="BD45" s="99"/>
      <c r="BE45" s="97"/>
      <c r="BF45" s="91"/>
      <c r="BG45" s="91"/>
      <c r="BH45" s="90"/>
      <c r="BI45" s="90"/>
    </row>
    <row r="46" spans="4:67" s="30" customFormat="1" ht="22.8" x14ac:dyDescent="0.35">
      <c r="D46" s="14"/>
      <c r="E46" s="27"/>
      <c r="F46" s="27"/>
      <c r="G46" s="27"/>
      <c r="H46" s="22"/>
      <c r="I46" s="22"/>
      <c r="J46" s="2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79" t="s">
        <v>159</v>
      </c>
      <c r="AH46" s="80">
        <f>SUM(AH40:AH45)</f>
        <v>1</v>
      </c>
      <c r="AI46" s="79">
        <f>SUM(AI40:AI45)</f>
        <v>1442.4999999999998</v>
      </c>
      <c r="AJ46" s="79">
        <f>SUM(AJ40:AJ45)</f>
        <v>129.82499999999999</v>
      </c>
      <c r="AK46" s="82">
        <f t="shared" ref="AK46:AO46" si="80">SUM(AK40:AK45)</f>
        <v>100.97500000000001</v>
      </c>
      <c r="AL46" s="79">
        <f t="shared" si="80"/>
        <v>1673.3</v>
      </c>
      <c r="AM46" s="79">
        <f t="shared" si="80"/>
        <v>99</v>
      </c>
      <c r="AN46" s="79">
        <f t="shared" si="80"/>
        <v>114</v>
      </c>
      <c r="AO46" s="89">
        <f t="shared" si="80"/>
        <v>4.95</v>
      </c>
      <c r="AP46" s="143">
        <f>SUM(AP40:AP45) +AQ40+AR40</f>
        <v>9</v>
      </c>
      <c r="AQ46" s="144"/>
      <c r="AR46" s="145"/>
      <c r="AU46" s="96"/>
      <c r="AV46" s="97"/>
      <c r="AW46" s="98"/>
      <c r="AX46" s="97"/>
      <c r="AY46" s="97"/>
      <c r="AZ46" s="97"/>
      <c r="BA46" s="97"/>
      <c r="BB46" s="97"/>
      <c r="BC46" s="97"/>
      <c r="BD46" s="99"/>
      <c r="BE46" s="97"/>
      <c r="BF46" s="95"/>
      <c r="BG46" s="90"/>
      <c r="BH46" s="90"/>
      <c r="BI46" s="90"/>
    </row>
    <row r="47" spans="4:67" s="30" customFormat="1" ht="39.9" customHeight="1" x14ac:dyDescent="0.35">
      <c r="D47" s="14"/>
      <c r="E47" s="27"/>
      <c r="F47" s="27"/>
      <c r="G47" s="27"/>
      <c r="H47" s="22"/>
      <c r="I47" s="22"/>
      <c r="J47" s="2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I47" s="14"/>
      <c r="AJ47" s="129" t="s">
        <v>40</v>
      </c>
      <c r="AK47" s="129"/>
      <c r="AL47" s="129"/>
      <c r="AM47" s="136">
        <f>SUM(AO40:AO45)</f>
        <v>4.95</v>
      </c>
      <c r="AN47" s="136"/>
      <c r="AO47" s="8"/>
      <c r="AP47" s="8"/>
      <c r="AQ47" s="8"/>
      <c r="AR47" s="8"/>
      <c r="AS47" s="8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0"/>
      <c r="BG47" s="90"/>
      <c r="BH47" s="90"/>
      <c r="BI47" s="90"/>
    </row>
    <row r="48" spans="4:67" s="30" customFormat="1" ht="45.75" customHeight="1" thickBot="1" x14ac:dyDescent="0.9">
      <c r="D48" s="14"/>
      <c r="E48" s="132" t="s">
        <v>77</v>
      </c>
      <c r="F48" s="132"/>
      <c r="G48" s="27"/>
      <c r="H48" s="22"/>
      <c r="I48" s="22"/>
      <c r="J48" s="2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I48" s="14"/>
      <c r="AJ48" s="130" t="s">
        <v>41</v>
      </c>
      <c r="AK48" s="130"/>
      <c r="AL48" s="130"/>
      <c r="AM48" s="131">
        <f>ROUND(AM47*30,0)</f>
        <v>149</v>
      </c>
      <c r="AN48" s="131"/>
      <c r="AO48" s="8"/>
      <c r="AP48" s="8"/>
      <c r="AQ48" s="8"/>
      <c r="AR48" s="8"/>
      <c r="AS48" s="8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100"/>
      <c r="BF48" s="90"/>
      <c r="BG48" s="90"/>
      <c r="BH48" s="90"/>
      <c r="BI48" s="90"/>
      <c r="BJ48" s="65"/>
      <c r="BK48" s="71"/>
      <c r="BL48" s="70"/>
      <c r="BM48" s="66"/>
      <c r="BO48" s="65"/>
    </row>
    <row r="49" spans="4:65" s="30" customFormat="1" ht="61.5" customHeight="1" thickBot="1" x14ac:dyDescent="0.9">
      <c r="D49" s="14"/>
      <c r="E49" s="28" t="s">
        <v>42</v>
      </c>
      <c r="F49" s="23" t="s">
        <v>32</v>
      </c>
      <c r="G49" s="25"/>
      <c r="H49" s="25"/>
      <c r="I49" s="18"/>
      <c r="J49" s="31"/>
      <c r="K49" s="1"/>
      <c r="L49" s="1"/>
      <c r="M49" s="1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I49" s="14"/>
      <c r="AJ49" s="130" t="s">
        <v>127</v>
      </c>
      <c r="AK49" s="130"/>
      <c r="AL49" s="130"/>
      <c r="AM49" s="131">
        <v>200</v>
      </c>
      <c r="AN49" s="131"/>
      <c r="AO49" s="13"/>
      <c r="AP49" s="13"/>
      <c r="AQ49" s="13"/>
      <c r="AR49" s="13"/>
      <c r="AS49" s="13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K49" s="71"/>
      <c r="BL49" s="70"/>
      <c r="BM49" s="66"/>
    </row>
    <row r="50" spans="4:65" s="30" customFormat="1" ht="63.75" customHeight="1" x14ac:dyDescent="0.85">
      <c r="D50" s="1"/>
      <c r="E50" s="25" t="s">
        <v>43</v>
      </c>
      <c r="F50" s="18" t="s">
        <v>0</v>
      </c>
      <c r="G50" s="25"/>
      <c r="H50" s="18"/>
      <c r="I50" s="18"/>
      <c r="J50" s="31"/>
      <c r="K50" s="1"/>
      <c r="L50" s="1"/>
      <c r="M50" s="1"/>
      <c r="N50" s="1"/>
      <c r="O50" s="4"/>
      <c r="P50" s="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I50" s="5"/>
      <c r="AJ50" s="130" t="s">
        <v>128</v>
      </c>
      <c r="AK50" s="130"/>
      <c r="AL50" s="130"/>
      <c r="AM50" s="126">
        <f>AM37*AM49</f>
        <v>334660</v>
      </c>
      <c r="AN50" s="126"/>
      <c r="AO50" s="13"/>
      <c r="AP50" s="13"/>
      <c r="AQ50" s="13"/>
      <c r="AR50" s="13"/>
      <c r="AS50" s="13"/>
      <c r="AU50" s="73"/>
      <c r="AV50" s="72"/>
      <c r="BB50" s="67"/>
      <c r="BC50" s="67"/>
      <c r="BK50" s="71"/>
      <c r="BL50" s="70"/>
      <c r="BM50" s="66"/>
    </row>
    <row r="51" spans="4:65" s="30" customFormat="1" ht="57.75" customHeight="1" x14ac:dyDescent="0.85">
      <c r="D51" s="1"/>
      <c r="E51" s="25" t="s">
        <v>48</v>
      </c>
      <c r="F51" s="18" t="s">
        <v>44</v>
      </c>
      <c r="G51" s="25"/>
      <c r="H51" s="18"/>
      <c r="I51" s="18"/>
      <c r="J51" s="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I51" s="1"/>
      <c r="AJ51" s="130" t="s">
        <v>130</v>
      </c>
      <c r="AK51" s="130"/>
      <c r="AL51" s="130"/>
      <c r="AM51" s="127">
        <v>0</v>
      </c>
      <c r="AN51" s="127"/>
      <c r="AO51" s="13"/>
      <c r="AP51" s="13"/>
      <c r="AQ51" s="13"/>
      <c r="AR51" s="13"/>
      <c r="AS51" s="13"/>
      <c r="AU51" s="73"/>
      <c r="AV51" s="69"/>
      <c r="BB51" s="67"/>
      <c r="BC51" s="67"/>
      <c r="BK51" s="71"/>
      <c r="BL51" s="70"/>
      <c r="BM51" s="66"/>
    </row>
    <row r="52" spans="4:65" s="30" customFormat="1" ht="57.75" customHeight="1" x14ac:dyDescent="0.85">
      <c r="D52" s="1"/>
      <c r="E52" s="25" t="s">
        <v>49</v>
      </c>
      <c r="F52" s="18" t="s">
        <v>1</v>
      </c>
      <c r="G52" s="25"/>
      <c r="H52" s="18"/>
      <c r="I52" s="18"/>
      <c r="J52" s="3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I52" s="1"/>
      <c r="AJ52" s="130" t="s">
        <v>131</v>
      </c>
      <c r="AK52" s="130"/>
      <c r="AL52" s="130"/>
      <c r="AM52" s="128">
        <f>AM50*AM51</f>
        <v>0</v>
      </c>
      <c r="AN52" s="128"/>
      <c r="AO52" s="13"/>
      <c r="AP52" s="13"/>
      <c r="AQ52" s="13"/>
      <c r="AR52" s="13"/>
      <c r="AS52" s="13"/>
      <c r="AU52" s="73"/>
      <c r="AV52" s="69"/>
      <c r="BB52" s="67"/>
      <c r="BC52" s="67"/>
      <c r="BK52" s="71"/>
      <c r="BM52" s="66"/>
    </row>
    <row r="53" spans="4:65" s="30" customFormat="1" ht="57.75" customHeight="1" x14ac:dyDescent="1.1000000000000001">
      <c r="D53" s="1"/>
      <c r="E53" s="25"/>
      <c r="F53" s="33"/>
      <c r="G53" s="25"/>
      <c r="H53" s="33"/>
      <c r="I53" s="33"/>
      <c r="J53" s="3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I53" s="1"/>
      <c r="AJ53" s="130" t="s">
        <v>129</v>
      </c>
      <c r="AK53" s="130"/>
      <c r="AL53" s="130"/>
      <c r="AM53" s="126">
        <f>AM50-AM52</f>
        <v>334660</v>
      </c>
      <c r="AN53" s="126"/>
      <c r="AO53" s="13"/>
      <c r="AP53" s="13"/>
      <c r="AQ53" s="13"/>
      <c r="AR53" s="13"/>
      <c r="AS53" s="13"/>
      <c r="AV53" s="69"/>
      <c r="BB53" s="67"/>
      <c r="BC53" s="67"/>
      <c r="BM53" s="68"/>
    </row>
    <row r="54" spans="4:65" s="30" customFormat="1" ht="57.75" customHeight="1" x14ac:dyDescent="0.85">
      <c r="D54" s="1"/>
      <c r="E54" s="25" t="s">
        <v>45</v>
      </c>
      <c r="F54" s="18" t="s">
        <v>46</v>
      </c>
      <c r="G54" s="25"/>
      <c r="H54" s="18"/>
      <c r="I54" s="18"/>
      <c r="J54" s="3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O54" s="13"/>
      <c r="AP54" s="13"/>
      <c r="AQ54" s="13"/>
      <c r="AR54" s="13"/>
      <c r="AS54" s="13"/>
      <c r="AU54" s="73"/>
      <c r="AV54" s="69"/>
      <c r="BI54" s="73"/>
    </row>
    <row r="55" spans="4:65" s="30" customFormat="1" ht="57.75" customHeight="1" x14ac:dyDescent="0.3">
      <c r="D55" s="1"/>
      <c r="E55" s="25" t="s">
        <v>50</v>
      </c>
      <c r="F55" s="18" t="s">
        <v>51</v>
      </c>
      <c r="G55" s="25"/>
      <c r="H55" s="18"/>
      <c r="I55" s="18"/>
      <c r="J55" s="3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/>
      <c r="AO55" s="13"/>
      <c r="AP55" s="13"/>
      <c r="AQ55" s="13"/>
      <c r="AR55" s="13"/>
      <c r="AS55" s="13"/>
    </row>
    <row r="56" spans="4:65" s="30" customFormat="1" ht="57.75" customHeight="1" x14ac:dyDescent="0.3">
      <c r="D56" s="1"/>
      <c r="E56" s="25" t="s">
        <v>47</v>
      </c>
      <c r="F56" s="18" t="s">
        <v>46</v>
      </c>
      <c r="G56" s="25"/>
      <c r="H56" s="18"/>
      <c r="I56" s="18"/>
      <c r="J56" s="3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3"/>
      <c r="AP56" s="13"/>
      <c r="AQ56" s="13"/>
      <c r="AR56" s="13"/>
      <c r="AS56" s="13"/>
    </row>
    <row r="57" spans="4:65" s="30" customFormat="1" ht="57.75" customHeight="1" x14ac:dyDescent="0.3">
      <c r="D57" s="1"/>
      <c r="E57" s="25"/>
      <c r="F57" s="25"/>
      <c r="G57" s="25"/>
      <c r="H57" s="18"/>
      <c r="I57" s="18"/>
      <c r="J57" s="3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3"/>
      <c r="AP57" s="13"/>
      <c r="AQ57" s="13"/>
      <c r="AR57" s="13"/>
      <c r="AS57" s="13"/>
    </row>
    <row r="58" spans="4:65" s="30" customFormat="1" ht="57.75" customHeight="1" x14ac:dyDescent="0.3">
      <c r="D58" s="1"/>
      <c r="E58" s="25"/>
      <c r="F58" s="25"/>
      <c r="G58" s="25"/>
      <c r="H58" s="18"/>
      <c r="I58" s="18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3"/>
      <c r="AP58" s="13"/>
      <c r="AQ58" s="13"/>
      <c r="AR58" s="13"/>
      <c r="AS58" s="13"/>
    </row>
    <row r="59" spans="4:65" s="30" customFormat="1" ht="57.75" customHeight="1" x14ac:dyDescent="0.3">
      <c r="D59" s="1"/>
      <c r="E59" s="25"/>
      <c r="F59" s="25"/>
      <c r="G59" s="25"/>
      <c r="H59" s="18"/>
      <c r="I59" s="18"/>
      <c r="J59" s="3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3"/>
      <c r="AP59" s="13"/>
      <c r="AQ59" s="13"/>
      <c r="AR59" s="13"/>
      <c r="AS59" s="13"/>
    </row>
    <row r="60" spans="4:65" s="30" customFormat="1" ht="57.75" customHeight="1" x14ac:dyDescent="0.3">
      <c r="D60" s="1"/>
      <c r="E60" s="25"/>
      <c r="F60" s="25"/>
      <c r="G60" s="25"/>
      <c r="H60" s="18"/>
      <c r="I60" s="18"/>
      <c r="J60" s="3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3"/>
      <c r="AP60" s="13"/>
      <c r="AQ60" s="13"/>
      <c r="AR60" s="13"/>
      <c r="AS60" s="13"/>
    </row>
    <row r="61" spans="4:65" s="30" customFormat="1" ht="57.75" customHeight="1" x14ac:dyDescent="0.3">
      <c r="D61" s="1"/>
      <c r="E61" s="25"/>
      <c r="F61" s="25"/>
      <c r="G61" s="25"/>
      <c r="H61" s="18"/>
      <c r="I61" s="18"/>
      <c r="J61" s="3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3"/>
      <c r="AP61" s="13"/>
      <c r="AQ61" s="13"/>
      <c r="AR61" s="13"/>
      <c r="AS61" s="13"/>
    </row>
    <row r="62" spans="4:65" s="30" customFormat="1" ht="57.75" customHeight="1" x14ac:dyDescent="0.3">
      <c r="D62" s="1"/>
      <c r="E62" s="25"/>
      <c r="F62" s="25"/>
      <c r="G62" s="25"/>
      <c r="H62" s="18"/>
      <c r="I62" s="18"/>
      <c r="J62" s="3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3"/>
      <c r="AP62" s="13"/>
      <c r="AQ62" s="13"/>
      <c r="AR62" s="13"/>
      <c r="AS62" s="13"/>
    </row>
    <row r="63" spans="4:65" s="30" customFormat="1" ht="57.75" customHeight="1" x14ac:dyDescent="0.3">
      <c r="D63" s="1"/>
      <c r="E63" s="25"/>
      <c r="F63" s="25"/>
      <c r="G63" s="25"/>
      <c r="H63" s="18"/>
      <c r="I63" s="18"/>
      <c r="J63" s="3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3"/>
      <c r="AP63" s="13"/>
      <c r="AQ63" s="13"/>
      <c r="AR63" s="13"/>
      <c r="AS63" s="13"/>
    </row>
    <row r="64" spans="4:65" s="30" customFormat="1" ht="57.75" customHeight="1" x14ac:dyDescent="0.3">
      <c r="D64" s="1"/>
      <c r="E64" s="25"/>
      <c r="F64" s="25"/>
      <c r="G64" s="25"/>
      <c r="H64" s="18"/>
      <c r="I64" s="18"/>
      <c r="J64" s="3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3"/>
      <c r="AP64" s="13"/>
      <c r="AQ64" s="13"/>
      <c r="AR64" s="13"/>
      <c r="AS64" s="13"/>
    </row>
    <row r="65" spans="4:45" s="30" customFormat="1" ht="57.75" customHeight="1" x14ac:dyDescent="0.3">
      <c r="D65" s="1"/>
      <c r="E65" s="25"/>
      <c r="F65" s="25"/>
      <c r="G65" s="25"/>
      <c r="H65" s="18"/>
      <c r="I65" s="18"/>
      <c r="J65" s="3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3"/>
      <c r="AP65" s="13"/>
      <c r="AQ65" s="13"/>
      <c r="AR65" s="13"/>
      <c r="AS65" s="13"/>
    </row>
    <row r="66" spans="4:45" s="30" customFormat="1" ht="57.75" customHeight="1" x14ac:dyDescent="0.3">
      <c r="D66"/>
      <c r="E66"/>
      <c r="H66"/>
      <c r="I66"/>
      <c r="K66"/>
      <c r="N66"/>
      <c r="O66"/>
      <c r="P66"/>
      <c r="Q66"/>
      <c r="R66"/>
      <c r="S66"/>
      <c r="T66"/>
      <c r="V66"/>
      <c r="W66"/>
      <c r="Z66"/>
      <c r="AA66"/>
      <c r="AB66"/>
      <c r="AE66"/>
      <c r="AF66"/>
      <c r="AH66"/>
      <c r="AI66" s="1"/>
      <c r="AJ66" s="1"/>
      <c r="AK66" s="1"/>
      <c r="AL66" s="1"/>
      <c r="AM66" s="1"/>
      <c r="AN66" s="1"/>
      <c r="AO66" s="13"/>
      <c r="AP66" s="13"/>
      <c r="AQ66" s="13"/>
      <c r="AR66" s="13"/>
      <c r="AS66" s="13"/>
    </row>
    <row r="67" spans="4:45" s="30" customFormat="1" ht="57.75" customHeight="1" x14ac:dyDescent="0.3">
      <c r="D67"/>
      <c r="E67"/>
      <c r="H67"/>
      <c r="I67"/>
      <c r="K67"/>
      <c r="N67"/>
      <c r="O67"/>
      <c r="P67"/>
      <c r="Q67"/>
      <c r="R67"/>
      <c r="S67"/>
      <c r="T67"/>
      <c r="V67"/>
      <c r="W67"/>
      <c r="Z67"/>
      <c r="AA67"/>
      <c r="AB67"/>
      <c r="AE67"/>
      <c r="AF67"/>
      <c r="AH67"/>
      <c r="AI67" s="1"/>
      <c r="AJ67" s="1"/>
      <c r="AK67" s="1"/>
      <c r="AL67" s="1"/>
      <c r="AM67" s="1"/>
      <c r="AN67" s="1"/>
      <c r="AO67" s="13"/>
      <c r="AP67" s="13"/>
      <c r="AQ67" s="13"/>
      <c r="AR67" s="13"/>
      <c r="AS67" s="13"/>
    </row>
    <row r="68" spans="4:45" s="30" customFormat="1" ht="57.75" customHeight="1" x14ac:dyDescent="0.3">
      <c r="D68"/>
      <c r="E68"/>
      <c r="H68"/>
      <c r="I68"/>
      <c r="K68"/>
      <c r="N68"/>
      <c r="O68"/>
      <c r="P68"/>
      <c r="Q68"/>
      <c r="R68"/>
      <c r="S68"/>
      <c r="T68"/>
      <c r="V68"/>
      <c r="W68"/>
      <c r="Z68"/>
      <c r="AA68"/>
      <c r="AB68"/>
      <c r="AE68"/>
      <c r="AF68"/>
      <c r="AH68"/>
      <c r="AI68" s="1"/>
      <c r="AJ68" s="1"/>
      <c r="AK68" s="1"/>
      <c r="AL68" s="1"/>
      <c r="AM68" s="1"/>
      <c r="AN68" s="1"/>
      <c r="AO68" s="13"/>
      <c r="AP68" s="13"/>
      <c r="AQ68" s="13"/>
      <c r="AR68" s="13"/>
      <c r="AS68" s="13"/>
    </row>
    <row r="69" spans="4:45" s="30" customFormat="1" ht="57.75" customHeight="1" x14ac:dyDescent="0.3">
      <c r="D69"/>
      <c r="E69"/>
      <c r="H69"/>
      <c r="I69"/>
      <c r="K69"/>
      <c r="N69"/>
      <c r="O69"/>
      <c r="P69"/>
      <c r="Q69"/>
      <c r="R69"/>
      <c r="S69"/>
      <c r="T69"/>
      <c r="V69"/>
      <c r="W69"/>
      <c r="Z69"/>
      <c r="AA69"/>
      <c r="AB69"/>
      <c r="AE69"/>
      <c r="AF69"/>
      <c r="AH69"/>
      <c r="AI69" s="1"/>
      <c r="AJ69" s="1"/>
      <c r="AK69" s="1"/>
      <c r="AL69" s="1"/>
      <c r="AM69" s="1"/>
      <c r="AN69" s="1"/>
      <c r="AO69" s="13"/>
      <c r="AP69" s="13"/>
      <c r="AQ69" s="13"/>
      <c r="AR69" s="13"/>
      <c r="AS69" s="13"/>
    </row>
    <row r="70" spans="4:45" s="30" customFormat="1" ht="57.75" customHeight="1" x14ac:dyDescent="0.3">
      <c r="D70"/>
      <c r="E70"/>
      <c r="H70"/>
      <c r="I70"/>
      <c r="K70"/>
      <c r="N70"/>
      <c r="O70"/>
      <c r="P70"/>
      <c r="Q70"/>
      <c r="R70"/>
      <c r="S70"/>
      <c r="T70"/>
      <c r="V70"/>
      <c r="W70"/>
      <c r="Z70"/>
      <c r="AA70"/>
      <c r="AB70"/>
      <c r="AE70"/>
      <c r="AF70"/>
      <c r="AH70"/>
      <c r="AI70" s="1"/>
      <c r="AJ70" s="1"/>
      <c r="AK70" s="1"/>
      <c r="AL70" s="1"/>
      <c r="AM70" s="1"/>
      <c r="AN70" s="1"/>
      <c r="AO70" s="13"/>
      <c r="AP70" s="13"/>
      <c r="AQ70" s="13"/>
      <c r="AR70" s="13"/>
      <c r="AS70" s="13"/>
    </row>
    <row r="71" spans="4:45" s="30" customFormat="1" ht="57.75" customHeight="1" x14ac:dyDescent="0.3">
      <c r="D71"/>
      <c r="E71"/>
      <c r="H71"/>
      <c r="I71"/>
      <c r="K71"/>
      <c r="N71"/>
      <c r="O71"/>
      <c r="P71"/>
      <c r="Q71"/>
      <c r="R71"/>
      <c r="S71"/>
      <c r="T71"/>
      <c r="V71"/>
      <c r="W71"/>
      <c r="Z71"/>
      <c r="AA71"/>
      <c r="AB71"/>
      <c r="AE71"/>
      <c r="AF71"/>
      <c r="AH71"/>
      <c r="AI71" s="1"/>
      <c r="AJ71" s="1"/>
      <c r="AK71" s="1"/>
      <c r="AL71" s="1"/>
      <c r="AM71" s="1"/>
      <c r="AN71" s="1"/>
      <c r="AO71" s="13"/>
      <c r="AP71" s="13"/>
      <c r="AQ71" s="13"/>
      <c r="AR71" s="13"/>
      <c r="AS71" s="13"/>
    </row>
    <row r="72" spans="4:45" s="30" customFormat="1" ht="57.75" customHeight="1" x14ac:dyDescent="0.3">
      <c r="D72"/>
      <c r="E72"/>
      <c r="H72"/>
      <c r="I72"/>
      <c r="K72"/>
      <c r="N72"/>
      <c r="O72"/>
      <c r="P72"/>
      <c r="Q72"/>
      <c r="R72"/>
      <c r="S72"/>
      <c r="T72"/>
      <c r="V72"/>
      <c r="W72"/>
      <c r="Z72"/>
      <c r="AA72"/>
      <c r="AB72"/>
      <c r="AE72"/>
      <c r="AF72"/>
      <c r="AH72"/>
      <c r="AI72" s="1"/>
      <c r="AJ72" s="1"/>
      <c r="AK72" s="1"/>
      <c r="AL72" s="1"/>
      <c r="AM72" s="1"/>
      <c r="AN72" s="1"/>
      <c r="AO72" s="13"/>
      <c r="AP72" s="13"/>
      <c r="AQ72" s="13"/>
      <c r="AR72" s="13"/>
      <c r="AS72" s="13"/>
    </row>
    <row r="73" spans="4:45" s="30" customFormat="1" ht="57.75" customHeight="1" x14ac:dyDescent="0.3">
      <c r="D73"/>
      <c r="E73"/>
      <c r="H73"/>
      <c r="I73"/>
      <c r="K73"/>
      <c r="N73"/>
      <c r="O73"/>
      <c r="P73"/>
      <c r="Q73"/>
      <c r="R73"/>
      <c r="S73"/>
      <c r="T73"/>
      <c r="V73"/>
      <c r="W73"/>
      <c r="Z73"/>
      <c r="AA73"/>
      <c r="AB73"/>
      <c r="AE73"/>
      <c r="AF73"/>
      <c r="AH73"/>
      <c r="AI73" s="1"/>
      <c r="AJ73" s="1"/>
      <c r="AK73" s="1"/>
      <c r="AL73" s="1"/>
      <c r="AM73" s="1"/>
      <c r="AN73" s="1"/>
      <c r="AO73" s="13"/>
      <c r="AP73" s="13"/>
      <c r="AQ73" s="13"/>
      <c r="AR73" s="13"/>
      <c r="AS73" s="13"/>
    </row>
    <row r="74" spans="4:45" s="30" customFormat="1" ht="57.75" customHeight="1" x14ac:dyDescent="0.3">
      <c r="D74"/>
      <c r="E74"/>
      <c r="H74"/>
      <c r="I74"/>
      <c r="K74"/>
      <c r="N74"/>
      <c r="O74"/>
      <c r="P74"/>
      <c r="Q74"/>
      <c r="R74"/>
      <c r="S74"/>
      <c r="T74"/>
      <c r="V74"/>
      <c r="W74"/>
      <c r="Z74"/>
      <c r="AA74"/>
      <c r="AB74"/>
      <c r="AE74"/>
      <c r="AF74"/>
      <c r="AH74"/>
      <c r="AI74" s="1"/>
      <c r="AJ74" s="1"/>
      <c r="AK74" s="1"/>
      <c r="AL74" s="1"/>
      <c r="AM74" s="1"/>
      <c r="AN74" s="1"/>
      <c r="AO74" s="13"/>
      <c r="AP74" s="13"/>
      <c r="AQ74" s="13"/>
      <c r="AR74" s="13"/>
      <c r="AS74" s="13"/>
    </row>
    <row r="75" spans="4:45" s="30" customFormat="1" ht="57.75" customHeight="1" x14ac:dyDescent="0.3">
      <c r="D75"/>
      <c r="E75"/>
      <c r="H75"/>
      <c r="I75"/>
      <c r="K75"/>
      <c r="N75"/>
      <c r="O75"/>
      <c r="P75"/>
      <c r="Q75"/>
      <c r="R75"/>
      <c r="S75"/>
      <c r="T75"/>
      <c r="V75"/>
      <c r="W75"/>
      <c r="Z75"/>
      <c r="AA75"/>
      <c r="AB75"/>
      <c r="AE75"/>
      <c r="AF75"/>
      <c r="AH75"/>
      <c r="AI75" s="1"/>
      <c r="AJ75" s="1"/>
      <c r="AK75" s="1"/>
      <c r="AL75" s="1"/>
      <c r="AM75" s="1"/>
      <c r="AN75" s="1"/>
      <c r="AO75" s="13"/>
      <c r="AP75" s="13"/>
      <c r="AQ75" s="13"/>
      <c r="AR75" s="13"/>
      <c r="AS75" s="13"/>
    </row>
    <row r="76" spans="4:45" s="30" customFormat="1" ht="57.75" customHeight="1" x14ac:dyDescent="0.3">
      <c r="D76"/>
      <c r="E76"/>
      <c r="H76"/>
      <c r="I76"/>
      <c r="K76"/>
      <c r="N76"/>
      <c r="O76"/>
      <c r="P76"/>
      <c r="Q76"/>
      <c r="R76"/>
      <c r="S76"/>
      <c r="T76"/>
      <c r="V76"/>
      <c r="W76"/>
      <c r="Z76"/>
      <c r="AA76"/>
      <c r="AB76"/>
      <c r="AE76"/>
      <c r="AF76"/>
      <c r="AH76"/>
      <c r="AI76" s="1"/>
      <c r="AJ76" s="1"/>
      <c r="AK76" s="1"/>
      <c r="AL76" s="1"/>
      <c r="AM76" s="1"/>
      <c r="AN76" s="1"/>
      <c r="AO76" s="13"/>
      <c r="AP76" s="13"/>
      <c r="AQ76" s="13"/>
      <c r="AR76" s="13"/>
      <c r="AS76" s="13"/>
    </row>
    <row r="77" spans="4:45" s="30" customFormat="1" ht="57.75" customHeight="1" x14ac:dyDescent="0.3">
      <c r="D77"/>
      <c r="E77"/>
      <c r="H77"/>
      <c r="I77"/>
      <c r="K77"/>
      <c r="N77"/>
      <c r="O77"/>
      <c r="P77"/>
      <c r="Q77"/>
      <c r="R77"/>
      <c r="S77"/>
      <c r="T77"/>
      <c r="V77"/>
      <c r="W77"/>
      <c r="Z77"/>
      <c r="AA77"/>
      <c r="AB77"/>
      <c r="AE77"/>
      <c r="AF77"/>
      <c r="AH77"/>
      <c r="AI77" s="1"/>
      <c r="AJ77" s="1"/>
      <c r="AK77" s="1"/>
      <c r="AL77" s="1"/>
      <c r="AM77" s="1"/>
      <c r="AN77" s="1"/>
      <c r="AO77" s="13"/>
      <c r="AP77" s="13"/>
      <c r="AQ77" s="13"/>
      <c r="AR77" s="13"/>
      <c r="AS77" s="13"/>
    </row>
    <row r="78" spans="4:45" s="30" customFormat="1" ht="57.75" customHeight="1" x14ac:dyDescent="0.3">
      <c r="D78"/>
      <c r="E78"/>
      <c r="H78"/>
      <c r="I78"/>
      <c r="K78"/>
      <c r="N78"/>
      <c r="O78"/>
      <c r="P78"/>
      <c r="Q78"/>
      <c r="R78"/>
      <c r="S78"/>
      <c r="T78"/>
      <c r="V78"/>
      <c r="W78"/>
      <c r="Z78"/>
      <c r="AA78"/>
      <c r="AB78"/>
      <c r="AE78"/>
      <c r="AF78"/>
      <c r="AH78"/>
      <c r="AI78" s="1"/>
      <c r="AJ78" s="1"/>
      <c r="AK78" s="1"/>
      <c r="AL78" s="1"/>
      <c r="AM78" s="1"/>
      <c r="AN78" s="1"/>
      <c r="AO78" s="13"/>
      <c r="AP78" s="13"/>
      <c r="AQ78" s="13"/>
      <c r="AR78" s="13"/>
      <c r="AS78" s="13"/>
    </row>
    <row r="79" spans="4:45" s="30" customFormat="1" ht="57.75" customHeight="1" x14ac:dyDescent="0.3">
      <c r="D79"/>
      <c r="E79"/>
      <c r="H79"/>
      <c r="I79"/>
      <c r="K79"/>
      <c r="N79"/>
      <c r="O79"/>
      <c r="P79"/>
      <c r="Q79"/>
      <c r="R79"/>
      <c r="S79"/>
      <c r="T79"/>
      <c r="V79"/>
      <c r="W79"/>
      <c r="Z79"/>
      <c r="AA79"/>
      <c r="AB79"/>
      <c r="AE79"/>
      <c r="AF79"/>
      <c r="AH79"/>
      <c r="AI79" s="1"/>
      <c r="AJ79" s="1"/>
      <c r="AK79" s="1"/>
      <c r="AL79" s="1"/>
      <c r="AM79" s="1"/>
      <c r="AN79" s="1"/>
      <c r="AO79" s="13"/>
      <c r="AP79" s="13"/>
      <c r="AQ79" s="13"/>
      <c r="AR79" s="13"/>
      <c r="AS79" s="13"/>
    </row>
    <row r="80" spans="4:45" s="30" customFormat="1" ht="57.75" customHeight="1" x14ac:dyDescent="0.3">
      <c r="D80"/>
      <c r="E80"/>
      <c r="H80"/>
      <c r="I80"/>
      <c r="K80"/>
      <c r="N80"/>
      <c r="O80"/>
      <c r="P80"/>
      <c r="Q80"/>
      <c r="R80"/>
      <c r="S80"/>
      <c r="T80"/>
      <c r="V80"/>
      <c r="W80"/>
      <c r="Z80"/>
      <c r="AA80"/>
      <c r="AB80"/>
      <c r="AE80"/>
      <c r="AF80"/>
      <c r="AH80"/>
      <c r="AI80" s="1"/>
      <c r="AJ80" s="1"/>
      <c r="AK80" s="1"/>
      <c r="AL80" s="1"/>
      <c r="AM80" s="1"/>
      <c r="AN80" s="1"/>
      <c r="AO80" s="13"/>
      <c r="AP80" s="13"/>
      <c r="AQ80" s="13"/>
      <c r="AR80" s="13"/>
      <c r="AS80" s="13"/>
    </row>
    <row r="81" spans="4:45" s="30" customFormat="1" ht="57.75" customHeight="1" x14ac:dyDescent="0.3">
      <c r="D81"/>
      <c r="E81"/>
      <c r="H81"/>
      <c r="I81"/>
      <c r="K81"/>
      <c r="N81"/>
      <c r="O81"/>
      <c r="P81"/>
      <c r="Q81"/>
      <c r="R81"/>
      <c r="S81"/>
      <c r="T81"/>
      <c r="V81"/>
      <c r="W81"/>
      <c r="Z81"/>
      <c r="AA81"/>
      <c r="AB81"/>
      <c r="AE81"/>
      <c r="AF81"/>
      <c r="AH81"/>
      <c r="AI81" s="1"/>
      <c r="AJ81" s="1"/>
      <c r="AK81" s="1"/>
      <c r="AL81" s="1"/>
      <c r="AM81" s="1"/>
      <c r="AN81" s="1"/>
      <c r="AO81" s="13"/>
      <c r="AP81" s="13"/>
      <c r="AQ81" s="13"/>
      <c r="AR81" s="13"/>
      <c r="AS81" s="13"/>
    </row>
    <row r="82" spans="4:45" s="30" customFormat="1" ht="57.75" customHeight="1" x14ac:dyDescent="0.3">
      <c r="D82" s="1"/>
      <c r="E82" s="25"/>
      <c r="F82" s="25"/>
      <c r="G82" s="25"/>
      <c r="H82" s="18"/>
      <c r="I82" s="18"/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3"/>
      <c r="AP82" s="13"/>
      <c r="AQ82" s="13"/>
      <c r="AR82" s="13"/>
      <c r="AS82" s="13"/>
    </row>
    <row r="83" spans="4:45" s="30" customFormat="1" ht="57.75" customHeight="1" x14ac:dyDescent="0.3">
      <c r="D83" s="1"/>
      <c r="E83" s="25"/>
      <c r="F83" s="25"/>
      <c r="G83" s="25"/>
      <c r="H83" s="18"/>
      <c r="I83" s="18"/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3"/>
      <c r="AP83" s="13"/>
      <c r="AQ83" s="13"/>
      <c r="AR83" s="13"/>
      <c r="AS83" s="13"/>
    </row>
    <row r="84" spans="4:45" s="30" customFormat="1" ht="57.75" customHeight="1" x14ac:dyDescent="0.3">
      <c r="D84" s="1"/>
      <c r="E84" s="25"/>
      <c r="F84" s="25"/>
      <c r="G84" s="25"/>
      <c r="H84" s="18"/>
      <c r="I84" s="18"/>
      <c r="J84" s="3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3"/>
      <c r="AP84" s="13"/>
      <c r="AQ84" s="13"/>
      <c r="AR84" s="13"/>
      <c r="AS84" s="13"/>
    </row>
    <row r="85" spans="4:45" s="30" customFormat="1" ht="57.75" customHeight="1" x14ac:dyDescent="0.3">
      <c r="D85" s="1"/>
      <c r="E85" s="25"/>
      <c r="F85" s="25"/>
      <c r="G85" s="25"/>
      <c r="H85" s="18"/>
      <c r="I85" s="18"/>
      <c r="J85" s="3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3"/>
      <c r="AP85" s="13"/>
      <c r="AQ85" s="13"/>
      <c r="AR85" s="13"/>
      <c r="AS85" s="13"/>
    </row>
    <row r="86" spans="4:45" s="30" customFormat="1" ht="57.75" customHeight="1" x14ac:dyDescent="0.3">
      <c r="D86" s="1"/>
      <c r="E86" s="25"/>
      <c r="F86" s="25"/>
      <c r="G86" s="25"/>
      <c r="H86" s="18"/>
      <c r="I86" s="18"/>
      <c r="J86" s="3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3"/>
      <c r="AP86" s="13"/>
      <c r="AQ86" s="13"/>
      <c r="AR86" s="13"/>
      <c r="AS86" s="13"/>
    </row>
    <row r="87" spans="4:45" s="30" customFormat="1" ht="57.75" customHeight="1" x14ac:dyDescent="0.3">
      <c r="D87" s="1"/>
      <c r="E87" s="25"/>
      <c r="F87" s="25"/>
      <c r="G87" s="25"/>
      <c r="H87" s="18"/>
      <c r="I87" s="18"/>
      <c r="J87" s="3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3"/>
      <c r="AP87" s="13"/>
      <c r="AQ87" s="13"/>
      <c r="AR87" s="13"/>
      <c r="AS87" s="13"/>
    </row>
    <row r="88" spans="4:45" s="30" customFormat="1" ht="57.75" customHeight="1" x14ac:dyDescent="0.3">
      <c r="D88" s="1"/>
      <c r="E88" s="25"/>
      <c r="F88" s="25"/>
      <c r="G88" s="25"/>
      <c r="H88" s="18"/>
      <c r="I88" s="18"/>
      <c r="J88" s="3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3"/>
      <c r="AP88" s="13"/>
      <c r="AQ88" s="13"/>
      <c r="AR88" s="13"/>
      <c r="AS88" s="13"/>
    </row>
    <row r="89" spans="4:45" s="30" customFormat="1" ht="57.75" customHeight="1" x14ac:dyDescent="0.3">
      <c r="D89" s="1"/>
      <c r="E89" s="25"/>
      <c r="F89" s="25"/>
      <c r="G89" s="25"/>
      <c r="H89" s="18"/>
      <c r="I89" s="18"/>
      <c r="J89" s="3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"/>
      <c r="AJ89"/>
      <c r="AK89"/>
      <c r="AN89"/>
      <c r="AO89" s="13"/>
      <c r="AP89" s="13"/>
      <c r="AQ89" s="13"/>
      <c r="AR89" s="13"/>
      <c r="AS89" s="13"/>
    </row>
    <row r="90" spans="4:45" s="30" customFormat="1" ht="57.75" customHeight="1" x14ac:dyDescent="0.3">
      <c r="D90" s="1"/>
      <c r="E90" s="25"/>
      <c r="F90" s="25"/>
      <c r="G90" s="25"/>
      <c r="H90" s="18"/>
      <c r="I90" s="18"/>
      <c r="J90" s="3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/>
      <c r="AK90"/>
      <c r="AN90"/>
      <c r="AO90" s="13"/>
      <c r="AP90" s="13"/>
      <c r="AQ90" s="13"/>
      <c r="AR90" s="13"/>
      <c r="AS90" s="13"/>
    </row>
    <row r="91" spans="4:45" s="30" customFormat="1" ht="57.75" customHeight="1" x14ac:dyDescent="0.3">
      <c r="D91" s="1"/>
      <c r="E91" s="25"/>
      <c r="F91" s="25"/>
      <c r="G91" s="25"/>
      <c r="H91" s="18"/>
      <c r="I91" s="18"/>
      <c r="J91" s="3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/>
      <c r="AK91"/>
      <c r="AN91"/>
      <c r="AO91" s="13"/>
      <c r="AP91" s="13"/>
      <c r="AQ91" s="13"/>
      <c r="AR91" s="13"/>
      <c r="AS91" s="13"/>
    </row>
    <row r="92" spans="4:45" s="30" customFormat="1" ht="57.75" customHeight="1" x14ac:dyDescent="0.3">
      <c r="D92" s="1"/>
      <c r="E92" s="25"/>
      <c r="F92" s="25"/>
      <c r="G92" s="25"/>
      <c r="H92" s="18"/>
      <c r="I92" s="18"/>
      <c r="J92" s="3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"/>
      <c r="AJ92"/>
      <c r="AK92"/>
      <c r="AN92"/>
      <c r="AO92" s="13"/>
      <c r="AP92" s="13"/>
      <c r="AQ92" s="13"/>
      <c r="AR92" s="13"/>
      <c r="AS92" s="13"/>
    </row>
    <row r="93" spans="4:45" s="30" customFormat="1" ht="57.75" customHeight="1" x14ac:dyDescent="0.3">
      <c r="D93" s="1"/>
      <c r="E93" s="25"/>
      <c r="F93" s="25"/>
      <c r="G93" s="25"/>
      <c r="H93" s="18"/>
      <c r="I93" s="18"/>
      <c r="J93" s="3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"/>
      <c r="AJ93"/>
      <c r="AK93"/>
      <c r="AN93"/>
      <c r="AO93" s="13"/>
      <c r="AP93" s="13"/>
      <c r="AQ93" s="13"/>
      <c r="AR93" s="13"/>
      <c r="AS93" s="13"/>
    </row>
    <row r="94" spans="4:45" s="30" customFormat="1" ht="57.75" customHeight="1" x14ac:dyDescent="0.3">
      <c r="D94" s="1"/>
      <c r="E94" s="25"/>
      <c r="F94" s="25"/>
      <c r="G94" s="25"/>
      <c r="H94" s="18"/>
      <c r="I94" s="18"/>
      <c r="J94" s="3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"/>
      <c r="AJ94"/>
      <c r="AK94"/>
      <c r="AN94"/>
      <c r="AO94" s="13"/>
      <c r="AP94" s="13"/>
      <c r="AQ94" s="13"/>
      <c r="AR94" s="13"/>
      <c r="AS94" s="13"/>
    </row>
    <row r="95" spans="4:45" s="30" customFormat="1" ht="57.75" customHeight="1" x14ac:dyDescent="0.3">
      <c r="D95" s="1"/>
      <c r="E95" s="25"/>
      <c r="F95" s="25"/>
      <c r="G95" s="25"/>
      <c r="H95" s="18"/>
      <c r="I95" s="18"/>
      <c r="J95" s="3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/>
      <c r="AK95"/>
      <c r="AN95"/>
      <c r="AO95" s="13"/>
      <c r="AP95" s="13"/>
      <c r="AQ95" s="13"/>
      <c r="AR95" s="13"/>
      <c r="AS95" s="13"/>
    </row>
    <row r="96" spans="4:45" s="30" customFormat="1" ht="57.75" customHeight="1" x14ac:dyDescent="0.3">
      <c r="D96" s="1"/>
      <c r="E96" s="25"/>
      <c r="F96" s="25"/>
      <c r="G96" s="25"/>
      <c r="H96" s="18"/>
      <c r="I96" s="18"/>
      <c r="J96" s="3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/>
      <c r="AJ96"/>
      <c r="AK96"/>
      <c r="AN96"/>
      <c r="AO96" s="13"/>
      <c r="AP96" s="13"/>
      <c r="AQ96" s="13"/>
      <c r="AR96" s="13"/>
      <c r="AS96" s="13"/>
    </row>
    <row r="97" spans="4:45" s="30" customFormat="1" ht="57.75" customHeight="1" x14ac:dyDescent="0.3">
      <c r="D97" s="1"/>
      <c r="E97" s="25"/>
      <c r="F97" s="25"/>
      <c r="G97" s="25"/>
      <c r="H97" s="18"/>
      <c r="I97" s="18"/>
      <c r="J97" s="3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/>
      <c r="AJ97"/>
      <c r="AK97"/>
      <c r="AN97"/>
      <c r="AO97" s="13"/>
      <c r="AP97" s="13"/>
      <c r="AQ97" s="13"/>
      <c r="AR97" s="13"/>
      <c r="AS97" s="13"/>
    </row>
    <row r="98" spans="4:45" s="30" customFormat="1" ht="57.75" customHeight="1" x14ac:dyDescent="0.3">
      <c r="D98" s="1"/>
      <c r="E98" s="25"/>
      <c r="F98" s="25"/>
      <c r="G98" s="25"/>
      <c r="H98" s="18"/>
      <c r="I98" s="18"/>
      <c r="J98" s="3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"/>
      <c r="AJ98"/>
      <c r="AK98"/>
      <c r="AN98"/>
      <c r="AO98" s="13"/>
      <c r="AP98" s="13"/>
      <c r="AQ98" s="13"/>
      <c r="AR98" s="13"/>
      <c r="AS98" s="13"/>
    </row>
    <row r="99" spans="4:45" s="30" customFormat="1" ht="57.75" customHeight="1" x14ac:dyDescent="0.3">
      <c r="D99" s="1"/>
      <c r="E99" s="25"/>
      <c r="F99" s="25"/>
      <c r="G99" s="25"/>
      <c r="H99" s="18"/>
      <c r="I99" s="18"/>
      <c r="J99" s="3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/>
      <c r="AJ99"/>
      <c r="AK99"/>
      <c r="AN99"/>
      <c r="AO99" s="13"/>
      <c r="AP99" s="13"/>
      <c r="AQ99" s="13"/>
      <c r="AR99" s="13"/>
      <c r="AS99" s="13"/>
    </row>
    <row r="100" spans="4:45" s="30" customFormat="1" ht="57.75" customHeight="1" x14ac:dyDescent="0.3">
      <c r="D100" s="1"/>
      <c r="E100" s="25"/>
      <c r="F100" s="25"/>
      <c r="G100" s="25"/>
      <c r="H100" s="18"/>
      <c r="I100" s="18"/>
      <c r="J100" s="3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/>
      <c r="AJ100"/>
      <c r="AK100"/>
      <c r="AN100"/>
      <c r="AO100" s="13"/>
      <c r="AP100" s="13"/>
      <c r="AQ100" s="13"/>
      <c r="AR100" s="13"/>
      <c r="AS100" s="13"/>
    </row>
    <row r="101" spans="4:45" s="30" customFormat="1" ht="57.75" customHeight="1" x14ac:dyDescent="0.3">
      <c r="D101" s="1"/>
      <c r="E101" s="25"/>
      <c r="F101" s="25"/>
      <c r="G101" s="25"/>
      <c r="H101" s="18"/>
      <c r="I101" s="18"/>
      <c r="J101" s="3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"/>
      <c r="AJ101"/>
      <c r="AK101"/>
      <c r="AN101"/>
      <c r="AO101" s="13"/>
      <c r="AP101" s="13"/>
      <c r="AQ101" s="13"/>
      <c r="AR101" s="13"/>
      <c r="AS101" s="13"/>
    </row>
    <row r="102" spans="4:45" s="30" customFormat="1" ht="57.75" customHeight="1" x14ac:dyDescent="0.3">
      <c r="D102" s="1"/>
      <c r="E102" s="25"/>
      <c r="F102" s="25"/>
      <c r="G102" s="25"/>
      <c r="H102" s="18"/>
      <c r="I102" s="18"/>
      <c r="J102" s="3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/>
      <c r="AJ102"/>
      <c r="AK102"/>
      <c r="AN102"/>
      <c r="AO102" s="13"/>
      <c r="AP102" s="13"/>
      <c r="AQ102" s="13"/>
      <c r="AR102" s="13"/>
      <c r="AS102" s="13"/>
    </row>
    <row r="103" spans="4:45" s="30" customFormat="1" ht="57.75" customHeight="1" x14ac:dyDescent="0.3">
      <c r="D103" s="1"/>
      <c r="E103" s="25"/>
      <c r="F103" s="25"/>
      <c r="G103" s="25"/>
      <c r="H103" s="18"/>
      <c r="I103" s="18"/>
      <c r="J103" s="3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/>
      <c r="AJ103"/>
      <c r="AK103"/>
      <c r="AN103"/>
      <c r="AO103" s="13"/>
      <c r="AP103" s="13"/>
      <c r="AQ103" s="13"/>
      <c r="AR103" s="13"/>
      <c r="AS103" s="13"/>
    </row>
    <row r="104" spans="4:45" s="30" customFormat="1" ht="57.75" customHeight="1" x14ac:dyDescent="0.3">
      <c r="D104" s="1"/>
      <c r="E104" s="25"/>
      <c r="F104" s="25"/>
      <c r="G104" s="25"/>
      <c r="H104" s="18"/>
      <c r="I104" s="18"/>
      <c r="J104" s="3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"/>
      <c r="AJ104"/>
      <c r="AK104"/>
      <c r="AN104"/>
      <c r="AO104" s="13"/>
      <c r="AP104" s="13"/>
      <c r="AQ104" s="13"/>
      <c r="AR104" s="13"/>
      <c r="AS104" s="13"/>
    </row>
    <row r="105" spans="4:45" s="30" customFormat="1" ht="57.75" customHeight="1" x14ac:dyDescent="0.3">
      <c r="D105" s="1"/>
      <c r="E105" s="25"/>
      <c r="F105" s="25"/>
      <c r="G105" s="25"/>
      <c r="H105" s="18"/>
      <c r="I105" s="18"/>
      <c r="J105" s="3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"/>
      <c r="AJ105"/>
      <c r="AK105"/>
      <c r="AN105"/>
      <c r="AO105" s="13"/>
      <c r="AP105" s="13"/>
      <c r="AQ105" s="13"/>
      <c r="AR105" s="13"/>
      <c r="AS105" s="13"/>
    </row>
    <row r="106" spans="4:45" s="30" customFormat="1" ht="57.75" customHeight="1" x14ac:dyDescent="0.3">
      <c r="D106" s="1"/>
      <c r="E106" s="25"/>
      <c r="F106" s="25"/>
      <c r="G106" s="25"/>
      <c r="H106" s="18"/>
      <c r="I106" s="18"/>
      <c r="J106" s="3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/>
      <c r="AJ106"/>
      <c r="AK106"/>
      <c r="AN106"/>
      <c r="AO106" s="13"/>
      <c r="AP106" s="13"/>
      <c r="AQ106" s="13"/>
      <c r="AR106" s="13"/>
      <c r="AS106" s="13"/>
    </row>
    <row r="107" spans="4:45" s="30" customFormat="1" ht="57.75" customHeight="1" x14ac:dyDescent="0.3">
      <c r="D107" s="1"/>
      <c r="E107" s="25"/>
      <c r="F107" s="25"/>
      <c r="G107" s="25"/>
      <c r="H107" s="18"/>
      <c r="I107" s="18"/>
      <c r="J107" s="3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/>
      <c r="AJ107"/>
      <c r="AK107"/>
      <c r="AN107"/>
      <c r="AO107" s="13"/>
      <c r="AP107" s="13"/>
      <c r="AQ107" s="13"/>
      <c r="AR107" s="13"/>
      <c r="AS107" s="13"/>
    </row>
    <row r="108" spans="4:45" s="30" customFormat="1" ht="57.75" customHeight="1" x14ac:dyDescent="0.3">
      <c r="D108" s="1"/>
      <c r="E108" s="25"/>
      <c r="F108" s="25"/>
      <c r="G108" s="25"/>
      <c r="H108" s="18"/>
      <c r="I108" s="18"/>
      <c r="J108" s="3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"/>
      <c r="AJ108"/>
      <c r="AK108"/>
      <c r="AN108"/>
      <c r="AO108" s="13"/>
      <c r="AP108" s="13"/>
      <c r="AQ108" s="13"/>
      <c r="AR108" s="13"/>
      <c r="AS108" s="13"/>
    </row>
    <row r="109" spans="4:45" s="30" customFormat="1" ht="57.75" customHeight="1" x14ac:dyDescent="0.3">
      <c r="D109" s="1"/>
      <c r="E109" s="25"/>
      <c r="F109" s="25"/>
      <c r="G109" s="25"/>
      <c r="H109" s="18"/>
      <c r="I109" s="18"/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"/>
      <c r="AJ109"/>
      <c r="AK109"/>
      <c r="AN109"/>
      <c r="AO109" s="13"/>
      <c r="AP109" s="13"/>
      <c r="AQ109" s="13"/>
      <c r="AR109" s="13"/>
      <c r="AS109" s="13"/>
    </row>
    <row r="110" spans="4:45" s="30" customFormat="1" ht="57.75" customHeight="1" x14ac:dyDescent="0.3">
      <c r="D110" s="1"/>
      <c r="E110" s="25"/>
      <c r="F110" s="25"/>
      <c r="G110" s="25"/>
      <c r="H110" s="18"/>
      <c r="I110" s="18"/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"/>
      <c r="AJ110"/>
      <c r="AK110"/>
      <c r="AN110"/>
      <c r="AO110" s="13"/>
      <c r="AP110" s="13"/>
      <c r="AQ110" s="13"/>
      <c r="AR110" s="13"/>
      <c r="AS110" s="13"/>
    </row>
    <row r="111" spans="4:45" s="30" customFormat="1" ht="57.75" customHeight="1" x14ac:dyDescent="0.3">
      <c r="D111" s="1"/>
      <c r="E111" s="25"/>
      <c r="F111" s="25"/>
      <c r="G111" s="25"/>
      <c r="H111" s="18"/>
      <c r="I111" s="18"/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/>
      <c r="AJ111"/>
      <c r="AK111"/>
      <c r="AN111"/>
      <c r="AO111" s="13"/>
      <c r="AP111" s="13"/>
      <c r="AQ111" s="13"/>
      <c r="AR111" s="13"/>
      <c r="AS111" s="13"/>
    </row>
    <row r="112" spans="4:45" s="30" customFormat="1" ht="57.75" customHeight="1" x14ac:dyDescent="0.3">
      <c r="D112" s="1"/>
      <c r="E112" s="25"/>
      <c r="F112" s="25"/>
      <c r="G112" s="25"/>
      <c r="H112" s="18"/>
      <c r="I112" s="18"/>
      <c r="J112" s="3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/>
      <c r="AJ112"/>
      <c r="AK112"/>
      <c r="AN112"/>
      <c r="AO112" s="13"/>
      <c r="AP112" s="13"/>
      <c r="AQ112" s="13"/>
      <c r="AR112" s="13"/>
      <c r="AS112" s="13"/>
    </row>
    <row r="113" spans="4:45" s="30" customFormat="1" ht="57.75" customHeight="1" x14ac:dyDescent="0.3">
      <c r="D113" s="1"/>
      <c r="E113" s="25"/>
      <c r="F113" s="25"/>
      <c r="G113" s="25"/>
      <c r="H113" s="18"/>
      <c r="I113" s="18"/>
      <c r="J113" s="3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"/>
      <c r="AJ113"/>
      <c r="AK113"/>
      <c r="AN113"/>
      <c r="AO113" s="13"/>
      <c r="AP113" s="13"/>
      <c r="AQ113" s="13"/>
      <c r="AR113" s="13"/>
      <c r="AS113" s="13"/>
    </row>
    <row r="114" spans="4:45" s="30" customFormat="1" ht="57.75" customHeight="1" x14ac:dyDescent="0.3">
      <c r="D114" s="1"/>
      <c r="E114" s="25"/>
      <c r="F114" s="25"/>
      <c r="G114" s="25"/>
      <c r="H114" s="18"/>
      <c r="I114" s="18"/>
      <c r="J114" s="3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/>
      <c r="AJ114"/>
      <c r="AK114"/>
      <c r="AN114"/>
      <c r="AO114" s="13"/>
      <c r="AP114" s="13"/>
      <c r="AQ114" s="13"/>
      <c r="AR114" s="13"/>
      <c r="AS114" s="13"/>
    </row>
    <row r="115" spans="4:45" s="30" customFormat="1" ht="57.75" customHeight="1" x14ac:dyDescent="0.3">
      <c r="D115" s="1"/>
      <c r="E115" s="25"/>
      <c r="F115" s="25"/>
      <c r="G115" s="25"/>
      <c r="H115" s="18"/>
      <c r="I115" s="18"/>
      <c r="J115" s="3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/>
      <c r="AJ115"/>
      <c r="AK115"/>
      <c r="AN115"/>
      <c r="AO115" s="13"/>
      <c r="AP115" s="13"/>
      <c r="AQ115" s="13"/>
      <c r="AR115" s="13"/>
      <c r="AS115" s="13"/>
    </row>
    <row r="116" spans="4:45" s="30" customFormat="1" ht="57.75" customHeight="1" x14ac:dyDescent="0.3">
      <c r="D116" s="1"/>
      <c r="E116" s="25"/>
      <c r="F116" s="25"/>
      <c r="G116" s="25"/>
      <c r="H116" s="18"/>
      <c r="I116" s="18"/>
      <c r="J116" s="3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"/>
      <c r="AJ116"/>
      <c r="AK116"/>
      <c r="AN116"/>
      <c r="AO116" s="13"/>
      <c r="AP116" s="13"/>
      <c r="AQ116" s="13"/>
      <c r="AR116" s="13"/>
      <c r="AS116" s="13"/>
    </row>
    <row r="117" spans="4:45" s="30" customFormat="1" ht="57.75" customHeight="1" x14ac:dyDescent="0.3">
      <c r="D117" s="1"/>
      <c r="E117" s="25"/>
      <c r="F117" s="25"/>
      <c r="G117" s="25"/>
      <c r="H117" s="18"/>
      <c r="I117" s="18"/>
      <c r="J117" s="3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/>
      <c r="AK117"/>
      <c r="AN117"/>
      <c r="AO117" s="13"/>
      <c r="AP117" s="13"/>
      <c r="AQ117" s="13"/>
      <c r="AR117" s="13"/>
      <c r="AS117" s="13"/>
    </row>
    <row r="118" spans="4:45" s="30" customFormat="1" ht="57.75" customHeight="1" x14ac:dyDescent="0.3">
      <c r="D118" s="1"/>
      <c r="E118" s="25"/>
      <c r="F118" s="25"/>
      <c r="G118" s="25"/>
      <c r="H118" s="18"/>
      <c r="I118" s="18"/>
      <c r="J118" s="3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/>
      <c r="AK118"/>
      <c r="AN118"/>
      <c r="AO118" s="13"/>
      <c r="AP118" s="13"/>
      <c r="AQ118" s="13"/>
      <c r="AR118" s="13"/>
      <c r="AS118" s="13"/>
    </row>
    <row r="119" spans="4:45" s="30" customFormat="1" ht="57.75" customHeight="1" x14ac:dyDescent="0.3">
      <c r="D119" s="1"/>
      <c r="E119" s="25"/>
      <c r="F119" s="25"/>
      <c r="G119" s="25"/>
      <c r="H119" s="18"/>
      <c r="I119" s="18"/>
      <c r="J119" s="3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/>
      <c r="AK119"/>
      <c r="AN119"/>
      <c r="AO119" s="13"/>
      <c r="AP119" s="13"/>
      <c r="AQ119" s="13"/>
      <c r="AR119" s="13"/>
      <c r="AS119" s="13"/>
    </row>
    <row r="120" spans="4:45" s="30" customFormat="1" ht="57.75" customHeight="1" x14ac:dyDescent="0.3">
      <c r="D120" s="1"/>
      <c r="E120" s="25"/>
      <c r="F120" s="25"/>
      <c r="G120" s="25"/>
      <c r="H120" s="18"/>
      <c r="I120" s="18"/>
      <c r="J120" s="3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/>
      <c r="AK120"/>
      <c r="AN120"/>
      <c r="AO120" s="13"/>
      <c r="AP120" s="13"/>
      <c r="AQ120" s="13"/>
      <c r="AR120" s="13"/>
      <c r="AS120" s="13"/>
    </row>
    <row r="121" spans="4:45" s="30" customFormat="1" ht="57.75" customHeight="1" x14ac:dyDescent="0.3">
      <c r="D121" s="1"/>
      <c r="E121" s="25"/>
      <c r="F121" s="25"/>
      <c r="G121" s="25"/>
      <c r="H121" s="18"/>
      <c r="I121" s="18"/>
      <c r="J121" s="3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"/>
      <c r="AJ121"/>
      <c r="AK121"/>
      <c r="AN121"/>
      <c r="AO121" s="13"/>
      <c r="AP121" s="13"/>
      <c r="AQ121" s="13"/>
      <c r="AR121" s="13"/>
      <c r="AS121" s="13"/>
    </row>
    <row r="122" spans="4:45" s="30" customFormat="1" ht="57.75" customHeight="1" x14ac:dyDescent="0.3">
      <c r="D122" s="1"/>
      <c r="E122" s="25"/>
      <c r="F122" s="25"/>
      <c r="G122" s="25"/>
      <c r="H122" s="18"/>
      <c r="I122" s="18"/>
      <c r="J122" s="3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"/>
      <c r="AJ122"/>
      <c r="AK122"/>
      <c r="AN122"/>
      <c r="AO122" s="13"/>
      <c r="AP122" s="13"/>
      <c r="AQ122" s="13"/>
      <c r="AR122" s="13"/>
      <c r="AS122" s="13"/>
    </row>
    <row r="123" spans="4:45" s="30" customFormat="1" ht="57.75" customHeight="1" x14ac:dyDescent="0.3">
      <c r="D123" s="1"/>
      <c r="E123" s="25"/>
      <c r="F123" s="25"/>
      <c r="G123" s="25"/>
      <c r="H123" s="18"/>
      <c r="I123" s="18"/>
      <c r="J123" s="3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"/>
      <c r="AJ123"/>
      <c r="AK123"/>
      <c r="AN123"/>
      <c r="AO123" s="13"/>
      <c r="AP123" s="13"/>
      <c r="AQ123" s="13"/>
      <c r="AR123" s="13"/>
      <c r="AS123" s="13"/>
    </row>
    <row r="124" spans="4:45" s="30" customFormat="1" ht="57.75" customHeight="1" x14ac:dyDescent="0.3">
      <c r="D124" s="1"/>
      <c r="E124" s="25"/>
      <c r="F124" s="25"/>
      <c r="G124" s="25"/>
      <c r="H124" s="18"/>
      <c r="I124" s="18"/>
      <c r="J124" s="3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/>
      <c r="AJ124"/>
      <c r="AK124"/>
      <c r="AN124"/>
      <c r="AO124" s="13"/>
      <c r="AP124" s="13"/>
      <c r="AQ124" s="13"/>
      <c r="AR124" s="13"/>
      <c r="AS124" s="13"/>
    </row>
    <row r="125" spans="4:45" s="30" customFormat="1" ht="57.75" customHeight="1" x14ac:dyDescent="0.3">
      <c r="D125" s="1"/>
      <c r="E125" s="25"/>
      <c r="F125" s="25"/>
      <c r="G125" s="25"/>
      <c r="H125" s="18"/>
      <c r="I125" s="18"/>
      <c r="J125" s="3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"/>
      <c r="AJ125"/>
      <c r="AK125"/>
      <c r="AN125"/>
      <c r="AO125" s="13"/>
      <c r="AP125" s="13"/>
      <c r="AQ125" s="13"/>
      <c r="AR125" s="13"/>
      <c r="AS125" s="13"/>
    </row>
    <row r="126" spans="4:45" s="30" customFormat="1" ht="57.75" customHeight="1" x14ac:dyDescent="0.3">
      <c r="D126" s="1"/>
      <c r="E126" s="25"/>
      <c r="F126" s="25"/>
      <c r="G126" s="25"/>
      <c r="H126" s="18"/>
      <c r="I126" s="18"/>
      <c r="J126" s="3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"/>
      <c r="AJ126"/>
      <c r="AK126"/>
      <c r="AN126"/>
      <c r="AO126" s="13"/>
      <c r="AP126" s="13"/>
      <c r="AQ126" s="13"/>
      <c r="AR126" s="13"/>
      <c r="AS126" s="13"/>
    </row>
    <row r="127" spans="4:45" s="30" customFormat="1" ht="57.75" customHeight="1" x14ac:dyDescent="0.3">
      <c r="D127" s="1"/>
      <c r="E127" s="25"/>
      <c r="F127" s="25"/>
      <c r="G127" s="25"/>
      <c r="H127" s="18"/>
      <c r="I127" s="18"/>
      <c r="J127" s="3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/>
      <c r="AJ127"/>
      <c r="AK127"/>
      <c r="AN127"/>
      <c r="AO127" s="13"/>
      <c r="AP127" s="13"/>
      <c r="AQ127" s="13"/>
      <c r="AR127" s="13"/>
      <c r="AS127" s="13"/>
    </row>
    <row r="128" spans="4:45" s="30" customFormat="1" ht="57.75" customHeight="1" x14ac:dyDescent="0.3">
      <c r="D128" s="1"/>
      <c r="E128" s="25"/>
      <c r="F128" s="25"/>
      <c r="G128" s="25"/>
      <c r="H128" s="18"/>
      <c r="I128" s="18"/>
      <c r="J128" s="3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/>
      <c r="AJ128"/>
      <c r="AK128"/>
      <c r="AN128"/>
      <c r="AO128" s="13"/>
      <c r="AP128" s="13"/>
      <c r="AQ128" s="13"/>
      <c r="AR128" s="13"/>
      <c r="AS128" s="13"/>
    </row>
    <row r="129" spans="4:45" s="30" customFormat="1" ht="57.75" customHeight="1" x14ac:dyDescent="0.3">
      <c r="D129" s="1"/>
      <c r="E129" s="25"/>
      <c r="F129" s="25"/>
      <c r="G129" s="25"/>
      <c r="H129" s="18"/>
      <c r="I129" s="18"/>
      <c r="J129" s="3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"/>
      <c r="AJ129"/>
      <c r="AK129"/>
      <c r="AN129"/>
      <c r="AO129" s="13"/>
      <c r="AP129" s="13"/>
      <c r="AQ129" s="13"/>
      <c r="AR129" s="13"/>
      <c r="AS129" s="13"/>
    </row>
    <row r="130" spans="4:45" s="30" customFormat="1" ht="57.75" customHeight="1" x14ac:dyDescent="0.3">
      <c r="D130" s="1"/>
      <c r="E130" s="25"/>
      <c r="F130" s="25"/>
      <c r="G130" s="25"/>
      <c r="H130" s="18"/>
      <c r="I130" s="18"/>
      <c r="J130" s="3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"/>
      <c r="AJ130"/>
      <c r="AK130"/>
      <c r="AN130"/>
      <c r="AO130" s="13"/>
      <c r="AP130" s="13"/>
      <c r="AQ130" s="13"/>
      <c r="AR130" s="13"/>
      <c r="AS130" s="13"/>
    </row>
    <row r="131" spans="4:45" s="30" customFormat="1" ht="57.75" customHeight="1" x14ac:dyDescent="0.3">
      <c r="D131" s="1"/>
      <c r="E131" s="25"/>
      <c r="F131" s="25"/>
      <c r="G131" s="25"/>
      <c r="H131" s="18"/>
      <c r="I131" s="18"/>
      <c r="J131" s="3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/>
      <c r="AJ131"/>
      <c r="AK131"/>
      <c r="AN131"/>
      <c r="AO131" s="13"/>
      <c r="AP131" s="13"/>
      <c r="AQ131" s="13"/>
      <c r="AR131" s="13"/>
      <c r="AS131" s="13"/>
    </row>
    <row r="132" spans="4:45" s="30" customFormat="1" ht="57.75" customHeight="1" x14ac:dyDescent="0.3">
      <c r="D132" s="1"/>
      <c r="E132" s="25"/>
      <c r="F132" s="25"/>
      <c r="G132" s="25"/>
      <c r="H132" s="18"/>
      <c r="I132" s="18"/>
      <c r="J132" s="3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/>
      <c r="AJ132"/>
      <c r="AK132"/>
      <c r="AN132"/>
      <c r="AO132" s="13"/>
      <c r="AP132" s="13"/>
      <c r="AQ132" s="13"/>
      <c r="AR132" s="13"/>
      <c r="AS132" s="13"/>
    </row>
    <row r="133" spans="4:45" s="30" customFormat="1" ht="57.75" customHeight="1" x14ac:dyDescent="0.3">
      <c r="D133" s="1"/>
      <c r="E133" s="25"/>
      <c r="F133" s="25"/>
      <c r="G133" s="25"/>
      <c r="H133" s="18"/>
      <c r="I133" s="18"/>
      <c r="J133" s="3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"/>
      <c r="AJ133"/>
      <c r="AK133"/>
      <c r="AN133"/>
      <c r="AO133" s="13"/>
      <c r="AP133" s="13"/>
      <c r="AQ133" s="13"/>
      <c r="AR133" s="13"/>
      <c r="AS133" s="13"/>
    </row>
    <row r="134" spans="4:45" s="30" customFormat="1" ht="57.75" customHeight="1" x14ac:dyDescent="0.3">
      <c r="D134" s="1"/>
      <c r="E134" s="25"/>
      <c r="F134" s="25"/>
      <c r="G134" s="25"/>
      <c r="H134" s="18"/>
      <c r="I134" s="18"/>
      <c r="J134" s="3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/>
      <c r="AJ134"/>
      <c r="AK134"/>
      <c r="AN134"/>
      <c r="AO134" s="13"/>
      <c r="AP134" s="13"/>
      <c r="AQ134" s="13"/>
      <c r="AR134" s="13"/>
      <c r="AS134" s="13"/>
    </row>
    <row r="135" spans="4:45" s="30" customFormat="1" ht="57.75" customHeight="1" x14ac:dyDescent="0.3">
      <c r="D135" s="1"/>
      <c r="E135" s="25"/>
      <c r="F135" s="25"/>
      <c r="G135" s="25"/>
      <c r="H135" s="18"/>
      <c r="I135" s="18"/>
      <c r="J135" s="3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"/>
      <c r="AJ135"/>
      <c r="AK135"/>
      <c r="AN135"/>
      <c r="AO135" s="13"/>
      <c r="AP135" s="13"/>
      <c r="AQ135" s="13"/>
      <c r="AR135" s="13"/>
      <c r="AS135" s="13"/>
    </row>
    <row r="136" spans="4:45" s="30" customFormat="1" ht="57.75" customHeight="1" x14ac:dyDescent="0.3">
      <c r="D136" s="1"/>
      <c r="E136" s="25"/>
      <c r="F136" s="25"/>
      <c r="G136" s="25"/>
      <c r="H136" s="18"/>
      <c r="I136" s="18"/>
      <c r="J136" s="3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"/>
      <c r="AJ136"/>
      <c r="AK136"/>
      <c r="AN136"/>
      <c r="AO136" s="13"/>
      <c r="AP136" s="13"/>
      <c r="AQ136" s="13"/>
      <c r="AR136" s="13"/>
      <c r="AS136" s="13"/>
    </row>
    <row r="137" spans="4:45" s="30" customFormat="1" ht="57.75" customHeight="1" x14ac:dyDescent="0.3">
      <c r="D137" s="1"/>
      <c r="E137" s="25"/>
      <c r="F137" s="25"/>
      <c r="G137" s="25"/>
      <c r="H137" s="18"/>
      <c r="I137" s="18"/>
      <c r="J137" s="3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"/>
      <c r="AJ137"/>
      <c r="AK137"/>
      <c r="AN137"/>
      <c r="AO137" s="13"/>
      <c r="AP137" s="13"/>
      <c r="AQ137" s="13"/>
      <c r="AR137" s="13"/>
      <c r="AS137" s="13"/>
    </row>
    <row r="138" spans="4:45" s="30" customFormat="1" ht="57.75" customHeight="1" x14ac:dyDescent="0.3">
      <c r="D138" s="1"/>
      <c r="E138" s="25"/>
      <c r="F138" s="25"/>
      <c r="G138" s="25"/>
      <c r="H138" s="18"/>
      <c r="I138" s="18"/>
      <c r="J138" s="3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/>
      <c r="AJ138"/>
      <c r="AK138"/>
      <c r="AN138"/>
      <c r="AO138" s="13"/>
      <c r="AP138" s="13"/>
      <c r="AQ138" s="13"/>
      <c r="AR138" s="13"/>
      <c r="AS138" s="13"/>
    </row>
    <row r="139" spans="4:45" s="30" customFormat="1" ht="57.75" customHeight="1" x14ac:dyDescent="0.3">
      <c r="D139" s="1"/>
      <c r="E139" s="25"/>
      <c r="F139" s="25"/>
      <c r="G139" s="25"/>
      <c r="H139" s="18"/>
      <c r="I139" s="18"/>
      <c r="J139" s="3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/>
      <c r="AJ139"/>
      <c r="AK139"/>
      <c r="AN139"/>
      <c r="AO139" s="13"/>
      <c r="AP139" s="13"/>
      <c r="AQ139" s="13"/>
      <c r="AR139" s="13"/>
      <c r="AS139" s="13"/>
    </row>
    <row r="140" spans="4:45" s="30" customFormat="1" ht="57.75" customHeight="1" x14ac:dyDescent="0.3">
      <c r="D140" s="1"/>
      <c r="E140" s="25"/>
      <c r="F140" s="25"/>
      <c r="G140" s="25"/>
      <c r="H140" s="18"/>
      <c r="I140" s="18"/>
      <c r="J140" s="3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/>
      <c r="AJ140"/>
      <c r="AK140"/>
      <c r="AN140"/>
      <c r="AO140" s="13"/>
      <c r="AP140" s="13"/>
      <c r="AQ140" s="13"/>
      <c r="AR140" s="13"/>
      <c r="AS140" s="13"/>
    </row>
    <row r="141" spans="4:45" s="30" customFormat="1" ht="57.75" customHeight="1" x14ac:dyDescent="0.3">
      <c r="D141" s="1"/>
      <c r="E141" s="25"/>
      <c r="F141" s="25"/>
      <c r="G141" s="25"/>
      <c r="H141" s="18"/>
      <c r="I141" s="18"/>
      <c r="J141" s="3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/>
      <c r="AJ141"/>
      <c r="AK141"/>
      <c r="AN141"/>
      <c r="AO141" s="13"/>
      <c r="AP141" s="13"/>
      <c r="AQ141" s="13"/>
      <c r="AR141" s="13"/>
      <c r="AS141" s="13"/>
    </row>
    <row r="142" spans="4:45" s="30" customFormat="1" ht="57.75" customHeight="1" x14ac:dyDescent="0.3">
      <c r="D142" s="1"/>
      <c r="E142" s="25"/>
      <c r="F142" s="25"/>
      <c r="G142" s="25"/>
      <c r="H142" s="18"/>
      <c r="I142" s="18"/>
      <c r="J142" s="3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/>
      <c r="AJ142"/>
      <c r="AK142"/>
      <c r="AN142"/>
      <c r="AO142" s="13"/>
      <c r="AP142" s="13"/>
      <c r="AQ142" s="13"/>
      <c r="AR142" s="13"/>
      <c r="AS142" s="13"/>
    </row>
    <row r="143" spans="4:45" s="30" customFormat="1" ht="57.75" customHeight="1" x14ac:dyDescent="0.3">
      <c r="D143" s="1"/>
      <c r="E143" s="25"/>
      <c r="F143" s="25"/>
      <c r="G143" s="25"/>
      <c r="H143" s="18"/>
      <c r="I143" s="18"/>
      <c r="J143" s="3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"/>
      <c r="AJ143"/>
      <c r="AK143"/>
      <c r="AN143"/>
      <c r="AO143" s="13"/>
      <c r="AP143" s="13"/>
      <c r="AQ143" s="13"/>
      <c r="AR143" s="13"/>
      <c r="AS143" s="13"/>
    </row>
    <row r="144" spans="4:45" s="30" customFormat="1" ht="57.75" customHeight="1" x14ac:dyDescent="0.3">
      <c r="D144" s="1"/>
      <c r="E144" s="25"/>
      <c r="F144" s="25"/>
      <c r="G144" s="25"/>
      <c r="H144" s="18"/>
      <c r="I144" s="18"/>
      <c r="J144" s="3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"/>
      <c r="AJ144"/>
      <c r="AK144"/>
      <c r="AN144"/>
      <c r="AO144" s="13"/>
      <c r="AP144" s="13"/>
      <c r="AQ144" s="13"/>
      <c r="AR144" s="13"/>
      <c r="AS144" s="13"/>
    </row>
    <row r="145" spans="4:45" s="30" customFormat="1" ht="57.75" customHeight="1" x14ac:dyDescent="0.3">
      <c r="D145" s="1"/>
      <c r="E145" s="25"/>
      <c r="F145" s="25"/>
      <c r="G145" s="25"/>
      <c r="H145" s="18"/>
      <c r="I145" s="18"/>
      <c r="J145" s="3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"/>
      <c r="AJ145"/>
      <c r="AK145"/>
      <c r="AN145"/>
      <c r="AO145" s="13"/>
      <c r="AP145" s="13"/>
      <c r="AQ145" s="13"/>
      <c r="AR145" s="13"/>
      <c r="AS145" s="13"/>
    </row>
    <row r="146" spans="4:45" s="30" customFormat="1" ht="57.75" customHeight="1" x14ac:dyDescent="0.3">
      <c r="D146" s="1"/>
      <c r="E146" s="25"/>
      <c r="F146" s="25"/>
      <c r="G146" s="25"/>
      <c r="H146" s="18"/>
      <c r="I146" s="18"/>
      <c r="J146" s="3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"/>
      <c r="AJ146"/>
      <c r="AK146"/>
      <c r="AN146"/>
      <c r="AO146" s="13"/>
      <c r="AP146" s="13"/>
      <c r="AQ146" s="13"/>
      <c r="AR146" s="13"/>
      <c r="AS146" s="13"/>
    </row>
    <row r="147" spans="4:45" s="30" customFormat="1" ht="57.75" customHeight="1" x14ac:dyDescent="0.3">
      <c r="D147" s="1"/>
      <c r="E147" s="25"/>
      <c r="F147" s="25"/>
      <c r="G147" s="25"/>
      <c r="H147" s="18"/>
      <c r="I147" s="18"/>
      <c r="J147" s="3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"/>
      <c r="AJ147"/>
      <c r="AK147"/>
      <c r="AN147"/>
      <c r="AO147" s="13"/>
      <c r="AP147" s="13"/>
      <c r="AQ147" s="13"/>
      <c r="AR147" s="13"/>
      <c r="AS147" s="13"/>
    </row>
    <row r="148" spans="4:45" s="30" customFormat="1" ht="57.75" customHeight="1" x14ac:dyDescent="0.3">
      <c r="D148" s="1"/>
      <c r="E148" s="25"/>
      <c r="F148" s="25"/>
      <c r="G148" s="25"/>
      <c r="H148" s="18"/>
      <c r="I148" s="18"/>
      <c r="J148" s="3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"/>
      <c r="AJ148"/>
      <c r="AK148"/>
      <c r="AN148"/>
      <c r="AO148" s="13"/>
      <c r="AP148" s="13"/>
      <c r="AQ148" s="13"/>
      <c r="AR148" s="13"/>
      <c r="AS148" s="13"/>
    </row>
    <row r="149" spans="4:45" s="30" customFormat="1" ht="57.75" customHeight="1" x14ac:dyDescent="0.3">
      <c r="D149" s="1"/>
      <c r="E149" s="25"/>
      <c r="F149" s="25"/>
      <c r="G149" s="25"/>
      <c r="H149" s="18"/>
      <c r="I149" s="18"/>
      <c r="J149" s="3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"/>
      <c r="AJ149"/>
      <c r="AK149"/>
      <c r="AN149"/>
      <c r="AO149" s="13"/>
      <c r="AP149" s="13"/>
      <c r="AQ149" s="13"/>
      <c r="AR149" s="13"/>
      <c r="AS149" s="13"/>
    </row>
    <row r="150" spans="4:45" s="30" customFormat="1" ht="57.75" customHeight="1" x14ac:dyDescent="0.3">
      <c r="D150" s="1"/>
      <c r="E150" s="25"/>
      <c r="F150" s="25"/>
      <c r="G150" s="25"/>
      <c r="H150" s="18"/>
      <c r="I150" s="18"/>
      <c r="J150" s="3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"/>
      <c r="AJ150"/>
      <c r="AK150"/>
      <c r="AN150"/>
      <c r="AO150" s="13"/>
      <c r="AP150" s="13"/>
      <c r="AQ150" s="13"/>
      <c r="AR150" s="13"/>
      <c r="AS150" s="13"/>
    </row>
    <row r="151" spans="4:45" s="30" customFormat="1" ht="57.75" customHeight="1" x14ac:dyDescent="0.3">
      <c r="D151" s="1"/>
      <c r="E151" s="25"/>
      <c r="F151" s="25"/>
      <c r="G151" s="25"/>
      <c r="H151" s="18"/>
      <c r="I151" s="18"/>
      <c r="J151" s="3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"/>
      <c r="AJ151"/>
      <c r="AK151"/>
      <c r="AN151"/>
      <c r="AO151" s="13"/>
      <c r="AP151" s="13"/>
      <c r="AQ151" s="13"/>
      <c r="AR151" s="13"/>
      <c r="AS151" s="13"/>
    </row>
    <row r="152" spans="4:45" s="30" customFormat="1" ht="57.75" customHeight="1" x14ac:dyDescent="0.3">
      <c r="D152" s="1"/>
      <c r="E152" s="25"/>
      <c r="F152" s="25"/>
      <c r="G152" s="25"/>
      <c r="H152" s="18"/>
      <c r="I152" s="18"/>
      <c r="J152" s="3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"/>
      <c r="AJ152"/>
      <c r="AK152"/>
      <c r="AN152"/>
      <c r="AO152" s="13"/>
      <c r="AP152" s="13"/>
      <c r="AQ152" s="13"/>
      <c r="AR152" s="13"/>
      <c r="AS152" s="13"/>
    </row>
    <row r="153" spans="4:45" s="30" customFormat="1" ht="57.75" customHeight="1" x14ac:dyDescent="0.3">
      <c r="D153" s="1"/>
      <c r="E153" s="25"/>
      <c r="F153" s="25"/>
      <c r="G153" s="25"/>
      <c r="H153" s="18"/>
      <c r="I153" s="18"/>
      <c r="J153" s="3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"/>
      <c r="AJ153"/>
      <c r="AK153"/>
      <c r="AN153"/>
      <c r="AO153" s="13"/>
      <c r="AP153" s="13"/>
      <c r="AQ153" s="13"/>
      <c r="AR153" s="13"/>
      <c r="AS153" s="13"/>
    </row>
    <row r="154" spans="4:45" s="30" customFormat="1" ht="57.75" customHeight="1" x14ac:dyDescent="0.3">
      <c r="D154" s="1"/>
      <c r="E154" s="25"/>
      <c r="F154" s="25"/>
      <c r="G154" s="25"/>
      <c r="H154" s="18"/>
      <c r="I154" s="18"/>
      <c r="J154" s="3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  <c r="AJ154"/>
      <c r="AK154"/>
      <c r="AN154"/>
      <c r="AO154" s="13"/>
      <c r="AP154" s="13"/>
      <c r="AQ154" s="13"/>
      <c r="AR154" s="13"/>
      <c r="AS154" s="13"/>
    </row>
    <row r="155" spans="4:45" s="30" customFormat="1" ht="57.75" customHeight="1" x14ac:dyDescent="0.3">
      <c r="D155" s="1"/>
      <c r="E155" s="25"/>
      <c r="F155" s="25"/>
      <c r="G155" s="25"/>
      <c r="H155" s="18"/>
      <c r="I155" s="18"/>
      <c r="J155" s="3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  <c r="AJ155"/>
      <c r="AK155"/>
      <c r="AN155"/>
      <c r="AO155" s="13"/>
      <c r="AP155" s="13"/>
      <c r="AQ155" s="13"/>
      <c r="AR155" s="13"/>
      <c r="AS155" s="13"/>
    </row>
    <row r="156" spans="4:45" s="30" customFormat="1" ht="57.75" customHeight="1" x14ac:dyDescent="0.3">
      <c r="D156" s="1"/>
      <c r="E156" s="25"/>
      <c r="F156" s="25"/>
      <c r="G156" s="25"/>
      <c r="H156" s="18"/>
      <c r="I156" s="18"/>
      <c r="J156" s="3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"/>
      <c r="AJ156"/>
      <c r="AK156"/>
      <c r="AN156"/>
      <c r="AO156" s="13"/>
      <c r="AP156" s="13"/>
      <c r="AQ156" s="13"/>
      <c r="AR156" s="13"/>
      <c r="AS156" s="13"/>
    </row>
    <row r="157" spans="4:45" s="30" customFormat="1" ht="57.75" customHeight="1" x14ac:dyDescent="0.3">
      <c r="D157" s="1"/>
      <c r="E157" s="25"/>
      <c r="F157" s="25"/>
      <c r="G157" s="25"/>
      <c r="H157" s="18"/>
      <c r="I157" s="18"/>
      <c r="J157" s="3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"/>
      <c r="AJ157"/>
      <c r="AK157"/>
      <c r="AN157"/>
      <c r="AO157" s="13"/>
      <c r="AP157" s="13"/>
      <c r="AQ157" s="13"/>
      <c r="AR157" s="13"/>
      <c r="AS157" s="13"/>
    </row>
    <row r="158" spans="4:45" s="30" customFormat="1" ht="57.75" customHeight="1" x14ac:dyDescent="0.3">
      <c r="D158" s="1"/>
      <c r="E158" s="25"/>
      <c r="F158" s="25"/>
      <c r="G158" s="25"/>
      <c r="H158" s="18"/>
      <c r="I158" s="18"/>
      <c r="J158" s="3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  <c r="AJ158"/>
      <c r="AK158"/>
      <c r="AN158"/>
      <c r="AO158" s="13"/>
      <c r="AP158" s="13"/>
      <c r="AQ158" s="13"/>
      <c r="AR158" s="13"/>
      <c r="AS158" s="13"/>
    </row>
    <row r="159" spans="4:45" s="30" customFormat="1" ht="57.75" customHeight="1" x14ac:dyDescent="0.3">
      <c r="D159" s="1"/>
      <c r="E159" s="25"/>
      <c r="F159" s="25"/>
      <c r="G159" s="25"/>
      <c r="H159" s="18"/>
      <c r="I159" s="18"/>
      <c r="J159" s="3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  <c r="AJ159"/>
      <c r="AK159"/>
      <c r="AN159"/>
      <c r="AO159" s="13"/>
      <c r="AP159" s="13"/>
      <c r="AQ159" s="13"/>
      <c r="AR159" s="13"/>
      <c r="AS159" s="13"/>
    </row>
    <row r="160" spans="4:45" s="30" customFormat="1" ht="57.75" customHeight="1" x14ac:dyDescent="0.3">
      <c r="D160" s="1"/>
      <c r="E160" s="25"/>
      <c r="F160" s="25"/>
      <c r="G160" s="25"/>
      <c r="H160" s="18"/>
      <c r="I160" s="18"/>
      <c r="J160" s="3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  <c r="AJ160"/>
      <c r="AK160"/>
      <c r="AN160"/>
      <c r="AO160" s="13"/>
      <c r="AP160" s="13"/>
      <c r="AQ160" s="13"/>
      <c r="AR160" s="13"/>
      <c r="AS160" s="13"/>
    </row>
    <row r="161" spans="4:45" s="30" customFormat="1" ht="57.75" customHeight="1" x14ac:dyDescent="0.3">
      <c r="D161" s="1"/>
      <c r="E161" s="25"/>
      <c r="F161" s="25"/>
      <c r="G161" s="25"/>
      <c r="H161" s="18"/>
      <c r="I161" s="18"/>
      <c r="J161" s="3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"/>
      <c r="AJ161"/>
      <c r="AK161"/>
      <c r="AN161"/>
      <c r="AO161" s="13"/>
      <c r="AP161" s="13"/>
      <c r="AQ161" s="13"/>
      <c r="AR161" s="13"/>
      <c r="AS161" s="13"/>
    </row>
    <row r="162" spans="4:45" s="30" customFormat="1" ht="57.75" customHeight="1" x14ac:dyDescent="0.3">
      <c r="D162" s="1"/>
      <c r="E162" s="25"/>
      <c r="F162" s="25"/>
      <c r="G162" s="25"/>
      <c r="H162" s="18"/>
      <c r="I162" s="18"/>
      <c r="J162" s="3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"/>
      <c r="AJ162"/>
      <c r="AK162"/>
      <c r="AN162"/>
      <c r="AO162" s="13"/>
      <c r="AP162" s="13"/>
      <c r="AQ162" s="13"/>
      <c r="AR162" s="13"/>
      <c r="AS162" s="13"/>
    </row>
    <row r="163" spans="4:45" s="30" customFormat="1" ht="57.75" customHeight="1" x14ac:dyDescent="0.3">
      <c r="D163" s="1"/>
      <c r="E163" s="25"/>
      <c r="F163" s="25"/>
      <c r="G163" s="25"/>
      <c r="H163" s="18"/>
      <c r="I163" s="18"/>
      <c r="J163" s="3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"/>
      <c r="AJ163"/>
      <c r="AK163"/>
      <c r="AN163"/>
      <c r="AO163" s="13"/>
      <c r="AP163" s="13"/>
      <c r="AQ163" s="13"/>
      <c r="AR163" s="13"/>
      <c r="AS163" s="13"/>
    </row>
    <row r="164" spans="4:45" s="30" customFormat="1" ht="57.75" customHeight="1" x14ac:dyDescent="0.3">
      <c r="D164" s="1"/>
      <c r="E164" s="25"/>
      <c r="F164" s="25"/>
      <c r="G164" s="25"/>
      <c r="H164" s="18"/>
      <c r="I164" s="18"/>
      <c r="J164" s="3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"/>
      <c r="AJ164"/>
      <c r="AK164"/>
      <c r="AN164"/>
      <c r="AO164" s="13"/>
      <c r="AP164" s="13"/>
      <c r="AQ164" s="13"/>
      <c r="AR164" s="13"/>
      <c r="AS164" s="13"/>
    </row>
    <row r="165" spans="4:45" s="30" customFormat="1" ht="57.75" customHeight="1" x14ac:dyDescent="0.3">
      <c r="D165" s="1"/>
      <c r="E165" s="25"/>
      <c r="F165" s="25"/>
      <c r="G165" s="25"/>
      <c r="H165" s="18"/>
      <c r="I165" s="18"/>
      <c r="J165" s="3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"/>
      <c r="AJ165"/>
      <c r="AK165"/>
      <c r="AN165"/>
      <c r="AO165" s="13"/>
      <c r="AP165" s="13"/>
      <c r="AQ165" s="13"/>
      <c r="AR165" s="13"/>
      <c r="AS165" s="13"/>
    </row>
    <row r="166" spans="4:45" s="30" customFormat="1" ht="57.75" customHeight="1" x14ac:dyDescent="0.3">
      <c r="D166" s="1"/>
      <c r="E166" s="25"/>
      <c r="F166" s="25"/>
      <c r="G166" s="25"/>
      <c r="H166" s="18"/>
      <c r="I166" s="18"/>
      <c r="J166" s="3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  <c r="AJ166"/>
      <c r="AK166"/>
      <c r="AN166"/>
      <c r="AO166" s="13"/>
      <c r="AP166" s="13"/>
      <c r="AQ166" s="13"/>
      <c r="AR166" s="13"/>
      <c r="AS166" s="13"/>
    </row>
    <row r="167" spans="4:45" ht="27" customHeight="1" x14ac:dyDescent="0.3"/>
    <row r="168" spans="4:45" ht="38.25" customHeight="1" x14ac:dyDescent="0.3"/>
    <row r="169" spans="4:45" ht="40.5" customHeight="1" x14ac:dyDescent="0.3"/>
    <row r="170" spans="4:45" s="30" customFormat="1" ht="40.5" customHeight="1" x14ac:dyDescent="0.3">
      <c r="D170" s="1"/>
      <c r="E170" s="25"/>
      <c r="F170" s="25"/>
      <c r="G170" s="25"/>
      <c r="H170" s="18"/>
      <c r="I170" s="18"/>
      <c r="J170" s="3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  <c r="AJ170"/>
      <c r="AK170"/>
      <c r="AN170"/>
    </row>
    <row r="171" spans="4:45" ht="48" customHeight="1" x14ac:dyDescent="0.3">
      <c r="AO171" s="30"/>
    </row>
    <row r="172" spans="4:45" ht="35.25" customHeight="1" x14ac:dyDescent="0.3">
      <c r="AO172" s="30"/>
    </row>
    <row r="173" spans="4:45" ht="66" customHeight="1" x14ac:dyDescent="0.3">
      <c r="AO173" s="30"/>
    </row>
    <row r="174" spans="4:45" ht="46.5" customHeight="1" x14ac:dyDescent="0.3"/>
    <row r="175" spans="4:45" ht="39" customHeight="1" x14ac:dyDescent="0.3"/>
    <row r="176" spans="4:45" ht="39" customHeight="1" x14ac:dyDescent="0.3"/>
    <row r="177" spans="4:41" s="30" customFormat="1" ht="39" customHeight="1" x14ac:dyDescent="0.3">
      <c r="D177" s="1"/>
      <c r="E177" s="25"/>
      <c r="F177" s="25"/>
      <c r="G177" s="25"/>
      <c r="H177" s="18"/>
      <c r="I177" s="18"/>
      <c r="J177" s="3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"/>
      <c r="AJ177"/>
      <c r="AK177"/>
      <c r="AN177"/>
    </row>
    <row r="178" spans="4:41" ht="39.75" customHeight="1" x14ac:dyDescent="0.3"/>
    <row r="179" spans="4:41" ht="39" customHeight="1" x14ac:dyDescent="0.3"/>
    <row r="180" spans="4:41" ht="35.25" customHeight="1" x14ac:dyDescent="0.3"/>
    <row r="181" spans="4:41" ht="39" customHeight="1" x14ac:dyDescent="0.3"/>
    <row r="182" spans="4:41" ht="38.25" customHeight="1" x14ac:dyDescent="0.3"/>
    <row r="183" spans="4:41" ht="40.5" customHeight="1" x14ac:dyDescent="0.3"/>
    <row r="184" spans="4:41" ht="21" customHeight="1" x14ac:dyDescent="0.3"/>
    <row r="185" spans="4:41" ht="48" customHeight="1" x14ac:dyDescent="0.3">
      <c r="AO185" s="3"/>
    </row>
    <row r="186" spans="4:41" ht="39" customHeight="1" x14ac:dyDescent="0.3"/>
    <row r="187" spans="4:41" ht="39" customHeight="1" x14ac:dyDescent="0.3"/>
    <row r="188" spans="4:41" ht="39" customHeight="1" x14ac:dyDescent="0.3"/>
    <row r="189" spans="4:41" ht="39" customHeight="1" x14ac:dyDescent="0.3"/>
    <row r="190" spans="4:41" ht="39" customHeight="1" x14ac:dyDescent="0.3"/>
    <row r="191" spans="4:41" ht="39" customHeight="1" x14ac:dyDescent="0.3"/>
    <row r="192" spans="4:41" ht="39" customHeight="1" x14ac:dyDescent="0.3"/>
    <row r="193" spans="3:3" ht="35.25" customHeight="1" x14ac:dyDescent="0.3"/>
    <row r="194" spans="3:3" ht="39" customHeight="1" x14ac:dyDescent="0.3"/>
    <row r="195" spans="3:3" ht="39" customHeight="1" x14ac:dyDescent="0.3"/>
    <row r="196" spans="3:3" ht="39" customHeight="1" x14ac:dyDescent="0.3"/>
    <row r="197" spans="3:3" ht="36" customHeight="1" x14ac:dyDescent="0.3"/>
    <row r="198" spans="3:3" ht="36" customHeight="1" x14ac:dyDescent="0.3"/>
    <row r="199" spans="3:3" ht="36" customHeight="1" x14ac:dyDescent="0.3"/>
    <row r="208" spans="3:3" ht="16.2" customHeight="1" x14ac:dyDescent="0.3">
      <c r="C208" s="1"/>
    </row>
    <row r="209" spans="3:41" x14ac:dyDescent="0.3">
      <c r="C209" s="1"/>
    </row>
    <row r="210" spans="3:41" x14ac:dyDescent="0.3">
      <c r="C210" s="1"/>
    </row>
    <row r="211" spans="3:41" x14ac:dyDescent="0.3">
      <c r="C211" s="1"/>
      <c r="AO211" s="1"/>
    </row>
    <row r="212" spans="3:41" x14ac:dyDescent="0.3">
      <c r="C212" s="1"/>
      <c r="AO212" s="1"/>
    </row>
    <row r="213" spans="3:41" x14ac:dyDescent="0.3">
      <c r="C213" s="1"/>
      <c r="AO213" s="1"/>
    </row>
    <row r="214" spans="3:41" x14ac:dyDescent="0.3">
      <c r="C214" s="1"/>
      <c r="AO214" s="1"/>
    </row>
    <row r="215" spans="3:41" x14ac:dyDescent="0.3">
      <c r="C215" s="1"/>
      <c r="AO215" s="1"/>
    </row>
    <row r="216" spans="3:41" x14ac:dyDescent="0.3">
      <c r="C216" s="1"/>
      <c r="AO216" s="1"/>
    </row>
    <row r="217" spans="3:41" x14ac:dyDescent="0.3">
      <c r="C217" s="1"/>
      <c r="AO217" s="1"/>
    </row>
    <row r="218" spans="3:41" x14ac:dyDescent="0.3">
      <c r="C218" s="1"/>
      <c r="AO218" s="1"/>
    </row>
    <row r="219" spans="3:41" x14ac:dyDescent="0.3">
      <c r="C219" s="1"/>
      <c r="AO219" s="1"/>
    </row>
    <row r="220" spans="3:41" x14ac:dyDescent="0.3">
      <c r="C220" s="1"/>
      <c r="AO220" s="1"/>
    </row>
    <row r="221" spans="3:41" x14ac:dyDescent="0.3">
      <c r="C221" s="1"/>
      <c r="AO221" s="1"/>
    </row>
    <row r="222" spans="3:41" x14ac:dyDescent="0.3">
      <c r="C222" s="1"/>
      <c r="AO222" s="1"/>
    </row>
    <row r="223" spans="3:41" x14ac:dyDescent="0.3">
      <c r="C223" s="1"/>
      <c r="AO223" s="1"/>
    </row>
    <row r="224" spans="3:41" x14ac:dyDescent="0.3">
      <c r="C224" s="1"/>
      <c r="AO224" s="1"/>
    </row>
    <row r="225" spans="3:41" x14ac:dyDescent="0.3">
      <c r="C225" s="1"/>
      <c r="AO225" s="1"/>
    </row>
    <row r="226" spans="3:41" x14ac:dyDescent="0.3">
      <c r="C226" s="1"/>
      <c r="AO226" s="1"/>
    </row>
    <row r="227" spans="3:41" x14ac:dyDescent="0.3">
      <c r="C227" s="1"/>
      <c r="AO227" s="1"/>
    </row>
    <row r="228" spans="3:41" x14ac:dyDescent="0.3">
      <c r="C228" s="1"/>
      <c r="AO228" s="1"/>
    </row>
    <row r="229" spans="3:41" x14ac:dyDescent="0.3">
      <c r="C229" s="1"/>
      <c r="AO229" s="1"/>
    </row>
    <row r="230" spans="3:41" x14ac:dyDescent="0.3">
      <c r="C230" s="1"/>
      <c r="AO230" s="1"/>
    </row>
    <row r="231" spans="3:41" x14ac:dyDescent="0.3">
      <c r="C231" s="1"/>
      <c r="AO231" s="1"/>
    </row>
    <row r="232" spans="3:41" x14ac:dyDescent="0.3">
      <c r="C232" s="1"/>
      <c r="AO232" s="1"/>
    </row>
    <row r="233" spans="3:41" x14ac:dyDescent="0.3">
      <c r="C233" s="1"/>
      <c r="AO233" s="1"/>
    </row>
    <row r="234" spans="3:41" x14ac:dyDescent="0.3">
      <c r="C234" s="1"/>
      <c r="AO234" s="1"/>
    </row>
    <row r="235" spans="3:41" ht="25.2" customHeight="1" x14ac:dyDescent="0.3">
      <c r="C235" s="1"/>
      <c r="AO235" s="1"/>
    </row>
    <row r="236" spans="3:41" ht="25.2" customHeight="1" x14ac:dyDescent="0.3">
      <c r="C236" s="1"/>
      <c r="AO236" s="1"/>
    </row>
    <row r="237" spans="3:41" x14ac:dyDescent="0.3">
      <c r="C237" s="1"/>
      <c r="AO237" s="1"/>
    </row>
    <row r="238" spans="3:41" x14ac:dyDescent="0.3">
      <c r="C238" s="1"/>
      <c r="AO238" s="1"/>
    </row>
    <row r="239" spans="3:41" x14ac:dyDescent="0.3">
      <c r="C239" s="1"/>
      <c r="AO239" s="1"/>
    </row>
    <row r="240" spans="3:41" x14ac:dyDescent="0.3">
      <c r="C240" s="1"/>
      <c r="AO240" s="1"/>
    </row>
    <row r="241" spans="3:41" x14ac:dyDescent="0.3">
      <c r="C241" s="1"/>
      <c r="AO241" s="1"/>
    </row>
    <row r="242" spans="3:41" x14ac:dyDescent="0.3">
      <c r="C242" s="1"/>
      <c r="AO242" s="1"/>
    </row>
    <row r="243" spans="3:41" x14ac:dyDescent="0.3">
      <c r="C243" s="1"/>
      <c r="AO243" s="1"/>
    </row>
  </sheetData>
  <dataConsolidate link="1"/>
  <mergeCells count="29">
    <mergeCell ref="E2:E6"/>
    <mergeCell ref="F2:L6"/>
    <mergeCell ref="AQ40:AQ43"/>
    <mergeCell ref="AR40:AR43"/>
    <mergeCell ref="AP46:AR46"/>
    <mergeCell ref="D18:E18"/>
    <mergeCell ref="G8:H8"/>
    <mergeCell ref="G9:H9"/>
    <mergeCell ref="J8:M8"/>
    <mergeCell ref="J9:M9"/>
    <mergeCell ref="E48:F48"/>
    <mergeCell ref="AJ38:AL38"/>
    <mergeCell ref="AJ37:AL37"/>
    <mergeCell ref="AM37:AN37"/>
    <mergeCell ref="AM38:AN38"/>
    <mergeCell ref="AM47:AN47"/>
    <mergeCell ref="AM50:AN50"/>
    <mergeCell ref="AM51:AN51"/>
    <mergeCell ref="AM52:AN52"/>
    <mergeCell ref="AM53:AN53"/>
    <mergeCell ref="AJ47:AL47"/>
    <mergeCell ref="AJ48:AL48"/>
    <mergeCell ref="AJ49:AL49"/>
    <mergeCell ref="AJ50:AL50"/>
    <mergeCell ref="AJ51:AL51"/>
    <mergeCell ref="AJ52:AL52"/>
    <mergeCell ref="AJ53:AL53"/>
    <mergeCell ref="AM48:AN48"/>
    <mergeCell ref="AM49:AN49"/>
  </mergeCells>
  <dataValidations count="1">
    <dataValidation type="list" allowBlank="1" showInputMessage="1" showErrorMessage="1" sqref="AA20:AA33" xr:uid="{00000000-0002-0000-0100-000000000000}">
      <formula1>$F$50:$F$52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1000000}">
          <x14:formula1>
            <xm:f>Datos!$M$4:$M$8</xm:f>
          </x14:formula1>
          <xm:sqref>E14</xm:sqref>
        </x14:dataValidation>
        <x14:dataValidation type="list" allowBlank="1" showInputMessage="1" showErrorMessage="1" xr:uid="{00000000-0002-0000-0100-000002000000}">
          <x14:formula1>
            <xm:f>Datos!$D$4:$D$8</xm:f>
          </x14:formula1>
          <xm:sqref>T20:T33 M20:N33</xm:sqref>
        </x14:dataValidation>
        <x14:dataValidation type="list" allowBlank="1" showInputMessage="1" showErrorMessage="1" xr:uid="{00000000-0002-0000-0100-000003000000}">
          <x14:formula1>
            <xm:f>'C:\Users\soporte\AppData\Local\Microsoft\Windows\Temporary Internet Files\Content.Outlook\NH8XR7HU\[Copia de Estimación Requerimiento DESARROLLO  REDPRAY MÓVIL 12Jun2017.xlsx]Datos'!#REF!</xm:f>
          </x14:formula1>
          <xm:sqref>R20:R33 AG20:AG33</xm:sqref>
        </x14:dataValidation>
        <x14:dataValidation type="list" allowBlank="1" showInputMessage="1" showErrorMessage="1" xr:uid="{00000000-0002-0000-0100-000004000000}">
          <x14:formula1>
            <xm:f>Datos!$E$4:$E$6</xm:f>
          </x14:formula1>
          <xm:sqref>Q20:Q33</xm:sqref>
        </x14:dataValidation>
        <x14:dataValidation type="list" allowBlank="1" showInputMessage="1" showErrorMessage="1" xr:uid="{00000000-0002-0000-0100-000005000000}">
          <x14:formula1>
            <xm:f>Datos!$C$4:$C$10</xm:f>
          </x14:formula1>
          <xm:sqref>I20:I33</xm:sqref>
        </x14:dataValidation>
        <x14:dataValidation type="list" allowBlank="1" showInputMessage="1" showErrorMessage="1" xr:uid="{00000000-0002-0000-0100-000006000000}">
          <x14:formula1>
            <xm:f>Datos!$A$4:$A$6</xm:f>
          </x14:formula1>
          <xm:sqref>G20:G33</xm:sqref>
        </x14:dataValidation>
        <x14:dataValidation type="list" allowBlank="1" showInputMessage="1" showErrorMessage="1" xr:uid="{00000000-0002-0000-0100-000007000000}">
          <x14:formula1>
            <xm:f>Datos!$B$4:$B$6</xm:f>
          </x14:formula1>
          <xm:sqref>H20:H33</xm:sqref>
        </x14:dataValidation>
        <x14:dataValidation type="list" allowBlank="1" showInputMessage="1" showErrorMessage="1" xr:uid="{00000000-0002-0000-0100-000008000000}">
          <x14:formula1>
            <xm:f>Datos!$H$4:$H$8</xm:f>
          </x14:formula1>
          <xm:sqref>P20:P33</xm:sqref>
        </x14:dataValidation>
        <x14:dataValidation type="list" allowBlank="1" showInputMessage="1" showErrorMessage="1" xr:uid="{00000000-0002-0000-0100-000009000000}">
          <x14:formula1>
            <xm:f>Datos!$G$4:$G$5</xm:f>
          </x14:formula1>
          <xm:sqref>Y20:Y33 AE20:AE33</xm:sqref>
        </x14:dataValidation>
        <x14:dataValidation type="list" allowBlank="1" showInputMessage="1" showErrorMessage="1" xr:uid="{00000000-0002-0000-0100-00000A000000}">
          <x14:formula1>
            <xm:f>Datos!$N$4:$N$106</xm:f>
          </x14:formula1>
          <xm:sqref>F20:F33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150"/>
  <sheetViews>
    <sheetView zoomScale="70" zoomScaleNormal="70" workbookViewId="0">
      <selection activeCell="G4" sqref="G4:G5"/>
    </sheetView>
  </sheetViews>
  <sheetFormatPr baseColWidth="10" defaultRowHeight="14.4" x14ac:dyDescent="0.3"/>
  <cols>
    <col min="1" max="1" width="14" customWidth="1"/>
    <col min="2" max="3" width="22.109375" customWidth="1"/>
    <col min="4" max="4" width="21.6640625" customWidth="1"/>
    <col min="5" max="5" width="17.88671875" customWidth="1"/>
    <col min="6" max="6" width="17.109375" customWidth="1"/>
    <col min="7" max="7" width="16.88671875" customWidth="1"/>
    <col min="8" max="8" width="18.88671875" customWidth="1"/>
    <col min="9" max="9" width="17.109375" customWidth="1"/>
    <col min="10" max="10" width="16.5546875" style="30" customWidth="1"/>
    <col min="11" max="11" width="19.109375" customWidth="1"/>
    <col min="12" max="12" width="16" customWidth="1"/>
    <col min="13" max="13" width="19.44140625" customWidth="1"/>
    <col min="14" max="14" width="14.6640625" customWidth="1"/>
    <col min="15" max="15" width="20.6640625" customWidth="1"/>
    <col min="16" max="16" width="16" customWidth="1"/>
    <col min="17" max="17" width="17.6640625" customWidth="1"/>
    <col min="18" max="18" width="17.6640625" style="30" customWidth="1"/>
    <col min="19" max="19" width="18.88671875" customWidth="1"/>
    <col min="20" max="20" width="16.88671875" customWidth="1"/>
    <col min="21" max="21" width="14.88671875" customWidth="1"/>
    <col min="30" max="32" width="11.44140625" customWidth="1"/>
  </cols>
  <sheetData>
    <row r="2" spans="1:32" ht="51" customHeight="1" x14ac:dyDescent="0.3">
      <c r="B2" s="154" t="s">
        <v>59</v>
      </c>
      <c r="C2" s="154"/>
      <c r="D2" s="154"/>
      <c r="E2" s="154"/>
      <c r="F2" s="154"/>
      <c r="G2" s="154"/>
      <c r="R2" s="155" t="s">
        <v>114</v>
      </c>
      <c r="S2" s="155"/>
      <c r="AD2" s="30"/>
      <c r="AF2" s="30"/>
    </row>
    <row r="3" spans="1:32" ht="62.4" x14ac:dyDescent="0.3">
      <c r="A3" s="32" t="s">
        <v>75</v>
      </c>
      <c r="B3" s="32" t="s">
        <v>10</v>
      </c>
      <c r="C3" s="32" t="s">
        <v>13</v>
      </c>
      <c r="D3" s="32" t="s">
        <v>6</v>
      </c>
      <c r="E3" s="32" t="s">
        <v>24</v>
      </c>
      <c r="F3" s="32" t="s">
        <v>25</v>
      </c>
      <c r="G3" s="32" t="s">
        <v>34</v>
      </c>
      <c r="H3" s="32" t="s">
        <v>68</v>
      </c>
      <c r="I3" s="32" t="s">
        <v>66</v>
      </c>
      <c r="J3" s="32" t="s">
        <v>67</v>
      </c>
      <c r="K3" s="32" t="s">
        <v>61</v>
      </c>
      <c r="L3" s="32" t="s">
        <v>60</v>
      </c>
      <c r="M3" s="47" t="s">
        <v>81</v>
      </c>
      <c r="N3" s="32" t="s">
        <v>86</v>
      </c>
      <c r="O3" s="32" t="s">
        <v>89</v>
      </c>
      <c r="P3" s="32" t="s">
        <v>90</v>
      </c>
      <c r="Q3" s="32" t="s">
        <v>91</v>
      </c>
      <c r="R3" s="32" t="s">
        <v>156</v>
      </c>
      <c r="S3" s="32" t="s">
        <v>157</v>
      </c>
      <c r="T3" s="32" t="s">
        <v>115</v>
      </c>
      <c r="U3" s="32" t="s">
        <v>158</v>
      </c>
    </row>
    <row r="4" spans="1:32" ht="30.6" x14ac:dyDescent="0.3">
      <c r="A4" s="16" t="s">
        <v>76</v>
      </c>
      <c r="B4" s="16" t="s">
        <v>11</v>
      </c>
      <c r="C4" s="16" t="s">
        <v>18</v>
      </c>
      <c r="D4" s="16" t="s">
        <v>0</v>
      </c>
      <c r="E4" s="16" t="s">
        <v>30</v>
      </c>
      <c r="F4" s="16" t="s">
        <v>28</v>
      </c>
      <c r="G4" s="16" t="s">
        <v>38</v>
      </c>
      <c r="H4" s="16" t="s">
        <v>0</v>
      </c>
      <c r="I4" s="36">
        <v>2</v>
      </c>
      <c r="J4" s="36">
        <v>5</v>
      </c>
      <c r="K4" s="36">
        <v>2</v>
      </c>
      <c r="M4" s="16" t="s">
        <v>82</v>
      </c>
      <c r="N4" s="36">
        <v>0</v>
      </c>
      <c r="O4" t="s">
        <v>92</v>
      </c>
      <c r="P4">
        <v>1</v>
      </c>
      <c r="Q4">
        <v>24</v>
      </c>
      <c r="R4" s="30">
        <v>1000</v>
      </c>
      <c r="S4" s="50">
        <v>3000</v>
      </c>
      <c r="T4" t="s">
        <v>116</v>
      </c>
      <c r="U4">
        <v>4</v>
      </c>
    </row>
    <row r="5" spans="1:32" ht="45.6" x14ac:dyDescent="0.3">
      <c r="A5" s="16" t="s">
        <v>58</v>
      </c>
      <c r="B5" s="16" t="s">
        <v>12</v>
      </c>
      <c r="C5" s="16" t="s">
        <v>14</v>
      </c>
      <c r="D5" s="16" t="s">
        <v>8</v>
      </c>
      <c r="E5" s="16" t="s">
        <v>27</v>
      </c>
      <c r="F5" s="16" t="s">
        <v>29</v>
      </c>
      <c r="G5" s="16" t="s">
        <v>39</v>
      </c>
      <c r="H5" s="16" t="s">
        <v>8</v>
      </c>
      <c r="I5" s="36">
        <v>5</v>
      </c>
      <c r="J5" s="36">
        <v>10</v>
      </c>
      <c r="K5" s="36">
        <v>5</v>
      </c>
      <c r="L5" s="16" t="s">
        <v>19</v>
      </c>
      <c r="M5" s="16" t="s">
        <v>80</v>
      </c>
      <c r="N5" s="36">
        <v>1</v>
      </c>
      <c r="O5" t="s">
        <v>93</v>
      </c>
      <c r="P5">
        <v>1</v>
      </c>
      <c r="Q5">
        <v>24</v>
      </c>
      <c r="R5" s="30">
        <v>3001</v>
      </c>
      <c r="S5" s="50">
        <v>5000</v>
      </c>
      <c r="T5" t="s">
        <v>117</v>
      </c>
      <c r="U5">
        <v>5</v>
      </c>
    </row>
    <row r="6" spans="1:32" ht="45.6" x14ac:dyDescent="0.3">
      <c r="A6" s="16" t="s">
        <v>135</v>
      </c>
      <c r="B6" s="16" t="s">
        <v>139</v>
      </c>
      <c r="C6" s="16" t="s">
        <v>15</v>
      </c>
      <c r="D6" s="16" t="s">
        <v>1</v>
      </c>
      <c r="E6" s="16" t="s">
        <v>26</v>
      </c>
      <c r="F6" s="16"/>
      <c r="H6" s="16" t="s">
        <v>1</v>
      </c>
      <c r="I6" s="36">
        <v>10</v>
      </c>
      <c r="J6" s="36">
        <v>20</v>
      </c>
      <c r="K6" s="36">
        <v>10</v>
      </c>
      <c r="L6" s="16" t="s">
        <v>64</v>
      </c>
      <c r="M6" s="16" t="s">
        <v>83</v>
      </c>
      <c r="N6" s="36">
        <v>2</v>
      </c>
      <c r="O6" t="s">
        <v>94</v>
      </c>
      <c r="P6">
        <v>1</v>
      </c>
      <c r="Q6">
        <v>24</v>
      </c>
      <c r="R6" s="30">
        <v>5001</v>
      </c>
      <c r="S6" s="50">
        <v>10000</v>
      </c>
      <c r="T6" t="s">
        <v>118</v>
      </c>
      <c r="U6">
        <v>6</v>
      </c>
    </row>
    <row r="7" spans="1:32" ht="15.6" x14ac:dyDescent="0.3">
      <c r="B7" s="16"/>
      <c r="C7" s="16" t="s">
        <v>16</v>
      </c>
      <c r="D7" s="16" t="s">
        <v>7</v>
      </c>
      <c r="E7" s="16"/>
      <c r="F7" s="16"/>
      <c r="H7" s="16" t="s">
        <v>7</v>
      </c>
      <c r="I7" s="36">
        <v>20</v>
      </c>
      <c r="J7" s="36">
        <v>30</v>
      </c>
      <c r="K7" s="36">
        <v>15</v>
      </c>
      <c r="L7" s="16" t="s">
        <v>65</v>
      </c>
      <c r="M7" s="16" t="s">
        <v>84</v>
      </c>
      <c r="N7" s="36">
        <v>3</v>
      </c>
      <c r="O7" t="s">
        <v>95</v>
      </c>
      <c r="P7">
        <v>1</v>
      </c>
      <c r="Q7">
        <v>24</v>
      </c>
      <c r="R7" s="30">
        <v>10001</v>
      </c>
      <c r="S7" s="50">
        <v>15000</v>
      </c>
      <c r="T7" t="s">
        <v>119</v>
      </c>
      <c r="U7">
        <v>7</v>
      </c>
    </row>
    <row r="8" spans="1:32" ht="15.6" x14ac:dyDescent="0.3">
      <c r="B8" s="16"/>
      <c r="C8" s="16" t="s">
        <v>17</v>
      </c>
      <c r="D8" s="16" t="s">
        <v>37</v>
      </c>
      <c r="H8" s="16" t="s">
        <v>37</v>
      </c>
      <c r="I8" s="36">
        <v>40</v>
      </c>
      <c r="J8" s="36">
        <v>50</v>
      </c>
      <c r="K8" s="36">
        <v>25</v>
      </c>
      <c r="L8" s="16"/>
      <c r="M8" s="16" t="s">
        <v>85</v>
      </c>
      <c r="N8" s="36">
        <v>4</v>
      </c>
      <c r="O8" t="s">
        <v>96</v>
      </c>
      <c r="P8">
        <v>1</v>
      </c>
      <c r="Q8">
        <v>24</v>
      </c>
      <c r="R8" s="30">
        <v>15001</v>
      </c>
      <c r="S8" s="50">
        <v>20000</v>
      </c>
      <c r="T8" t="s">
        <v>120</v>
      </c>
      <c r="U8">
        <v>8</v>
      </c>
    </row>
    <row r="9" spans="1:32" ht="15.6" x14ac:dyDescent="0.3">
      <c r="C9" s="16" t="s">
        <v>52</v>
      </c>
      <c r="H9" s="32"/>
      <c r="J9"/>
      <c r="L9" s="16"/>
      <c r="N9" s="36">
        <v>5</v>
      </c>
      <c r="O9" t="s">
        <v>108</v>
      </c>
      <c r="P9">
        <v>16</v>
      </c>
      <c r="Q9">
        <f>SUM(Q4:Q8)+Q10</f>
        <v>212</v>
      </c>
      <c r="R9" s="30">
        <v>20001</v>
      </c>
      <c r="S9" s="50">
        <v>25000</v>
      </c>
      <c r="T9" t="s">
        <v>121</v>
      </c>
      <c r="U9">
        <v>9</v>
      </c>
    </row>
    <row r="10" spans="1:32" ht="15.6" x14ac:dyDescent="0.3">
      <c r="C10" s="16" t="s">
        <v>55</v>
      </c>
      <c r="H10" s="16"/>
      <c r="L10" s="16"/>
      <c r="N10" s="36">
        <v>6</v>
      </c>
      <c r="O10" t="s">
        <v>109</v>
      </c>
      <c r="P10">
        <v>12</v>
      </c>
      <c r="Q10">
        <f>SUM(Q11:Q23)</f>
        <v>92</v>
      </c>
      <c r="R10" s="30">
        <v>25001</v>
      </c>
      <c r="S10" s="50">
        <v>30000</v>
      </c>
      <c r="T10" t="s">
        <v>122</v>
      </c>
      <c r="U10">
        <v>10</v>
      </c>
      <c r="AF10">
        <f>IF(Q10&gt;0,AE10*0.25+IF(EXACT(AC10,"CLIENTE"),0,IF(OR(EXACT(AC10,"EDENRED"),OR(EXACT(AC10,"EFECTIVALE"),OR(EXACT(AC10,"SIVALE"),EXACT(AC10,"SODEXO")))),Datos!Q5,0))+IF(EXACT(AC10,"SORIANA"),Datos!Q12,0)+IF(EXACT(AC10,"CADENAS"),Datos!Q10,0)+IF(EXACT(AC10,"EMISORA Y CADENAS"),Datos!Q10,0),0)</f>
        <v>0</v>
      </c>
    </row>
    <row r="11" spans="1:32" x14ac:dyDescent="0.3">
      <c r="N11" s="36">
        <v>7</v>
      </c>
      <c r="O11" t="s">
        <v>97</v>
      </c>
      <c r="P11">
        <v>13701</v>
      </c>
      <c r="Q11">
        <v>32</v>
      </c>
      <c r="R11" s="30">
        <v>30001</v>
      </c>
      <c r="S11" s="50">
        <v>40000</v>
      </c>
      <c r="T11" t="s">
        <v>123</v>
      </c>
      <c r="U11">
        <v>11</v>
      </c>
    </row>
    <row r="12" spans="1:32" s="30" customFormat="1" x14ac:dyDescent="0.3">
      <c r="N12" s="36">
        <v>8</v>
      </c>
      <c r="O12" s="30" t="s">
        <v>106</v>
      </c>
      <c r="P12" s="30">
        <v>3000</v>
      </c>
      <c r="Q12" s="30">
        <v>16</v>
      </c>
      <c r="R12" s="30">
        <v>40001</v>
      </c>
      <c r="S12" s="50">
        <v>45000</v>
      </c>
      <c r="T12" s="30" t="s">
        <v>124</v>
      </c>
      <c r="U12" s="30">
        <v>12</v>
      </c>
    </row>
    <row r="13" spans="1:32" x14ac:dyDescent="0.3">
      <c r="N13" s="36">
        <v>9</v>
      </c>
      <c r="O13" t="s">
        <v>98</v>
      </c>
      <c r="P13">
        <v>601</v>
      </c>
      <c r="Q13" s="30">
        <v>4</v>
      </c>
      <c r="R13" s="30">
        <v>45001</v>
      </c>
      <c r="S13" s="50">
        <v>50000</v>
      </c>
      <c r="T13" t="s">
        <v>125</v>
      </c>
      <c r="U13">
        <v>13</v>
      </c>
    </row>
    <row r="14" spans="1:32" x14ac:dyDescent="0.3">
      <c r="N14" s="36">
        <v>10</v>
      </c>
      <c r="O14" t="s">
        <v>110</v>
      </c>
      <c r="P14">
        <v>200</v>
      </c>
      <c r="Q14" s="30">
        <v>4</v>
      </c>
    </row>
    <row r="15" spans="1:32" x14ac:dyDescent="0.3">
      <c r="N15" s="36">
        <v>11</v>
      </c>
      <c r="O15" t="s">
        <v>111</v>
      </c>
      <c r="P15">
        <v>390</v>
      </c>
      <c r="Q15" s="30">
        <v>4</v>
      </c>
    </row>
    <row r="16" spans="1:32" x14ac:dyDescent="0.3">
      <c r="N16" s="36">
        <v>12</v>
      </c>
      <c r="O16" t="s">
        <v>99</v>
      </c>
      <c r="P16">
        <v>400</v>
      </c>
      <c r="Q16" s="30">
        <v>4</v>
      </c>
    </row>
    <row r="17" spans="14:17" x14ac:dyDescent="0.3">
      <c r="N17" s="36">
        <v>13</v>
      </c>
      <c r="O17" t="s">
        <v>100</v>
      </c>
      <c r="P17">
        <v>500</v>
      </c>
      <c r="Q17" s="30">
        <v>4</v>
      </c>
    </row>
    <row r="18" spans="14:17" x14ac:dyDescent="0.3">
      <c r="N18" s="36">
        <v>14</v>
      </c>
      <c r="O18" t="s">
        <v>101</v>
      </c>
      <c r="P18">
        <v>300</v>
      </c>
      <c r="Q18" s="30">
        <v>4</v>
      </c>
    </row>
    <row r="19" spans="14:17" x14ac:dyDescent="0.3">
      <c r="N19" s="36">
        <v>15</v>
      </c>
      <c r="O19" t="s">
        <v>102</v>
      </c>
      <c r="P19">
        <v>200</v>
      </c>
      <c r="Q19" s="30">
        <v>4</v>
      </c>
    </row>
    <row r="20" spans="14:17" x14ac:dyDescent="0.3">
      <c r="N20" s="36">
        <v>16</v>
      </c>
      <c r="O20" t="s">
        <v>112</v>
      </c>
      <c r="P20">
        <v>800</v>
      </c>
      <c r="Q20" s="30">
        <v>4</v>
      </c>
    </row>
    <row r="21" spans="14:17" x14ac:dyDescent="0.3">
      <c r="N21" s="36">
        <v>17</v>
      </c>
      <c r="O21" t="s">
        <v>103</v>
      </c>
      <c r="P21">
        <v>2200</v>
      </c>
      <c r="Q21" s="30">
        <v>4</v>
      </c>
    </row>
    <row r="22" spans="14:17" x14ac:dyDescent="0.3">
      <c r="N22" s="36">
        <v>18</v>
      </c>
      <c r="O22" t="s">
        <v>104</v>
      </c>
      <c r="P22">
        <v>3500</v>
      </c>
      <c r="Q22" s="30">
        <v>4</v>
      </c>
    </row>
    <row r="23" spans="14:17" x14ac:dyDescent="0.3">
      <c r="N23" s="36">
        <v>19</v>
      </c>
      <c r="P23">
        <v>500</v>
      </c>
      <c r="Q23" s="30">
        <v>4</v>
      </c>
    </row>
    <row r="24" spans="14:17" x14ac:dyDescent="0.3">
      <c r="N24" s="36">
        <f>N23+1</f>
        <v>20</v>
      </c>
    </row>
    <row r="25" spans="14:17" x14ac:dyDescent="0.3">
      <c r="N25" s="36">
        <f t="shared" ref="N25:N88" si="0">N24+1</f>
        <v>21</v>
      </c>
    </row>
    <row r="26" spans="14:17" x14ac:dyDescent="0.3">
      <c r="N26" s="36">
        <f t="shared" si="0"/>
        <v>22</v>
      </c>
    </row>
    <row r="27" spans="14:17" x14ac:dyDescent="0.3">
      <c r="N27" s="36">
        <f t="shared" si="0"/>
        <v>23</v>
      </c>
    </row>
    <row r="28" spans="14:17" x14ac:dyDescent="0.3">
      <c r="N28" s="36">
        <f t="shared" si="0"/>
        <v>24</v>
      </c>
    </row>
    <row r="29" spans="14:17" x14ac:dyDescent="0.3">
      <c r="N29" s="36">
        <f t="shared" si="0"/>
        <v>25</v>
      </c>
    </row>
    <row r="30" spans="14:17" x14ac:dyDescent="0.3">
      <c r="N30" s="36">
        <f t="shared" si="0"/>
        <v>26</v>
      </c>
    </row>
    <row r="31" spans="14:17" x14ac:dyDescent="0.3">
      <c r="N31" s="36">
        <f t="shared" si="0"/>
        <v>27</v>
      </c>
    </row>
    <row r="32" spans="14:17" x14ac:dyDescent="0.3">
      <c r="N32" s="36">
        <f t="shared" si="0"/>
        <v>28</v>
      </c>
    </row>
    <row r="33" spans="14:14" x14ac:dyDescent="0.3">
      <c r="N33" s="36">
        <f t="shared" si="0"/>
        <v>29</v>
      </c>
    </row>
    <row r="34" spans="14:14" x14ac:dyDescent="0.3">
      <c r="N34" s="36">
        <f t="shared" si="0"/>
        <v>30</v>
      </c>
    </row>
    <row r="35" spans="14:14" x14ac:dyDescent="0.3">
      <c r="N35" s="36">
        <f t="shared" si="0"/>
        <v>31</v>
      </c>
    </row>
    <row r="36" spans="14:14" x14ac:dyDescent="0.3">
      <c r="N36" s="36">
        <f t="shared" si="0"/>
        <v>32</v>
      </c>
    </row>
    <row r="37" spans="14:14" x14ac:dyDescent="0.3">
      <c r="N37" s="36">
        <f t="shared" si="0"/>
        <v>33</v>
      </c>
    </row>
    <row r="38" spans="14:14" x14ac:dyDescent="0.3">
      <c r="N38" s="36">
        <f t="shared" si="0"/>
        <v>34</v>
      </c>
    </row>
    <row r="39" spans="14:14" x14ac:dyDescent="0.3">
      <c r="N39" s="36">
        <f t="shared" si="0"/>
        <v>35</v>
      </c>
    </row>
    <row r="40" spans="14:14" x14ac:dyDescent="0.3">
      <c r="N40" s="36">
        <f t="shared" si="0"/>
        <v>36</v>
      </c>
    </row>
    <row r="41" spans="14:14" x14ac:dyDescent="0.3">
      <c r="N41" s="36">
        <f t="shared" si="0"/>
        <v>37</v>
      </c>
    </row>
    <row r="42" spans="14:14" x14ac:dyDescent="0.3">
      <c r="N42" s="36">
        <f t="shared" si="0"/>
        <v>38</v>
      </c>
    </row>
    <row r="43" spans="14:14" x14ac:dyDescent="0.3">
      <c r="N43" s="36">
        <f t="shared" si="0"/>
        <v>39</v>
      </c>
    </row>
    <row r="44" spans="14:14" x14ac:dyDescent="0.3">
      <c r="N44" s="36">
        <f t="shared" si="0"/>
        <v>40</v>
      </c>
    </row>
    <row r="45" spans="14:14" x14ac:dyDescent="0.3">
      <c r="N45" s="36">
        <f t="shared" si="0"/>
        <v>41</v>
      </c>
    </row>
    <row r="46" spans="14:14" x14ac:dyDescent="0.3">
      <c r="N46" s="36">
        <f t="shared" si="0"/>
        <v>42</v>
      </c>
    </row>
    <row r="47" spans="14:14" x14ac:dyDescent="0.3">
      <c r="N47" s="36">
        <f t="shared" si="0"/>
        <v>43</v>
      </c>
    </row>
    <row r="48" spans="14:14" x14ac:dyDescent="0.3">
      <c r="N48" s="36">
        <f t="shared" si="0"/>
        <v>44</v>
      </c>
    </row>
    <row r="49" spans="14:14" x14ac:dyDescent="0.3">
      <c r="N49" s="36">
        <f t="shared" si="0"/>
        <v>45</v>
      </c>
    </row>
    <row r="50" spans="14:14" x14ac:dyDescent="0.3">
      <c r="N50" s="36">
        <f t="shared" si="0"/>
        <v>46</v>
      </c>
    </row>
    <row r="51" spans="14:14" x14ac:dyDescent="0.3">
      <c r="N51" s="36">
        <f t="shared" si="0"/>
        <v>47</v>
      </c>
    </row>
    <row r="52" spans="14:14" x14ac:dyDescent="0.3">
      <c r="N52" s="36">
        <f t="shared" si="0"/>
        <v>48</v>
      </c>
    </row>
    <row r="53" spans="14:14" x14ac:dyDescent="0.3">
      <c r="N53" s="36">
        <f t="shared" si="0"/>
        <v>49</v>
      </c>
    </row>
    <row r="54" spans="14:14" x14ac:dyDescent="0.3">
      <c r="N54" s="36">
        <f t="shared" si="0"/>
        <v>50</v>
      </c>
    </row>
    <row r="55" spans="14:14" x14ac:dyDescent="0.3">
      <c r="N55" s="36">
        <f t="shared" si="0"/>
        <v>51</v>
      </c>
    </row>
    <row r="56" spans="14:14" x14ac:dyDescent="0.3">
      <c r="N56" s="36">
        <f t="shared" si="0"/>
        <v>52</v>
      </c>
    </row>
    <row r="57" spans="14:14" x14ac:dyDescent="0.3">
      <c r="N57" s="36">
        <f t="shared" si="0"/>
        <v>53</v>
      </c>
    </row>
    <row r="58" spans="14:14" x14ac:dyDescent="0.3">
      <c r="N58" s="36">
        <f t="shared" si="0"/>
        <v>54</v>
      </c>
    </row>
    <row r="59" spans="14:14" x14ac:dyDescent="0.3">
      <c r="N59" s="36">
        <f t="shared" si="0"/>
        <v>55</v>
      </c>
    </row>
    <row r="60" spans="14:14" x14ac:dyDescent="0.3">
      <c r="N60" s="36">
        <f t="shared" si="0"/>
        <v>56</v>
      </c>
    </row>
    <row r="61" spans="14:14" x14ac:dyDescent="0.3">
      <c r="N61" s="36">
        <f t="shared" si="0"/>
        <v>57</v>
      </c>
    </row>
    <row r="62" spans="14:14" x14ac:dyDescent="0.3">
      <c r="N62" s="36">
        <f t="shared" si="0"/>
        <v>58</v>
      </c>
    </row>
    <row r="63" spans="14:14" x14ac:dyDescent="0.3">
      <c r="N63" s="36">
        <f t="shared" si="0"/>
        <v>59</v>
      </c>
    </row>
    <row r="64" spans="14:14" x14ac:dyDescent="0.3">
      <c r="N64" s="36">
        <f t="shared" si="0"/>
        <v>60</v>
      </c>
    </row>
    <row r="65" spans="14:14" x14ac:dyDescent="0.3">
      <c r="N65" s="36">
        <f t="shared" si="0"/>
        <v>61</v>
      </c>
    </row>
    <row r="66" spans="14:14" x14ac:dyDescent="0.3">
      <c r="N66" s="36">
        <f t="shared" si="0"/>
        <v>62</v>
      </c>
    </row>
    <row r="67" spans="14:14" x14ac:dyDescent="0.3">
      <c r="N67" s="36">
        <f t="shared" si="0"/>
        <v>63</v>
      </c>
    </row>
    <row r="68" spans="14:14" x14ac:dyDescent="0.3">
      <c r="N68" s="36">
        <f t="shared" si="0"/>
        <v>64</v>
      </c>
    </row>
    <row r="69" spans="14:14" x14ac:dyDescent="0.3">
      <c r="N69" s="36">
        <f t="shared" si="0"/>
        <v>65</v>
      </c>
    </row>
    <row r="70" spans="14:14" x14ac:dyDescent="0.3">
      <c r="N70" s="36">
        <f t="shared" si="0"/>
        <v>66</v>
      </c>
    </row>
    <row r="71" spans="14:14" x14ac:dyDescent="0.3">
      <c r="N71" s="36">
        <f t="shared" si="0"/>
        <v>67</v>
      </c>
    </row>
    <row r="72" spans="14:14" x14ac:dyDescent="0.3">
      <c r="N72" s="36">
        <f t="shared" si="0"/>
        <v>68</v>
      </c>
    </row>
    <row r="73" spans="14:14" x14ac:dyDescent="0.3">
      <c r="N73" s="36">
        <f t="shared" si="0"/>
        <v>69</v>
      </c>
    </row>
    <row r="74" spans="14:14" x14ac:dyDescent="0.3">
      <c r="N74" s="36">
        <f t="shared" si="0"/>
        <v>70</v>
      </c>
    </row>
    <row r="75" spans="14:14" x14ac:dyDescent="0.3">
      <c r="N75" s="36">
        <f t="shared" si="0"/>
        <v>71</v>
      </c>
    </row>
    <row r="76" spans="14:14" x14ac:dyDescent="0.3">
      <c r="N76" s="36">
        <f t="shared" si="0"/>
        <v>72</v>
      </c>
    </row>
    <row r="77" spans="14:14" x14ac:dyDescent="0.3">
      <c r="N77" s="36">
        <f t="shared" si="0"/>
        <v>73</v>
      </c>
    </row>
    <row r="78" spans="14:14" x14ac:dyDescent="0.3">
      <c r="N78" s="36">
        <f t="shared" si="0"/>
        <v>74</v>
      </c>
    </row>
    <row r="79" spans="14:14" x14ac:dyDescent="0.3">
      <c r="N79" s="36">
        <f t="shared" si="0"/>
        <v>75</v>
      </c>
    </row>
    <row r="80" spans="14:14" x14ac:dyDescent="0.3">
      <c r="N80" s="36">
        <f t="shared" si="0"/>
        <v>76</v>
      </c>
    </row>
    <row r="81" spans="14:14" x14ac:dyDescent="0.3">
      <c r="N81" s="36">
        <f t="shared" si="0"/>
        <v>77</v>
      </c>
    </row>
    <row r="82" spans="14:14" x14ac:dyDescent="0.3">
      <c r="N82" s="36">
        <f t="shared" si="0"/>
        <v>78</v>
      </c>
    </row>
    <row r="83" spans="14:14" x14ac:dyDescent="0.3">
      <c r="N83" s="36">
        <f t="shared" si="0"/>
        <v>79</v>
      </c>
    </row>
    <row r="84" spans="14:14" x14ac:dyDescent="0.3">
      <c r="N84" s="36">
        <f t="shared" si="0"/>
        <v>80</v>
      </c>
    </row>
    <row r="85" spans="14:14" x14ac:dyDescent="0.3">
      <c r="N85" s="36">
        <f t="shared" si="0"/>
        <v>81</v>
      </c>
    </row>
    <row r="86" spans="14:14" x14ac:dyDescent="0.3">
      <c r="N86" s="36">
        <f t="shared" si="0"/>
        <v>82</v>
      </c>
    </row>
    <row r="87" spans="14:14" x14ac:dyDescent="0.3">
      <c r="N87" s="36">
        <f t="shared" si="0"/>
        <v>83</v>
      </c>
    </row>
    <row r="88" spans="14:14" x14ac:dyDescent="0.3">
      <c r="N88" s="36">
        <f t="shared" si="0"/>
        <v>84</v>
      </c>
    </row>
    <row r="89" spans="14:14" x14ac:dyDescent="0.3">
      <c r="N89" s="36">
        <f t="shared" ref="N89:N150" si="1">N88+1</f>
        <v>85</v>
      </c>
    </row>
    <row r="90" spans="14:14" x14ac:dyDescent="0.3">
      <c r="N90" s="36">
        <f t="shared" si="1"/>
        <v>86</v>
      </c>
    </row>
    <row r="91" spans="14:14" x14ac:dyDescent="0.3">
      <c r="N91" s="36">
        <f t="shared" si="1"/>
        <v>87</v>
      </c>
    </row>
    <row r="92" spans="14:14" x14ac:dyDescent="0.3">
      <c r="N92" s="36">
        <f t="shared" si="1"/>
        <v>88</v>
      </c>
    </row>
    <row r="93" spans="14:14" x14ac:dyDescent="0.3">
      <c r="N93" s="36">
        <f t="shared" si="1"/>
        <v>89</v>
      </c>
    </row>
    <row r="94" spans="14:14" x14ac:dyDescent="0.3">
      <c r="N94" s="36">
        <f t="shared" si="1"/>
        <v>90</v>
      </c>
    </row>
    <row r="95" spans="14:14" x14ac:dyDescent="0.3">
      <c r="N95" s="36">
        <f t="shared" si="1"/>
        <v>91</v>
      </c>
    </row>
    <row r="96" spans="14:14" x14ac:dyDescent="0.3">
      <c r="N96" s="36">
        <f t="shared" si="1"/>
        <v>92</v>
      </c>
    </row>
    <row r="97" spans="14:14" x14ac:dyDescent="0.3">
      <c r="N97" s="36">
        <f t="shared" si="1"/>
        <v>93</v>
      </c>
    </row>
    <row r="98" spans="14:14" x14ac:dyDescent="0.3">
      <c r="N98" s="36">
        <f t="shared" si="1"/>
        <v>94</v>
      </c>
    </row>
    <row r="99" spans="14:14" x14ac:dyDescent="0.3">
      <c r="N99" s="36">
        <f t="shared" si="1"/>
        <v>95</v>
      </c>
    </row>
    <row r="100" spans="14:14" x14ac:dyDescent="0.3">
      <c r="N100" s="36">
        <f t="shared" si="1"/>
        <v>96</v>
      </c>
    </row>
    <row r="101" spans="14:14" x14ac:dyDescent="0.3">
      <c r="N101" s="36">
        <f t="shared" si="1"/>
        <v>97</v>
      </c>
    </row>
    <row r="102" spans="14:14" x14ac:dyDescent="0.3">
      <c r="N102" s="36">
        <f t="shared" si="1"/>
        <v>98</v>
      </c>
    </row>
    <row r="103" spans="14:14" x14ac:dyDescent="0.3">
      <c r="N103" s="36">
        <f t="shared" si="1"/>
        <v>99</v>
      </c>
    </row>
    <row r="104" spans="14:14" x14ac:dyDescent="0.3">
      <c r="N104" s="36">
        <f t="shared" si="1"/>
        <v>100</v>
      </c>
    </row>
    <row r="105" spans="14:14" x14ac:dyDescent="0.3">
      <c r="N105" s="36">
        <f t="shared" si="1"/>
        <v>101</v>
      </c>
    </row>
    <row r="106" spans="14:14" x14ac:dyDescent="0.3">
      <c r="N106" s="36">
        <f t="shared" si="1"/>
        <v>102</v>
      </c>
    </row>
    <row r="107" spans="14:14" x14ac:dyDescent="0.3">
      <c r="N107" s="36">
        <f t="shared" si="1"/>
        <v>103</v>
      </c>
    </row>
    <row r="108" spans="14:14" x14ac:dyDescent="0.3">
      <c r="N108" s="36">
        <f t="shared" si="1"/>
        <v>104</v>
      </c>
    </row>
    <row r="109" spans="14:14" x14ac:dyDescent="0.3">
      <c r="N109" s="36">
        <f t="shared" si="1"/>
        <v>105</v>
      </c>
    </row>
    <row r="110" spans="14:14" x14ac:dyDescent="0.3">
      <c r="N110" s="36">
        <f t="shared" si="1"/>
        <v>106</v>
      </c>
    </row>
    <row r="111" spans="14:14" x14ac:dyDescent="0.3">
      <c r="N111" s="36">
        <f t="shared" si="1"/>
        <v>107</v>
      </c>
    </row>
    <row r="112" spans="14:14" x14ac:dyDescent="0.3">
      <c r="N112" s="36">
        <f t="shared" si="1"/>
        <v>108</v>
      </c>
    </row>
    <row r="113" spans="14:14" x14ac:dyDescent="0.3">
      <c r="N113" s="36">
        <f t="shared" si="1"/>
        <v>109</v>
      </c>
    </row>
    <row r="114" spans="14:14" x14ac:dyDescent="0.3">
      <c r="N114" s="36">
        <f t="shared" si="1"/>
        <v>110</v>
      </c>
    </row>
    <row r="115" spans="14:14" x14ac:dyDescent="0.3">
      <c r="N115" s="36">
        <f t="shared" si="1"/>
        <v>111</v>
      </c>
    </row>
    <row r="116" spans="14:14" x14ac:dyDescent="0.3">
      <c r="N116" s="36">
        <f t="shared" si="1"/>
        <v>112</v>
      </c>
    </row>
    <row r="117" spans="14:14" x14ac:dyDescent="0.3">
      <c r="N117" s="36">
        <f t="shared" si="1"/>
        <v>113</v>
      </c>
    </row>
    <row r="118" spans="14:14" x14ac:dyDescent="0.3">
      <c r="N118" s="36">
        <f t="shared" si="1"/>
        <v>114</v>
      </c>
    </row>
    <row r="119" spans="14:14" x14ac:dyDescent="0.3">
      <c r="N119" s="36">
        <f t="shared" si="1"/>
        <v>115</v>
      </c>
    </row>
    <row r="120" spans="14:14" x14ac:dyDescent="0.3">
      <c r="N120" s="36">
        <f t="shared" si="1"/>
        <v>116</v>
      </c>
    </row>
    <row r="121" spans="14:14" x14ac:dyDescent="0.3">
      <c r="N121" s="36">
        <f t="shared" si="1"/>
        <v>117</v>
      </c>
    </row>
    <row r="122" spans="14:14" x14ac:dyDescent="0.3">
      <c r="N122" s="36">
        <f t="shared" si="1"/>
        <v>118</v>
      </c>
    </row>
    <row r="123" spans="14:14" x14ac:dyDescent="0.3">
      <c r="N123" s="36">
        <f t="shared" si="1"/>
        <v>119</v>
      </c>
    </row>
    <row r="124" spans="14:14" x14ac:dyDescent="0.3">
      <c r="N124" s="36">
        <f t="shared" si="1"/>
        <v>120</v>
      </c>
    </row>
    <row r="125" spans="14:14" x14ac:dyDescent="0.3">
      <c r="N125" s="36">
        <f t="shared" si="1"/>
        <v>121</v>
      </c>
    </row>
    <row r="126" spans="14:14" x14ac:dyDescent="0.3">
      <c r="N126" s="36">
        <f t="shared" si="1"/>
        <v>122</v>
      </c>
    </row>
    <row r="127" spans="14:14" x14ac:dyDescent="0.3">
      <c r="N127" s="36">
        <f t="shared" si="1"/>
        <v>123</v>
      </c>
    </row>
    <row r="128" spans="14:14" x14ac:dyDescent="0.3">
      <c r="N128" s="36">
        <f t="shared" si="1"/>
        <v>124</v>
      </c>
    </row>
    <row r="129" spans="14:14" x14ac:dyDescent="0.3">
      <c r="N129" s="36">
        <f t="shared" si="1"/>
        <v>125</v>
      </c>
    </row>
    <row r="130" spans="14:14" x14ac:dyDescent="0.3">
      <c r="N130" s="36">
        <f t="shared" si="1"/>
        <v>126</v>
      </c>
    </row>
    <row r="131" spans="14:14" x14ac:dyDescent="0.3">
      <c r="N131" s="36">
        <f t="shared" si="1"/>
        <v>127</v>
      </c>
    </row>
    <row r="132" spans="14:14" x14ac:dyDescent="0.3">
      <c r="N132" s="36">
        <f t="shared" si="1"/>
        <v>128</v>
      </c>
    </row>
    <row r="133" spans="14:14" x14ac:dyDescent="0.3">
      <c r="N133" s="36">
        <f t="shared" si="1"/>
        <v>129</v>
      </c>
    </row>
    <row r="134" spans="14:14" x14ac:dyDescent="0.3">
      <c r="N134" s="36">
        <f t="shared" si="1"/>
        <v>130</v>
      </c>
    </row>
    <row r="135" spans="14:14" x14ac:dyDescent="0.3">
      <c r="N135" s="36">
        <f t="shared" si="1"/>
        <v>131</v>
      </c>
    </row>
    <row r="136" spans="14:14" x14ac:dyDescent="0.3">
      <c r="N136" s="36">
        <f t="shared" si="1"/>
        <v>132</v>
      </c>
    </row>
    <row r="137" spans="14:14" x14ac:dyDescent="0.3">
      <c r="N137" s="36">
        <f t="shared" si="1"/>
        <v>133</v>
      </c>
    </row>
    <row r="138" spans="14:14" x14ac:dyDescent="0.3">
      <c r="N138" s="36">
        <f t="shared" si="1"/>
        <v>134</v>
      </c>
    </row>
    <row r="139" spans="14:14" x14ac:dyDescent="0.3">
      <c r="N139" s="36">
        <f t="shared" si="1"/>
        <v>135</v>
      </c>
    </row>
    <row r="140" spans="14:14" x14ac:dyDescent="0.3">
      <c r="N140" s="36">
        <f t="shared" si="1"/>
        <v>136</v>
      </c>
    </row>
    <row r="141" spans="14:14" x14ac:dyDescent="0.3">
      <c r="N141" s="36">
        <f t="shared" si="1"/>
        <v>137</v>
      </c>
    </row>
    <row r="142" spans="14:14" x14ac:dyDescent="0.3">
      <c r="N142" s="36">
        <f t="shared" si="1"/>
        <v>138</v>
      </c>
    </row>
    <row r="143" spans="14:14" x14ac:dyDescent="0.3">
      <c r="N143" s="36">
        <f t="shared" si="1"/>
        <v>139</v>
      </c>
    </row>
    <row r="144" spans="14:14" x14ac:dyDescent="0.3">
      <c r="N144" s="36">
        <f t="shared" si="1"/>
        <v>140</v>
      </c>
    </row>
    <row r="145" spans="14:14" x14ac:dyDescent="0.3">
      <c r="N145" s="36">
        <f t="shared" si="1"/>
        <v>141</v>
      </c>
    </row>
    <row r="146" spans="14:14" x14ac:dyDescent="0.3">
      <c r="N146" s="36">
        <f t="shared" si="1"/>
        <v>142</v>
      </c>
    </row>
    <row r="147" spans="14:14" x14ac:dyDescent="0.3">
      <c r="N147" s="36">
        <f t="shared" si="1"/>
        <v>143</v>
      </c>
    </row>
    <row r="148" spans="14:14" x14ac:dyDescent="0.3">
      <c r="N148" s="36">
        <f t="shared" si="1"/>
        <v>144</v>
      </c>
    </row>
    <row r="149" spans="14:14" x14ac:dyDescent="0.3">
      <c r="N149" s="36">
        <f t="shared" si="1"/>
        <v>145</v>
      </c>
    </row>
    <row r="150" spans="14:14" x14ac:dyDescent="0.3">
      <c r="N150" s="36">
        <f t="shared" si="1"/>
        <v>146</v>
      </c>
    </row>
  </sheetData>
  <mergeCells count="2">
    <mergeCell ref="B2:G2"/>
    <mergeCell ref="R2:S2"/>
  </mergeCells>
  <dataValidations disablePrompts="1" count="1">
    <dataValidation type="list" allowBlank="1" showInputMessage="1" showErrorMessage="1" sqref="B4:B5" xr:uid="{00000000-0002-0000-0200-000000000000}">
      <formula1>$B$4:$B$5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G5"/>
  <sheetViews>
    <sheetView workbookViewId="0">
      <selection activeCell="E5" sqref="E5:G5"/>
    </sheetView>
  </sheetViews>
  <sheetFormatPr baseColWidth="10" defaultRowHeight="14.4" x14ac:dyDescent="0.3"/>
  <sheetData>
    <row r="5" spans="4:7" x14ac:dyDescent="0.3">
      <c r="D5" t="s">
        <v>181</v>
      </c>
      <c r="E5" s="156" t="s">
        <v>182</v>
      </c>
      <c r="F5" s="156"/>
      <c r="G5" s="156"/>
    </row>
  </sheetData>
  <mergeCells count="1"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Estimación Compo-Pantallas</vt:lpstr>
      <vt:lpstr>Estimación de Proyecto</vt:lpstr>
      <vt:lpstr>Datos</vt:lpstr>
      <vt:lpstr>Instrucción</vt:lpstr>
    </vt:vector>
  </TitlesOfParts>
  <Company>MSIF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Ennovasoft</dc:creator>
  <cp:lastModifiedBy>Ing. José Salvador</cp:lastModifiedBy>
  <cp:lastPrinted>2018-05-29T21:44:37Z</cp:lastPrinted>
  <dcterms:created xsi:type="dcterms:W3CDTF">2013-05-08T16:00:09Z</dcterms:created>
  <dcterms:modified xsi:type="dcterms:W3CDTF">2020-05-05T21:03:38Z</dcterms:modified>
</cp:coreProperties>
</file>